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auc\Documents\Ganadores y Pulso RHD\FORMATOS DE CONTROL\CAMPEONATO DE MARCAS 3ER MEETING 2026\"/>
    </mc:Choice>
  </mc:AlternateContent>
  <xr:revisionPtr revIDLastSave="0" documentId="13_ncr:1_{76C3FE7C-69D3-4DD4-9204-ACEAAA23ED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ROL" sheetId="1" r:id="rId1"/>
    <sheet name="SEM 1" sheetId="2" r:id="rId2"/>
    <sheet name="6-9-26" sheetId="3" r:id="rId3"/>
    <sheet name="SEM 2" sheetId="4" r:id="rId4"/>
    <sheet name="13-9-26" sheetId="5" r:id="rId5"/>
    <sheet name="SEM 3" sheetId="6" r:id="rId6"/>
    <sheet name="20-9-26" sheetId="7" r:id="rId7"/>
    <sheet name="19-09-2026" sheetId="8" r:id="rId8"/>
  </sheets>
  <externalReferences>
    <externalReference r:id="rId9"/>
    <externalReference r:id="rId10"/>
  </externalReferences>
  <definedNames>
    <definedName name="_xlnm.Print_Area" localSheetId="4">'13-9-26'!$A$1:$R$151</definedName>
    <definedName name="_xlnm.Print_Area" localSheetId="6">'20-9-26'!$A$1:$R$151</definedName>
    <definedName name="_xlnm.Print_Area" localSheetId="2">'6-9-26'!$A$1:$R$97</definedName>
    <definedName name="_xlnm.Print_Area" localSheetId="1">'SEM 1'!$A$1:$CW$62</definedName>
    <definedName name="_xlnm.Print_Area" localSheetId="3">'SEM 2'!$A$1:$CW$62</definedName>
    <definedName name="_xlnm.Print_Area" localSheetId="5">'SEM 3'!$A$1:$CW$62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3" i="7" l="1"/>
  <c r="I144" i="7" s="1"/>
  <c r="I145" i="7" s="1"/>
  <c r="I146" i="7" s="1"/>
  <c r="I147" i="7" s="1"/>
  <c r="I148" i="7" s="1"/>
  <c r="I149" i="7" s="1"/>
  <c r="I150" i="7" s="1"/>
  <c r="I151" i="7" s="1"/>
  <c r="B143" i="7"/>
  <c r="B144" i="7" s="1"/>
  <c r="B145" i="7" s="1"/>
  <c r="B146" i="7" s="1"/>
  <c r="B147" i="7" s="1"/>
  <c r="B148" i="7" s="1"/>
  <c r="B149" i="7" s="1"/>
  <c r="B150" i="7" s="1"/>
  <c r="B151" i="7" s="1"/>
  <c r="I142" i="7"/>
  <c r="B142" i="7"/>
  <c r="D137" i="7"/>
  <c r="M137" i="7" s="1"/>
  <c r="N137" i="7" s="1"/>
  <c r="C137" i="7"/>
  <c r="D136" i="7"/>
  <c r="C136" i="7"/>
  <c r="D134" i="7"/>
  <c r="K134" i="7" s="1"/>
  <c r="C134" i="7"/>
  <c r="D133" i="7"/>
  <c r="K133" i="7" s="1"/>
  <c r="C133" i="7"/>
  <c r="D131" i="7"/>
  <c r="D130" i="7"/>
  <c r="D129" i="7"/>
  <c r="D128" i="7"/>
  <c r="K128" i="7" s="1"/>
  <c r="C128" i="7"/>
  <c r="D127" i="7"/>
  <c r="K127" i="7" s="1"/>
  <c r="C127" i="7"/>
  <c r="L111" i="7"/>
  <c r="D139" i="7" s="1"/>
  <c r="N139" i="7" s="1"/>
  <c r="B71" i="7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66" i="7"/>
  <c r="B67" i="7" s="1"/>
  <c r="B68" i="7" s="1"/>
  <c r="B69" i="7" s="1"/>
  <c r="B70" i="7" s="1"/>
  <c r="B64" i="7"/>
  <c r="B65" i="7" s="1"/>
  <c r="B63" i="7"/>
  <c r="B62" i="7"/>
  <c r="B61" i="7"/>
  <c r="B58" i="7"/>
  <c r="B6" i="7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3" i="7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B116" i="6"/>
  <c r="D115" i="6"/>
  <c r="B114" i="6"/>
  <c r="B113" i="6"/>
  <c r="D112" i="6"/>
  <c r="B111" i="6"/>
  <c r="B110" i="6"/>
  <c r="B109" i="6"/>
  <c r="B108" i="6"/>
  <c r="D107" i="6"/>
  <c r="C106" i="6"/>
  <c r="B106" i="6"/>
  <c r="C105" i="6"/>
  <c r="B105" i="6"/>
  <c r="C104" i="6"/>
  <c r="B104" i="6"/>
  <c r="C103" i="6"/>
  <c r="B103" i="6"/>
  <c r="C102" i="6"/>
  <c r="B102" i="6"/>
  <c r="BH90" i="6"/>
  <c r="AY90" i="6"/>
  <c r="AP90" i="6"/>
  <c r="AG90" i="6"/>
  <c r="X90" i="6"/>
  <c r="O90" i="6"/>
  <c r="F90" i="6"/>
  <c r="B90" i="6"/>
  <c r="BH89" i="6"/>
  <c r="AY89" i="6"/>
  <c r="AP89" i="6"/>
  <c r="AG89" i="6"/>
  <c r="X89" i="6"/>
  <c r="O89" i="6"/>
  <c r="F89" i="6"/>
  <c r="B89" i="6"/>
  <c r="BH88" i="6"/>
  <c r="AY88" i="6"/>
  <c r="AP88" i="6"/>
  <c r="AG88" i="6"/>
  <c r="X88" i="6"/>
  <c r="O88" i="6"/>
  <c r="F88" i="6"/>
  <c r="B88" i="6"/>
  <c r="BH87" i="6"/>
  <c r="AY87" i="6"/>
  <c r="AP87" i="6"/>
  <c r="AG87" i="6"/>
  <c r="X87" i="6"/>
  <c r="O87" i="6"/>
  <c r="F87" i="6"/>
  <c r="B87" i="6"/>
  <c r="BH86" i="6"/>
  <c r="AY86" i="6"/>
  <c r="AP86" i="6"/>
  <c r="AG86" i="6"/>
  <c r="AF86" i="6"/>
  <c r="X86" i="6"/>
  <c r="O86" i="6"/>
  <c r="F86" i="6"/>
  <c r="B86" i="6"/>
  <c r="BH85" i="6"/>
  <c r="AY85" i="6"/>
  <c r="AP85" i="6"/>
  <c r="AG85" i="6"/>
  <c r="X85" i="6"/>
  <c r="O85" i="6"/>
  <c r="F85" i="6"/>
  <c r="B85" i="6"/>
  <c r="CE79" i="6"/>
  <c r="CD79" i="6"/>
  <c r="CC79" i="6"/>
  <c r="CF79" i="6" s="1"/>
  <c r="CA79" i="6"/>
  <c r="BZ79" i="6"/>
  <c r="BY79" i="6"/>
  <c r="BX79" i="6"/>
  <c r="BU79" i="6"/>
  <c r="BT79" i="6"/>
  <c r="BS79" i="6"/>
  <c r="BV79" i="6" s="1"/>
  <c r="BP79" i="6"/>
  <c r="BO79" i="6"/>
  <c r="BN79" i="6"/>
  <c r="BQ79" i="6" s="1"/>
  <c r="BK79" i="6"/>
  <c r="BJ79" i="6"/>
  <c r="BI79" i="6"/>
  <c r="BL79" i="6" s="1"/>
  <c r="BF79" i="6"/>
  <c r="BE79" i="6"/>
  <c r="BD79" i="6"/>
  <c r="BG79" i="6" s="1"/>
  <c r="BA79" i="6"/>
  <c r="AZ79" i="6"/>
  <c r="AY79" i="6"/>
  <c r="BB79" i="6" s="1"/>
  <c r="AV79" i="6"/>
  <c r="AU79" i="6"/>
  <c r="AT79" i="6"/>
  <c r="AW79" i="6" s="1"/>
  <c r="AQ79" i="6"/>
  <c r="AP79" i="6"/>
  <c r="AO79" i="6"/>
  <c r="AR79" i="6" s="1"/>
  <c r="AL79" i="6"/>
  <c r="AK79" i="6"/>
  <c r="AJ79" i="6"/>
  <c r="AM79" i="6" s="1"/>
  <c r="AG79" i="6"/>
  <c r="AF79" i="6"/>
  <c r="AE79" i="6"/>
  <c r="AB79" i="6"/>
  <c r="AA79" i="6"/>
  <c r="Z79" i="6"/>
  <c r="AC79" i="6" s="1"/>
  <c r="W79" i="6"/>
  <c r="V79" i="6"/>
  <c r="U79" i="6"/>
  <c r="X79" i="6" s="1"/>
  <c r="R79" i="6"/>
  <c r="Q79" i="6"/>
  <c r="P79" i="6"/>
  <c r="S79" i="6" s="1"/>
  <c r="M79" i="6"/>
  <c r="L79" i="6"/>
  <c r="K79" i="6"/>
  <c r="N79" i="6" s="1"/>
  <c r="H79" i="6"/>
  <c r="G79" i="6"/>
  <c r="F79" i="6"/>
  <c r="I79" i="6" s="1"/>
  <c r="CE78" i="6"/>
  <c r="CD78" i="6"/>
  <c r="CC78" i="6"/>
  <c r="CF78" i="6" s="1"/>
  <c r="BZ78" i="6"/>
  <c r="BY78" i="6"/>
  <c r="BX78" i="6"/>
  <c r="CA78" i="6" s="1"/>
  <c r="BU78" i="6"/>
  <c r="BT78" i="6"/>
  <c r="BS78" i="6"/>
  <c r="BV78" i="6" s="1"/>
  <c r="BP78" i="6"/>
  <c r="BO78" i="6"/>
  <c r="BN78" i="6"/>
  <c r="BQ78" i="6" s="1"/>
  <c r="BK78" i="6"/>
  <c r="BJ78" i="6"/>
  <c r="BI78" i="6"/>
  <c r="BL78" i="6" s="1"/>
  <c r="BF78" i="6"/>
  <c r="BE78" i="6"/>
  <c r="BD78" i="6"/>
  <c r="BG78" i="6" s="1"/>
  <c r="BA78" i="6"/>
  <c r="AZ78" i="6"/>
  <c r="AY78" i="6"/>
  <c r="AV78" i="6"/>
  <c r="AU78" i="6"/>
  <c r="AT78" i="6"/>
  <c r="AW78" i="6" s="1"/>
  <c r="AQ78" i="6"/>
  <c r="AP78" i="6"/>
  <c r="AO78" i="6"/>
  <c r="AR78" i="6" s="1"/>
  <c r="AL78" i="6"/>
  <c r="AK78" i="6"/>
  <c r="AJ78" i="6"/>
  <c r="AM78" i="6" s="1"/>
  <c r="AG78" i="6"/>
  <c r="AF78" i="6"/>
  <c r="AE78" i="6"/>
  <c r="AH78" i="6" s="1"/>
  <c r="AB78" i="6"/>
  <c r="AA78" i="6"/>
  <c r="Z78" i="6"/>
  <c r="AC78" i="6" s="1"/>
  <c r="W78" i="6"/>
  <c r="V78" i="6"/>
  <c r="U78" i="6"/>
  <c r="X78" i="6" s="1"/>
  <c r="R78" i="6"/>
  <c r="Q78" i="6"/>
  <c r="P78" i="6"/>
  <c r="S78" i="6" s="1"/>
  <c r="M78" i="6"/>
  <c r="L78" i="6"/>
  <c r="K78" i="6"/>
  <c r="N78" i="6" s="1"/>
  <c r="H78" i="6"/>
  <c r="G78" i="6"/>
  <c r="F78" i="6"/>
  <c r="I78" i="6" s="1"/>
  <c r="CE77" i="6"/>
  <c r="CD77" i="6"/>
  <c r="CC77" i="6"/>
  <c r="CF77" i="6" s="1"/>
  <c r="BZ77" i="6"/>
  <c r="BY77" i="6"/>
  <c r="BX77" i="6"/>
  <c r="CA77" i="6" s="1"/>
  <c r="BU77" i="6"/>
  <c r="BT77" i="6"/>
  <c r="BS77" i="6"/>
  <c r="BP77" i="6"/>
  <c r="BO77" i="6"/>
  <c r="BN77" i="6"/>
  <c r="BQ77" i="6" s="1"/>
  <c r="BK77" i="6"/>
  <c r="BJ77" i="6"/>
  <c r="BI77" i="6"/>
  <c r="BL77" i="6" s="1"/>
  <c r="BF77" i="6"/>
  <c r="BE77" i="6"/>
  <c r="BD77" i="6"/>
  <c r="BG77" i="6" s="1"/>
  <c r="BA77" i="6"/>
  <c r="AZ77" i="6"/>
  <c r="AY77" i="6"/>
  <c r="BB77" i="6" s="1"/>
  <c r="AV77" i="6"/>
  <c r="AU77" i="6"/>
  <c r="AT77" i="6"/>
  <c r="AW77" i="6" s="1"/>
  <c r="AQ77" i="6"/>
  <c r="AP77" i="6"/>
  <c r="AO77" i="6"/>
  <c r="AR77" i="6" s="1"/>
  <c r="AL77" i="6"/>
  <c r="AK77" i="6"/>
  <c r="AJ77" i="6"/>
  <c r="AM77" i="6" s="1"/>
  <c r="AG77" i="6"/>
  <c r="AF77" i="6"/>
  <c r="AE77" i="6"/>
  <c r="AH77" i="6" s="1"/>
  <c r="AB77" i="6"/>
  <c r="AA77" i="6"/>
  <c r="Z77" i="6"/>
  <c r="AC77" i="6" s="1"/>
  <c r="W77" i="6"/>
  <c r="V77" i="6"/>
  <c r="U77" i="6"/>
  <c r="X77" i="6" s="1"/>
  <c r="R77" i="6"/>
  <c r="Q77" i="6"/>
  <c r="P77" i="6"/>
  <c r="S77" i="6" s="1"/>
  <c r="M77" i="6"/>
  <c r="L77" i="6"/>
  <c r="K77" i="6"/>
  <c r="H77" i="6"/>
  <c r="G77" i="6"/>
  <c r="F77" i="6"/>
  <c r="I77" i="6" s="1"/>
  <c r="CE76" i="6"/>
  <c r="CD76" i="6"/>
  <c r="CC76" i="6"/>
  <c r="CF76" i="6" s="1"/>
  <c r="BZ76" i="6"/>
  <c r="BY76" i="6"/>
  <c r="BX76" i="6"/>
  <c r="CA76" i="6" s="1"/>
  <c r="BU76" i="6"/>
  <c r="BT76" i="6"/>
  <c r="BS76" i="6"/>
  <c r="BV76" i="6" s="1"/>
  <c r="BP76" i="6"/>
  <c r="BO76" i="6"/>
  <c r="BN76" i="6"/>
  <c r="BQ76" i="6" s="1"/>
  <c r="BK76" i="6"/>
  <c r="BJ76" i="6"/>
  <c r="BI76" i="6"/>
  <c r="BL76" i="6" s="1"/>
  <c r="BF76" i="6"/>
  <c r="BE76" i="6"/>
  <c r="BD76" i="6"/>
  <c r="BG76" i="6" s="1"/>
  <c r="BA76" i="6"/>
  <c r="AZ76" i="6"/>
  <c r="AY76" i="6"/>
  <c r="BB76" i="6" s="1"/>
  <c r="AV76" i="6"/>
  <c r="AU76" i="6"/>
  <c r="AT76" i="6"/>
  <c r="AW76" i="6" s="1"/>
  <c r="AQ76" i="6"/>
  <c r="AP76" i="6"/>
  <c r="AO76" i="6"/>
  <c r="AR76" i="6" s="1"/>
  <c r="AL76" i="6"/>
  <c r="AK76" i="6"/>
  <c r="AJ76" i="6"/>
  <c r="AM76" i="6" s="1"/>
  <c r="AG76" i="6"/>
  <c r="AF76" i="6"/>
  <c r="AE76" i="6"/>
  <c r="AB76" i="6"/>
  <c r="AA76" i="6"/>
  <c r="Z76" i="6"/>
  <c r="AC76" i="6" s="1"/>
  <c r="W76" i="6"/>
  <c r="V76" i="6"/>
  <c r="U76" i="6"/>
  <c r="X76" i="6" s="1"/>
  <c r="R76" i="6"/>
  <c r="Q76" i="6"/>
  <c r="P76" i="6"/>
  <c r="S76" i="6" s="1"/>
  <c r="M76" i="6"/>
  <c r="L76" i="6"/>
  <c r="K76" i="6"/>
  <c r="N76" i="6" s="1"/>
  <c r="H76" i="6"/>
  <c r="G76" i="6"/>
  <c r="F76" i="6"/>
  <c r="I76" i="6" s="1"/>
  <c r="CE75" i="6"/>
  <c r="CD75" i="6"/>
  <c r="CC75" i="6"/>
  <c r="CF75" i="6" s="1"/>
  <c r="BZ75" i="6"/>
  <c r="BY75" i="6"/>
  <c r="BX75" i="6"/>
  <c r="CA75" i="6" s="1"/>
  <c r="BU75" i="6"/>
  <c r="BT75" i="6"/>
  <c r="BS75" i="6"/>
  <c r="BV75" i="6" s="1"/>
  <c r="BP75" i="6"/>
  <c r="BO75" i="6"/>
  <c r="BN75" i="6"/>
  <c r="BQ75" i="6" s="1"/>
  <c r="BK75" i="6"/>
  <c r="BJ75" i="6"/>
  <c r="BI75" i="6"/>
  <c r="BL75" i="6" s="1"/>
  <c r="BF75" i="6"/>
  <c r="BE75" i="6"/>
  <c r="BD75" i="6"/>
  <c r="BG75" i="6" s="1"/>
  <c r="BA75" i="6"/>
  <c r="AZ75" i="6"/>
  <c r="AY75" i="6"/>
  <c r="AV75" i="6"/>
  <c r="AU75" i="6"/>
  <c r="AT75" i="6"/>
  <c r="AW75" i="6" s="1"/>
  <c r="AQ75" i="6"/>
  <c r="AP75" i="6"/>
  <c r="AO75" i="6"/>
  <c r="AR75" i="6" s="1"/>
  <c r="AL75" i="6"/>
  <c r="AK75" i="6"/>
  <c r="AJ75" i="6"/>
  <c r="AM75" i="6" s="1"/>
  <c r="AG75" i="6"/>
  <c r="AF75" i="6"/>
  <c r="AE75" i="6"/>
  <c r="AH75" i="6" s="1"/>
  <c r="AB75" i="6"/>
  <c r="AA75" i="6"/>
  <c r="Z75" i="6"/>
  <c r="AC75" i="6" s="1"/>
  <c r="W75" i="6"/>
  <c r="V75" i="6"/>
  <c r="U75" i="6"/>
  <c r="X75" i="6" s="1"/>
  <c r="R75" i="6"/>
  <c r="Q75" i="6"/>
  <c r="P75" i="6"/>
  <c r="S75" i="6" s="1"/>
  <c r="M75" i="6"/>
  <c r="L75" i="6"/>
  <c r="K75" i="6"/>
  <c r="N75" i="6" s="1"/>
  <c r="H75" i="6"/>
  <c r="G75" i="6"/>
  <c r="F75" i="6"/>
  <c r="I75" i="6" s="1"/>
  <c r="CE74" i="6"/>
  <c r="CD74" i="6"/>
  <c r="CC74" i="6"/>
  <c r="CF74" i="6" s="1"/>
  <c r="BZ74" i="6"/>
  <c r="BY74" i="6"/>
  <c r="BX74" i="6"/>
  <c r="CA74" i="6" s="1"/>
  <c r="BU74" i="6"/>
  <c r="BT74" i="6"/>
  <c r="BS74" i="6"/>
  <c r="BV74" i="6" s="1"/>
  <c r="BP74" i="6"/>
  <c r="BO74" i="6"/>
  <c r="BN74" i="6"/>
  <c r="BQ74" i="6" s="1"/>
  <c r="BK74" i="6"/>
  <c r="BJ74" i="6"/>
  <c r="BI74" i="6"/>
  <c r="BL74" i="6" s="1"/>
  <c r="BF74" i="6"/>
  <c r="BG74" i="6" s="1"/>
  <c r="BE74" i="6"/>
  <c r="BD74" i="6"/>
  <c r="BA74" i="6"/>
  <c r="AZ74" i="6"/>
  <c r="AY74" i="6"/>
  <c r="BB74" i="6" s="1"/>
  <c r="AV74" i="6"/>
  <c r="AU74" i="6"/>
  <c r="AT74" i="6"/>
  <c r="AW74" i="6" s="1"/>
  <c r="AQ74" i="6"/>
  <c r="AP74" i="6"/>
  <c r="AO74" i="6"/>
  <c r="AR74" i="6" s="1"/>
  <c r="AL74" i="6"/>
  <c r="AK74" i="6"/>
  <c r="AJ74" i="6"/>
  <c r="AM74" i="6" s="1"/>
  <c r="AG74" i="6"/>
  <c r="AF74" i="6"/>
  <c r="AE74" i="6"/>
  <c r="AH74" i="6" s="1"/>
  <c r="AB74" i="6"/>
  <c r="AA74" i="6"/>
  <c r="Z74" i="6"/>
  <c r="AC74" i="6" s="1"/>
  <c r="W74" i="6"/>
  <c r="V74" i="6"/>
  <c r="U74" i="6"/>
  <c r="X74" i="6" s="1"/>
  <c r="R74" i="6"/>
  <c r="Q74" i="6"/>
  <c r="P74" i="6"/>
  <c r="S74" i="6" s="1"/>
  <c r="M74" i="6"/>
  <c r="L74" i="6"/>
  <c r="K74" i="6"/>
  <c r="N74" i="6" s="1"/>
  <c r="H74" i="6"/>
  <c r="G74" i="6"/>
  <c r="F74" i="6"/>
  <c r="I74" i="6" s="1"/>
  <c r="CE73" i="6"/>
  <c r="CD73" i="6"/>
  <c r="CC73" i="6"/>
  <c r="CF73" i="6" s="1"/>
  <c r="BZ73" i="6"/>
  <c r="BY73" i="6"/>
  <c r="BX73" i="6"/>
  <c r="CA73" i="6" s="1"/>
  <c r="BU73" i="6"/>
  <c r="BT73" i="6"/>
  <c r="BS73" i="6"/>
  <c r="BV73" i="6" s="1"/>
  <c r="BP73" i="6"/>
  <c r="BO73" i="6"/>
  <c r="BN73" i="6"/>
  <c r="BQ73" i="6" s="1"/>
  <c r="BK73" i="6"/>
  <c r="BJ73" i="6"/>
  <c r="BI73" i="6"/>
  <c r="BL73" i="6" s="1"/>
  <c r="BF73" i="6"/>
  <c r="BE73" i="6"/>
  <c r="BD73" i="6"/>
  <c r="BG73" i="6" s="1"/>
  <c r="BA73" i="6"/>
  <c r="AZ73" i="6"/>
  <c r="AY73" i="6"/>
  <c r="BB73" i="6" s="1"/>
  <c r="AV73" i="6"/>
  <c r="AW73" i="6" s="1"/>
  <c r="AU73" i="6"/>
  <c r="AT73" i="6"/>
  <c r="AQ73" i="6"/>
  <c r="AP73" i="6"/>
  <c r="AO73" i="6"/>
  <c r="AR73" i="6" s="1"/>
  <c r="AL73" i="6"/>
  <c r="AK73" i="6"/>
  <c r="AJ73" i="6"/>
  <c r="AM73" i="6" s="1"/>
  <c r="AG73" i="6"/>
  <c r="AF73" i="6"/>
  <c r="AE73" i="6"/>
  <c r="AH73" i="6" s="1"/>
  <c r="AB73" i="6"/>
  <c r="AA73" i="6"/>
  <c r="Z73" i="6"/>
  <c r="AC73" i="6" s="1"/>
  <c r="W73" i="6"/>
  <c r="V73" i="6"/>
  <c r="U73" i="6"/>
  <c r="X73" i="6" s="1"/>
  <c r="R73" i="6"/>
  <c r="Q73" i="6"/>
  <c r="P73" i="6"/>
  <c r="S73" i="6" s="1"/>
  <c r="M73" i="6"/>
  <c r="L73" i="6"/>
  <c r="K73" i="6"/>
  <c r="N73" i="6" s="1"/>
  <c r="H73" i="6"/>
  <c r="G73" i="6"/>
  <c r="F73" i="6"/>
  <c r="I73" i="6" s="1"/>
  <c r="CE72" i="6"/>
  <c r="CD72" i="6"/>
  <c r="CC72" i="6"/>
  <c r="CF72" i="6" s="1"/>
  <c r="BZ72" i="6"/>
  <c r="BY72" i="6"/>
  <c r="BX72" i="6"/>
  <c r="CA72" i="6" s="1"/>
  <c r="BU72" i="6"/>
  <c r="BT72" i="6"/>
  <c r="BS72" i="6"/>
  <c r="BV72" i="6" s="1"/>
  <c r="BP72" i="6"/>
  <c r="BO72" i="6"/>
  <c r="BN72" i="6"/>
  <c r="BQ72" i="6" s="1"/>
  <c r="BK72" i="6"/>
  <c r="BJ72" i="6"/>
  <c r="BI72" i="6"/>
  <c r="BL72" i="6" s="1"/>
  <c r="BF72" i="6"/>
  <c r="BE72" i="6"/>
  <c r="BD72" i="6"/>
  <c r="BG72" i="6" s="1"/>
  <c r="BA72" i="6"/>
  <c r="AZ72" i="6"/>
  <c r="AY72" i="6"/>
  <c r="BB72" i="6" s="1"/>
  <c r="AV72" i="6"/>
  <c r="AU72" i="6"/>
  <c r="AT72" i="6"/>
  <c r="AW72" i="6" s="1"/>
  <c r="AQ72" i="6"/>
  <c r="AP72" i="6"/>
  <c r="AO72" i="6"/>
  <c r="AR72" i="6" s="1"/>
  <c r="AL72" i="6"/>
  <c r="AM72" i="6" s="1"/>
  <c r="AK72" i="6"/>
  <c r="AJ72" i="6"/>
  <c r="AG72" i="6"/>
  <c r="AF72" i="6"/>
  <c r="AE72" i="6"/>
  <c r="AH72" i="6" s="1"/>
  <c r="AB72" i="6"/>
  <c r="AA72" i="6"/>
  <c r="Z72" i="6"/>
  <c r="AC72" i="6" s="1"/>
  <c r="W72" i="6"/>
  <c r="V72" i="6"/>
  <c r="U72" i="6"/>
  <c r="X72" i="6" s="1"/>
  <c r="R72" i="6"/>
  <c r="Q72" i="6"/>
  <c r="P72" i="6"/>
  <c r="S72" i="6" s="1"/>
  <c r="M72" i="6"/>
  <c r="L72" i="6"/>
  <c r="K72" i="6"/>
  <c r="N72" i="6" s="1"/>
  <c r="H72" i="6"/>
  <c r="G72" i="6"/>
  <c r="F72" i="6"/>
  <c r="I72" i="6" s="1"/>
  <c r="CE71" i="6"/>
  <c r="CD71" i="6"/>
  <c r="CC71" i="6"/>
  <c r="CF71" i="6" s="1"/>
  <c r="BZ71" i="6"/>
  <c r="BY71" i="6"/>
  <c r="BX71" i="6"/>
  <c r="CA71" i="6" s="1"/>
  <c r="BU71" i="6"/>
  <c r="BT71" i="6"/>
  <c r="BS71" i="6"/>
  <c r="BV71" i="6" s="1"/>
  <c r="BP71" i="6"/>
  <c r="BO71" i="6"/>
  <c r="BN71" i="6"/>
  <c r="BQ71" i="6" s="1"/>
  <c r="BK71" i="6"/>
  <c r="BJ71" i="6"/>
  <c r="BI71" i="6"/>
  <c r="BL71" i="6" s="1"/>
  <c r="BF71" i="6"/>
  <c r="BE71" i="6"/>
  <c r="BD71" i="6"/>
  <c r="BG71" i="6" s="1"/>
  <c r="BA71" i="6"/>
  <c r="AZ71" i="6"/>
  <c r="AY71" i="6"/>
  <c r="BB71" i="6" s="1"/>
  <c r="AV71" i="6"/>
  <c r="AU71" i="6"/>
  <c r="AT71" i="6"/>
  <c r="AW71" i="6" s="1"/>
  <c r="AQ71" i="6"/>
  <c r="AP71" i="6"/>
  <c r="AO71" i="6"/>
  <c r="AR71" i="6" s="1"/>
  <c r="BP90" i="6" s="1"/>
  <c r="AL71" i="6"/>
  <c r="AK71" i="6"/>
  <c r="AJ71" i="6"/>
  <c r="AM71" i="6" s="1"/>
  <c r="BG90" i="6" s="1"/>
  <c r="AG71" i="6"/>
  <c r="AF71" i="6"/>
  <c r="AE71" i="6"/>
  <c r="AH71" i="6" s="1"/>
  <c r="AX90" i="6" s="1"/>
  <c r="AB71" i="6"/>
  <c r="AC71" i="6" s="1"/>
  <c r="AO90" i="6" s="1"/>
  <c r="AA71" i="6"/>
  <c r="Z71" i="6"/>
  <c r="W71" i="6"/>
  <c r="V71" i="6"/>
  <c r="U71" i="6"/>
  <c r="X71" i="6" s="1"/>
  <c r="AF90" i="6" s="1"/>
  <c r="R71" i="6"/>
  <c r="Q71" i="6"/>
  <c r="P71" i="6"/>
  <c r="S71" i="6" s="1"/>
  <c r="W90" i="6" s="1"/>
  <c r="M71" i="6"/>
  <c r="L71" i="6"/>
  <c r="K71" i="6"/>
  <c r="N71" i="6" s="1"/>
  <c r="N90" i="6" s="1"/>
  <c r="H71" i="6"/>
  <c r="G71" i="6"/>
  <c r="F71" i="6"/>
  <c r="I71" i="6" s="1"/>
  <c r="E90" i="6" s="1"/>
  <c r="CE70" i="6"/>
  <c r="CD70" i="6"/>
  <c r="CC70" i="6"/>
  <c r="CF70" i="6" s="1"/>
  <c r="BZ70" i="6"/>
  <c r="BY70" i="6"/>
  <c r="BX70" i="6"/>
  <c r="CA70" i="6" s="1"/>
  <c r="BU70" i="6"/>
  <c r="BT70" i="6"/>
  <c r="BS70" i="6"/>
  <c r="BV70" i="6" s="1"/>
  <c r="BP70" i="6"/>
  <c r="BO70" i="6"/>
  <c r="BN70" i="6"/>
  <c r="BQ70" i="6" s="1"/>
  <c r="BK70" i="6"/>
  <c r="BJ70" i="6"/>
  <c r="BI70" i="6"/>
  <c r="BL70" i="6" s="1"/>
  <c r="BF70" i="6"/>
  <c r="BE70" i="6"/>
  <c r="BD70" i="6"/>
  <c r="BG70" i="6" s="1"/>
  <c r="BA70" i="6"/>
  <c r="AZ70" i="6"/>
  <c r="AY70" i="6"/>
  <c r="BB70" i="6" s="1"/>
  <c r="AV70" i="6"/>
  <c r="AU70" i="6"/>
  <c r="AT70" i="6"/>
  <c r="AW70" i="6" s="1"/>
  <c r="AQ70" i="6"/>
  <c r="AP70" i="6"/>
  <c r="AO70" i="6"/>
  <c r="AR70" i="6" s="1"/>
  <c r="BP89" i="6" s="1"/>
  <c r="AL70" i="6"/>
  <c r="AK70" i="6"/>
  <c r="AJ70" i="6"/>
  <c r="AM70" i="6" s="1"/>
  <c r="BG89" i="6" s="1"/>
  <c r="AG70" i="6"/>
  <c r="AF70" i="6"/>
  <c r="AE70" i="6"/>
  <c r="AH70" i="6" s="1"/>
  <c r="AX89" i="6" s="1"/>
  <c r="AB70" i="6"/>
  <c r="AA70" i="6"/>
  <c r="Z70" i="6"/>
  <c r="AC70" i="6" s="1"/>
  <c r="AO89" i="6" s="1"/>
  <c r="W70" i="6"/>
  <c r="V70" i="6"/>
  <c r="U70" i="6"/>
  <c r="X70" i="6" s="1"/>
  <c r="AF89" i="6" s="1"/>
  <c r="R70" i="6"/>
  <c r="S70" i="6" s="1"/>
  <c r="W89" i="6" s="1"/>
  <c r="Q70" i="6"/>
  <c r="P70" i="6"/>
  <c r="M70" i="6"/>
  <c r="L70" i="6"/>
  <c r="K70" i="6"/>
  <c r="N70" i="6" s="1"/>
  <c r="N89" i="6" s="1"/>
  <c r="H70" i="6"/>
  <c r="G70" i="6"/>
  <c r="F70" i="6"/>
  <c r="I70" i="6" s="1"/>
  <c r="E89" i="6" s="1"/>
  <c r="CE69" i="6"/>
  <c r="CD69" i="6"/>
  <c r="CC69" i="6"/>
  <c r="CF69" i="6" s="1"/>
  <c r="BZ69" i="6"/>
  <c r="BY69" i="6"/>
  <c r="BX69" i="6"/>
  <c r="CA69" i="6" s="1"/>
  <c r="BU69" i="6"/>
  <c r="BT69" i="6"/>
  <c r="BS69" i="6"/>
  <c r="BV69" i="6" s="1"/>
  <c r="BP69" i="6"/>
  <c r="BO69" i="6"/>
  <c r="BN69" i="6"/>
  <c r="BQ69" i="6" s="1"/>
  <c r="BK69" i="6"/>
  <c r="BJ69" i="6"/>
  <c r="BI69" i="6"/>
  <c r="BL69" i="6" s="1"/>
  <c r="BF69" i="6"/>
  <c r="BE69" i="6"/>
  <c r="BD69" i="6"/>
  <c r="BG69" i="6" s="1"/>
  <c r="BA69" i="6"/>
  <c r="AZ69" i="6"/>
  <c r="AY69" i="6"/>
  <c r="BB69" i="6" s="1"/>
  <c r="AV69" i="6"/>
  <c r="AU69" i="6"/>
  <c r="AT69" i="6"/>
  <c r="AW69" i="6" s="1"/>
  <c r="AQ69" i="6"/>
  <c r="AP69" i="6"/>
  <c r="AO69" i="6"/>
  <c r="AR69" i="6" s="1"/>
  <c r="BP88" i="6" s="1"/>
  <c r="AL69" i="6"/>
  <c r="AK69" i="6"/>
  <c r="AJ69" i="6"/>
  <c r="AM69" i="6" s="1"/>
  <c r="BG88" i="6" s="1"/>
  <c r="AG69" i="6"/>
  <c r="AF69" i="6"/>
  <c r="AE69" i="6"/>
  <c r="AH69" i="6" s="1"/>
  <c r="AX88" i="6" s="1"/>
  <c r="AB69" i="6"/>
  <c r="AA69" i="6"/>
  <c r="Z69" i="6"/>
  <c r="AC69" i="6" s="1"/>
  <c r="AO88" i="6" s="1"/>
  <c r="W69" i="6"/>
  <c r="V69" i="6"/>
  <c r="U69" i="6"/>
  <c r="X69" i="6" s="1"/>
  <c r="AF88" i="6" s="1"/>
  <c r="R69" i="6"/>
  <c r="Q69" i="6"/>
  <c r="P69" i="6"/>
  <c r="S69" i="6" s="1"/>
  <c r="W88" i="6" s="1"/>
  <c r="M69" i="6"/>
  <c r="L69" i="6"/>
  <c r="K69" i="6"/>
  <c r="N69" i="6" s="1"/>
  <c r="N88" i="6" s="1"/>
  <c r="H69" i="6"/>
  <c r="I69" i="6" s="1"/>
  <c r="E88" i="6" s="1"/>
  <c r="G69" i="6"/>
  <c r="F69" i="6"/>
  <c r="CE68" i="6"/>
  <c r="CD68" i="6"/>
  <c r="CC68" i="6"/>
  <c r="CF68" i="6" s="1"/>
  <c r="BZ68" i="6"/>
  <c r="BY68" i="6"/>
  <c r="BX68" i="6"/>
  <c r="CA68" i="6" s="1"/>
  <c r="BU68" i="6"/>
  <c r="BT68" i="6"/>
  <c r="BS68" i="6"/>
  <c r="BV68" i="6" s="1"/>
  <c r="BP68" i="6"/>
  <c r="BO68" i="6"/>
  <c r="BN68" i="6"/>
  <c r="BQ68" i="6" s="1"/>
  <c r="BK68" i="6"/>
  <c r="BJ68" i="6"/>
  <c r="BI68" i="6"/>
  <c r="BL68" i="6" s="1"/>
  <c r="BF68" i="6"/>
  <c r="BE68" i="6"/>
  <c r="BD68" i="6"/>
  <c r="BG68" i="6" s="1"/>
  <c r="BA68" i="6"/>
  <c r="AZ68" i="6"/>
  <c r="AY68" i="6"/>
  <c r="BB68" i="6" s="1"/>
  <c r="AV68" i="6"/>
  <c r="AU68" i="6"/>
  <c r="AT68" i="6"/>
  <c r="AW68" i="6" s="1"/>
  <c r="AQ68" i="6"/>
  <c r="AP68" i="6"/>
  <c r="AO68" i="6"/>
  <c r="AR68" i="6" s="1"/>
  <c r="BP87" i="6" s="1"/>
  <c r="AL68" i="6"/>
  <c r="AK68" i="6"/>
  <c r="AJ68" i="6"/>
  <c r="AM68" i="6" s="1"/>
  <c r="AG68" i="6"/>
  <c r="AF68" i="6"/>
  <c r="AE68" i="6"/>
  <c r="AH68" i="6" s="1"/>
  <c r="AX87" i="6" s="1"/>
  <c r="AB68" i="6"/>
  <c r="AA68" i="6"/>
  <c r="Z68" i="6"/>
  <c r="AC68" i="6" s="1"/>
  <c r="AO87" i="6" s="1"/>
  <c r="W68" i="6"/>
  <c r="V68" i="6"/>
  <c r="U68" i="6"/>
  <c r="X68" i="6" s="1"/>
  <c r="AF87" i="6" s="1"/>
  <c r="R68" i="6"/>
  <c r="Q68" i="6"/>
  <c r="P68" i="6"/>
  <c r="S68" i="6" s="1"/>
  <c r="W87" i="6" s="1"/>
  <c r="M68" i="6"/>
  <c r="L68" i="6"/>
  <c r="K68" i="6"/>
  <c r="N68" i="6" s="1"/>
  <c r="N87" i="6" s="1"/>
  <c r="H68" i="6"/>
  <c r="G68" i="6"/>
  <c r="F68" i="6"/>
  <c r="I68" i="6" s="1"/>
  <c r="E87" i="6" s="1"/>
  <c r="CE67" i="6"/>
  <c r="CD67" i="6"/>
  <c r="CC67" i="6"/>
  <c r="CF67" i="6" s="1"/>
  <c r="BZ67" i="6"/>
  <c r="CA67" i="6" s="1"/>
  <c r="BY67" i="6"/>
  <c r="BX67" i="6"/>
  <c r="BU67" i="6"/>
  <c r="BT67" i="6"/>
  <c r="BS67" i="6"/>
  <c r="BV67" i="6" s="1"/>
  <c r="BP67" i="6"/>
  <c r="BO67" i="6"/>
  <c r="BN67" i="6"/>
  <c r="BQ67" i="6" s="1"/>
  <c r="BK67" i="6"/>
  <c r="BJ67" i="6"/>
  <c r="BI67" i="6"/>
  <c r="BL67" i="6" s="1"/>
  <c r="BF67" i="6"/>
  <c r="BE67" i="6"/>
  <c r="BD67" i="6"/>
  <c r="BG67" i="6" s="1"/>
  <c r="BA67" i="6"/>
  <c r="AZ67" i="6"/>
  <c r="AY67" i="6"/>
  <c r="BB67" i="6" s="1"/>
  <c r="AV67" i="6"/>
  <c r="AU67" i="6"/>
  <c r="AT67" i="6"/>
  <c r="AW67" i="6" s="1"/>
  <c r="AQ67" i="6"/>
  <c r="AP67" i="6"/>
  <c r="AO67" i="6"/>
  <c r="AR67" i="6" s="1"/>
  <c r="BP86" i="6" s="1"/>
  <c r="AL67" i="6"/>
  <c r="AK67" i="6"/>
  <c r="AJ67" i="6"/>
  <c r="AM67" i="6" s="1"/>
  <c r="BG86" i="6" s="1"/>
  <c r="AG67" i="6"/>
  <c r="AF67" i="6"/>
  <c r="AE67" i="6"/>
  <c r="AH67" i="6" s="1"/>
  <c r="AX86" i="6" s="1"/>
  <c r="AB67" i="6"/>
  <c r="AA67" i="6"/>
  <c r="Z67" i="6"/>
  <c r="AC67" i="6" s="1"/>
  <c r="AO86" i="6" s="1"/>
  <c r="W67" i="6"/>
  <c r="V67" i="6"/>
  <c r="U67" i="6"/>
  <c r="X67" i="6" s="1"/>
  <c r="R67" i="6"/>
  <c r="Q67" i="6"/>
  <c r="P67" i="6"/>
  <c r="S67" i="6" s="1"/>
  <c r="W86" i="6" s="1"/>
  <c r="M67" i="6"/>
  <c r="L67" i="6"/>
  <c r="K67" i="6"/>
  <c r="N67" i="6" s="1"/>
  <c r="N86" i="6" s="1"/>
  <c r="H67" i="6"/>
  <c r="G67" i="6"/>
  <c r="F67" i="6"/>
  <c r="I67" i="6" s="1"/>
  <c r="E86" i="6" s="1"/>
  <c r="CE66" i="6"/>
  <c r="CD66" i="6"/>
  <c r="CC66" i="6"/>
  <c r="CF66" i="6" s="1"/>
  <c r="BZ66" i="6"/>
  <c r="BY66" i="6"/>
  <c r="BX66" i="6"/>
  <c r="CA66" i="6" s="1"/>
  <c r="BU66" i="6"/>
  <c r="BT66" i="6"/>
  <c r="BS66" i="6"/>
  <c r="BV66" i="6" s="1"/>
  <c r="BP66" i="6"/>
  <c r="BQ66" i="6" s="1"/>
  <c r="BO66" i="6"/>
  <c r="BN66" i="6"/>
  <c r="BK66" i="6"/>
  <c r="BJ66" i="6"/>
  <c r="BI66" i="6"/>
  <c r="BL66" i="6" s="1"/>
  <c r="BF66" i="6"/>
  <c r="BE66" i="6"/>
  <c r="BD66" i="6"/>
  <c r="BG66" i="6" s="1"/>
  <c r="BA66" i="6"/>
  <c r="AZ66" i="6"/>
  <c r="AY66" i="6"/>
  <c r="BB66" i="6" s="1"/>
  <c r="AV66" i="6"/>
  <c r="AU66" i="6"/>
  <c r="AT66" i="6"/>
  <c r="AW66" i="6" s="1"/>
  <c r="AQ66" i="6"/>
  <c r="AP66" i="6"/>
  <c r="AO66" i="6"/>
  <c r="AR66" i="6" s="1"/>
  <c r="BP85" i="6" s="1"/>
  <c r="AL66" i="6"/>
  <c r="AK66" i="6"/>
  <c r="AJ66" i="6"/>
  <c r="AM66" i="6" s="1"/>
  <c r="BG85" i="6" s="1"/>
  <c r="AG66" i="6"/>
  <c r="AF66" i="6"/>
  <c r="AE66" i="6"/>
  <c r="AH66" i="6" s="1"/>
  <c r="AX85" i="6" s="1"/>
  <c r="AB66" i="6"/>
  <c r="AA66" i="6"/>
  <c r="Z66" i="6"/>
  <c r="AC66" i="6" s="1"/>
  <c r="AO85" i="6" s="1"/>
  <c r="W66" i="6"/>
  <c r="V66" i="6"/>
  <c r="U66" i="6"/>
  <c r="X66" i="6" s="1"/>
  <c r="AF85" i="6" s="1"/>
  <c r="R66" i="6"/>
  <c r="Q66" i="6"/>
  <c r="P66" i="6"/>
  <c r="S66" i="6" s="1"/>
  <c r="W85" i="6" s="1"/>
  <c r="M66" i="6"/>
  <c r="L66" i="6"/>
  <c r="K66" i="6"/>
  <c r="N66" i="6" s="1"/>
  <c r="N85" i="6" s="1"/>
  <c r="H66" i="6"/>
  <c r="G66" i="6"/>
  <c r="F66" i="6"/>
  <c r="I66" i="6" s="1"/>
  <c r="E85" i="6" s="1"/>
  <c r="DA65" i="6" a="1"/>
  <c r="DA65" i="6" s="1"/>
  <c r="DA64" i="6" a="1"/>
  <c r="DA64" i="6"/>
  <c r="DA63" i="6" a="1"/>
  <c r="DA63" i="6"/>
  <c r="DA62" i="6" a="1"/>
  <c r="DA62" i="6"/>
  <c r="CY62" i="6"/>
  <c r="DA61" i="6" a="1"/>
  <c r="DA61" i="6" s="1"/>
  <c r="CY61" i="6"/>
  <c r="DA60" i="6" a="1"/>
  <c r="DA60" i="6" s="1"/>
  <c r="CY60" i="6"/>
  <c r="DA59" i="6" a="1"/>
  <c r="DA59" i="6" s="1"/>
  <c r="CY59" i="6"/>
  <c r="U59" i="6"/>
  <c r="DA58" i="6" a="1"/>
  <c r="DA58" i="6" s="1"/>
  <c r="CY58" i="6"/>
  <c r="EJ57" i="6" a="1"/>
  <c r="EJ57" i="6" s="1"/>
  <c r="EI57" i="6" a="1"/>
  <c r="EI57" i="6" s="1"/>
  <c r="EH57" i="6" a="1"/>
  <c r="EH57" i="6"/>
  <c r="EG57" i="6" a="1"/>
  <c r="EG57" i="6"/>
  <c r="EF57" i="6" a="1"/>
  <c r="EF57" i="6" s="1"/>
  <c r="EE57" i="6" a="1"/>
  <c r="EE57" i="6" s="1"/>
  <c r="ED57" i="6" a="1"/>
  <c r="ED57" i="6" s="1"/>
  <c r="EC57" i="6" a="1"/>
  <c r="EC57" i="6" s="1"/>
  <c r="EB57" i="6" a="1"/>
  <c r="EB57" i="6" s="1"/>
  <c r="EA57" i="6" a="1"/>
  <c r="EA57" i="6"/>
  <c r="DZ57" i="6" a="1"/>
  <c r="DZ57" i="6" s="1"/>
  <c r="DY57" i="6" a="1"/>
  <c r="DY57" i="6" s="1"/>
  <c r="DX57" i="6" a="1"/>
  <c r="DX57" i="6" s="1"/>
  <c r="DW57" i="6" a="1"/>
  <c r="DW57" i="6" s="1"/>
  <c r="DV57" i="6" a="1"/>
  <c r="DV57" i="6" s="1"/>
  <c r="DU57" i="6" a="1"/>
  <c r="DU57" i="6" s="1"/>
  <c r="DT57" i="6"/>
  <c r="DR57" i="6" a="1"/>
  <c r="DR57" i="6"/>
  <c r="DQ57" i="6" a="1"/>
  <c r="DQ57" i="6"/>
  <c r="DP57" i="6" a="1"/>
  <c r="DP57" i="6"/>
  <c r="DO57" i="6" a="1"/>
  <c r="DO57" i="6"/>
  <c r="DN57" i="6" a="1"/>
  <c r="DN57" i="6"/>
  <c r="DM57" i="6" a="1"/>
  <c r="DM57" i="6"/>
  <c r="DL57" i="6" a="1"/>
  <c r="DL57" i="6"/>
  <c r="DK57" i="6" a="1"/>
  <c r="DK57" i="6"/>
  <c r="DJ57" i="6" a="1"/>
  <c r="DJ57" i="6"/>
  <c r="DI57" i="6" a="1"/>
  <c r="DI57" i="6"/>
  <c r="DH57" i="6" a="1"/>
  <c r="DH57" i="6"/>
  <c r="DG57" i="6" a="1"/>
  <c r="DG57" i="6"/>
  <c r="DF57" i="6" a="1"/>
  <c r="DF57" i="6"/>
  <c r="DE57" i="6" a="1"/>
  <c r="DE57" i="6"/>
  <c r="DD57" i="6" a="1"/>
  <c r="DD57" i="6"/>
  <c r="DC57" i="6" a="1"/>
  <c r="DC57" i="6"/>
  <c r="DB57" i="6"/>
  <c r="DA57" i="6" a="1"/>
  <c r="DA57" i="6"/>
  <c r="CY57" i="6"/>
  <c r="CQ57" i="6"/>
  <c r="CP57" i="6"/>
  <c r="CO57" i="6"/>
  <c r="CN57" i="6"/>
  <c r="CM57" i="6"/>
  <c r="CL57" i="6"/>
  <c r="CK57" i="6"/>
  <c r="CJ57" i="6"/>
  <c r="CI57" i="6"/>
  <c r="CH57" i="6"/>
  <c r="CG57" i="6"/>
  <c r="CR57" i="6" s="1"/>
  <c r="D57" i="6" a="1"/>
  <c r="D57" i="6" s="1"/>
  <c r="CV57" i="6" s="1"/>
  <c r="EJ56" i="6" a="1"/>
  <c r="EJ56" i="6" s="1"/>
  <c r="EI56" i="6" a="1"/>
  <c r="EI56" i="6"/>
  <c r="EH56" i="6" a="1"/>
  <c r="EH56" i="6" s="1"/>
  <c r="EG56" i="6" a="1"/>
  <c r="EG56" i="6" s="1"/>
  <c r="EF56" i="6" a="1"/>
  <c r="EF56" i="6"/>
  <c r="EE56" i="6" a="1"/>
  <c r="EE56" i="6"/>
  <c r="ED56" i="6" a="1"/>
  <c r="ED56" i="6" s="1"/>
  <c r="EC56" i="6" a="1"/>
  <c r="EC56" i="6"/>
  <c r="EB56" i="6" a="1"/>
  <c r="EB56" i="6" s="1"/>
  <c r="EA56" i="6" a="1"/>
  <c r="EA56" i="6" s="1"/>
  <c r="DZ56" i="6" a="1"/>
  <c r="DZ56" i="6"/>
  <c r="DY56" i="6" a="1"/>
  <c r="DY56" i="6" s="1"/>
  <c r="DX56" i="6" a="1"/>
  <c r="DX56" i="6" s="1"/>
  <c r="DW56" i="6" a="1"/>
  <c r="DW56" i="6"/>
  <c r="DV56" i="6" a="1"/>
  <c r="DV56" i="6" s="1"/>
  <c r="DU56" i="6" a="1"/>
  <c r="DU56" i="6" s="1"/>
  <c r="DT56" i="6"/>
  <c r="DR56" i="6" a="1"/>
  <c r="DR56" i="6" s="1"/>
  <c r="DQ56" i="6" a="1"/>
  <c r="DQ56" i="6"/>
  <c r="DP56" i="6" a="1"/>
  <c r="DP56" i="6"/>
  <c r="DO56" i="6" a="1"/>
  <c r="DO56" i="6" s="1"/>
  <c r="DN56" i="6" a="1"/>
  <c r="DN56" i="6"/>
  <c r="DM56" i="6" a="1"/>
  <c r="DM56" i="6"/>
  <c r="DL56" i="6" a="1"/>
  <c r="DL56" i="6" s="1"/>
  <c r="DK56" i="6" a="1"/>
  <c r="DK56" i="6"/>
  <c r="DJ56" i="6" a="1"/>
  <c r="DJ56" i="6"/>
  <c r="DI56" i="6" a="1"/>
  <c r="DI56" i="6" s="1"/>
  <c r="DH56" i="6" a="1"/>
  <c r="DH56" i="6"/>
  <c r="DG56" i="6" a="1"/>
  <c r="DG56" i="6"/>
  <c r="DF56" i="6" a="1"/>
  <c r="DF56" i="6" s="1"/>
  <c r="DE56" i="6" a="1"/>
  <c r="DE56" i="6"/>
  <c r="DD56" i="6" a="1"/>
  <c r="DD56" i="6"/>
  <c r="DC56" i="6" a="1"/>
  <c r="DC56" i="6" s="1"/>
  <c r="DB56" i="6"/>
  <c r="DA56" i="6" a="1"/>
  <c r="DA56" i="6" s="1"/>
  <c r="CY56" i="6"/>
  <c r="CQ56" i="6"/>
  <c r="CP56" i="6"/>
  <c r="CN56" i="6"/>
  <c r="CM56" i="6"/>
  <c r="CK56" i="6"/>
  <c r="CJ56" i="6"/>
  <c r="CH56" i="6"/>
  <c r="CG56" i="6"/>
  <c r="CO56" i="6" s="1"/>
  <c r="D56" i="6" a="1"/>
  <c r="D56" i="6"/>
  <c r="CV56" i="6" s="1"/>
  <c r="EJ55" i="6" a="1"/>
  <c r="EJ55" i="6"/>
  <c r="EI55" i="6" a="1"/>
  <c r="EI55" i="6"/>
  <c r="EH55" i="6" a="1"/>
  <c r="EH55" i="6" s="1"/>
  <c r="EG55" i="6" a="1"/>
  <c r="EG55" i="6" s="1"/>
  <c r="EF55" i="6" a="1"/>
  <c r="EF55" i="6"/>
  <c r="EE55" i="6" a="1"/>
  <c r="EE55" i="6" s="1"/>
  <c r="ED55" i="6" a="1"/>
  <c r="ED55" i="6"/>
  <c r="EC55" i="6" a="1"/>
  <c r="EC55" i="6"/>
  <c r="EB55" i="6" a="1"/>
  <c r="EB55" i="6" s="1"/>
  <c r="EA55" i="6" a="1"/>
  <c r="EA55" i="6"/>
  <c r="DZ55" i="6" a="1"/>
  <c r="DZ55" i="6"/>
  <c r="DY55" i="6" a="1"/>
  <c r="DY55" i="6" s="1"/>
  <c r="DX55" i="6" a="1"/>
  <c r="DX55" i="6"/>
  <c r="DW55" i="6" a="1"/>
  <c r="DW55" i="6"/>
  <c r="DV55" i="6" a="1"/>
  <c r="DV55" i="6" s="1"/>
  <c r="DU55" i="6" a="1"/>
  <c r="DU55" i="6" s="1"/>
  <c r="DT55" i="6"/>
  <c r="DR55" i="6" a="1"/>
  <c r="DR55" i="6"/>
  <c r="DQ55" i="6" a="1"/>
  <c r="DQ55" i="6"/>
  <c r="DP55" i="6" a="1"/>
  <c r="DP55" i="6" s="1"/>
  <c r="DO55" i="6" a="1"/>
  <c r="DO55" i="6" s="1"/>
  <c r="DN55" i="6" a="1"/>
  <c r="DN55" i="6"/>
  <c r="DM55" i="6" a="1"/>
  <c r="DM55" i="6" s="1"/>
  <c r="DL55" i="6" a="1"/>
  <c r="DL55" i="6"/>
  <c r="DK55" i="6" a="1"/>
  <c r="DK55" i="6"/>
  <c r="DJ55" i="6" a="1"/>
  <c r="DJ55" i="6" s="1"/>
  <c r="DI55" i="6" a="1"/>
  <c r="DI55" i="6" s="1"/>
  <c r="DH55" i="6" a="1"/>
  <c r="DH55" i="6"/>
  <c r="DG55" i="6" a="1"/>
  <c r="DG55" i="6" s="1"/>
  <c r="DF55" i="6" a="1"/>
  <c r="DF55" i="6"/>
  <c r="DE55" i="6" a="1"/>
  <c r="DE55" i="6"/>
  <c r="DD55" i="6" a="1"/>
  <c r="DD55" i="6" s="1"/>
  <c r="DC55" i="6" a="1"/>
  <c r="DC55" i="6" s="1"/>
  <c r="DB55" i="6"/>
  <c r="DA55" i="6" a="1"/>
  <c r="DA55" i="6" s="1"/>
  <c r="CY55" i="6"/>
  <c r="CR55" i="6"/>
  <c r="CQ55" i="6"/>
  <c r="CP55" i="6"/>
  <c r="CN55" i="6"/>
  <c r="CM55" i="6"/>
  <c r="CL55" i="6"/>
  <c r="CK55" i="6"/>
  <c r="CJ55" i="6"/>
  <c r="CI55" i="6"/>
  <c r="CH55" i="6"/>
  <c r="CG55" i="6"/>
  <c r="CO55" i="6" s="1"/>
  <c r="D55" i="6" a="1"/>
  <c r="D55" i="6" s="1"/>
  <c r="CV55" i="6" s="1"/>
  <c r="EJ54" i="6" a="1"/>
  <c r="EJ54" i="6" s="1"/>
  <c r="EI54" i="6" a="1"/>
  <c r="EI54" i="6" s="1"/>
  <c r="EH54" i="6" a="1"/>
  <c r="EH54" i="6"/>
  <c r="EG54" i="6" a="1"/>
  <c r="EG54" i="6" s="1"/>
  <c r="EF54" i="6" a="1"/>
  <c r="EF54" i="6" s="1"/>
  <c r="EE54" i="6" a="1"/>
  <c r="EE54" i="6" s="1"/>
  <c r="ED54" i="6" a="1"/>
  <c r="ED54" i="6" s="1"/>
  <c r="EC54" i="6" a="1"/>
  <c r="EC54" i="6"/>
  <c r="EB54" i="6" a="1"/>
  <c r="EB54" i="6"/>
  <c r="EA54" i="6" a="1"/>
  <c r="EA54" i="6" s="1"/>
  <c r="DZ54" i="6" a="1"/>
  <c r="DZ54" i="6" s="1"/>
  <c r="DY54" i="6" a="1"/>
  <c r="DY54" i="6"/>
  <c r="DX54" i="6" a="1"/>
  <c r="DX54" i="6" s="1"/>
  <c r="DW54" i="6" a="1"/>
  <c r="DW54" i="6" s="1"/>
  <c r="DV54" i="6" a="1"/>
  <c r="DV54" i="6"/>
  <c r="DU54" i="6" a="1"/>
  <c r="DU54" i="6" s="1"/>
  <c r="DT54" i="6"/>
  <c r="DR54" i="6" a="1"/>
  <c r="DR54" i="6"/>
  <c r="DQ54" i="6" a="1"/>
  <c r="DQ54" i="6" s="1"/>
  <c r="DP54" i="6" a="1"/>
  <c r="DP54" i="6"/>
  <c r="DO54" i="6" a="1"/>
  <c r="DO54" i="6" s="1"/>
  <c r="DN54" i="6" a="1"/>
  <c r="DN54" i="6" s="1"/>
  <c r="DM54" i="6" a="1"/>
  <c r="DM54" i="6" s="1"/>
  <c r="DL54" i="6" a="1"/>
  <c r="DL54" i="6"/>
  <c r="DK54" i="6" a="1"/>
  <c r="DK54" i="6" s="1"/>
  <c r="DJ54" i="6" a="1"/>
  <c r="DJ54" i="6"/>
  <c r="DI54" i="6" a="1"/>
  <c r="DI54" i="6" s="1"/>
  <c r="DH54" i="6" a="1"/>
  <c r="DH54" i="6" s="1"/>
  <c r="DG54" i="6" a="1"/>
  <c r="DG54" i="6" s="1"/>
  <c r="DF54" i="6" a="1"/>
  <c r="DF54" i="6"/>
  <c r="DE54" i="6" a="1"/>
  <c r="DE54" i="6" s="1"/>
  <c r="DD54" i="6" a="1"/>
  <c r="DD54" i="6"/>
  <c r="DC54" i="6" a="1"/>
  <c r="DC54" i="6" s="1"/>
  <c r="DB54" i="6"/>
  <c r="DA54" i="6" a="1"/>
  <c r="DA54" i="6" s="1"/>
  <c r="CY54" i="6"/>
  <c r="CQ54" i="6"/>
  <c r="CP54" i="6"/>
  <c r="CN54" i="6"/>
  <c r="CM54" i="6"/>
  <c r="CK54" i="6"/>
  <c r="CJ54" i="6"/>
  <c r="CH54" i="6"/>
  <c r="CG54" i="6"/>
  <c r="D54" i="6" a="1"/>
  <c r="D54" i="6" s="1"/>
  <c r="CV54" i="6" s="1"/>
  <c r="EJ53" i="6" a="1"/>
  <c r="EJ53" i="6" s="1"/>
  <c r="EI53" i="6" a="1"/>
  <c r="EI53" i="6" s="1"/>
  <c r="EH53" i="6" a="1"/>
  <c r="EH53" i="6" s="1"/>
  <c r="EG53" i="6" a="1"/>
  <c r="EG53" i="6" s="1"/>
  <c r="EF53" i="6" a="1"/>
  <c r="EF53" i="6"/>
  <c r="EE53" i="6" a="1"/>
  <c r="EE53" i="6" s="1"/>
  <c r="ED53" i="6" a="1"/>
  <c r="ED53" i="6" s="1"/>
  <c r="EC53" i="6" a="1"/>
  <c r="EC53" i="6" s="1"/>
  <c r="EB53" i="6" a="1"/>
  <c r="EB53" i="6" s="1"/>
  <c r="EA53" i="6" a="1"/>
  <c r="EA53" i="6" s="1"/>
  <c r="DZ53" i="6" a="1"/>
  <c r="DZ53" i="6"/>
  <c r="DY53" i="6" a="1"/>
  <c r="DY53" i="6" s="1"/>
  <c r="DX53" i="6" a="1"/>
  <c r="DX53" i="6" s="1"/>
  <c r="DW53" i="6" a="1"/>
  <c r="DW53" i="6" s="1"/>
  <c r="DV53" i="6" a="1"/>
  <c r="DV53" i="6" s="1"/>
  <c r="DU53" i="6" a="1"/>
  <c r="DU53" i="6" s="1"/>
  <c r="DT53" i="6"/>
  <c r="DR53" i="6" a="1"/>
  <c r="DR53" i="6" s="1"/>
  <c r="DQ53" i="6" a="1"/>
  <c r="DQ53" i="6"/>
  <c r="DP53" i="6" a="1"/>
  <c r="DP53" i="6"/>
  <c r="DO53" i="6" a="1"/>
  <c r="DO53" i="6" s="1"/>
  <c r="DN53" i="6" a="1"/>
  <c r="DN53" i="6"/>
  <c r="DM53" i="6" a="1"/>
  <c r="DM53" i="6" s="1"/>
  <c r="DL53" i="6" a="1"/>
  <c r="DL53" i="6" s="1"/>
  <c r="DK53" i="6" a="1"/>
  <c r="DK53" i="6" s="1"/>
  <c r="DJ53" i="6" a="1"/>
  <c r="DJ53" i="6"/>
  <c r="DI53" i="6" a="1"/>
  <c r="DI53" i="6" s="1"/>
  <c r="DH53" i="6" a="1"/>
  <c r="DH53" i="6"/>
  <c r="DG53" i="6" a="1"/>
  <c r="DG53" i="6" s="1"/>
  <c r="DF53" i="6" a="1"/>
  <c r="DF53" i="6" s="1"/>
  <c r="DE53" i="6" a="1"/>
  <c r="DE53" i="6" s="1"/>
  <c r="DD53" i="6" a="1"/>
  <c r="DD53" i="6"/>
  <c r="DC53" i="6" a="1"/>
  <c r="DC53" i="6" s="1"/>
  <c r="DB53" i="6"/>
  <c r="DA53" i="6" a="1"/>
  <c r="DA53" i="6"/>
  <c r="CY53" i="6"/>
  <c r="CQ53" i="6"/>
  <c r="CP53" i="6"/>
  <c r="CO53" i="6"/>
  <c r="CN53" i="6"/>
  <c r="CM53" i="6"/>
  <c r="CL53" i="6"/>
  <c r="CK53" i="6"/>
  <c r="CJ53" i="6"/>
  <c r="CI53" i="6"/>
  <c r="CH53" i="6"/>
  <c r="CG53" i="6"/>
  <c r="CR53" i="6" s="1"/>
  <c r="D53" i="6" a="1"/>
  <c r="D53" i="6"/>
  <c r="CV53" i="6" s="1"/>
  <c r="EJ52" i="6" a="1"/>
  <c r="EJ52" i="6" s="1"/>
  <c r="EI52" i="6" a="1"/>
  <c r="EI52" i="6" s="1"/>
  <c r="EH52" i="6" a="1"/>
  <c r="EH52" i="6" s="1"/>
  <c r="EG52" i="6" a="1"/>
  <c r="EG52" i="6" s="1"/>
  <c r="EF52" i="6" a="1"/>
  <c r="EF52" i="6" s="1"/>
  <c r="EE52" i="6" a="1"/>
  <c r="EE52" i="6"/>
  <c r="ED52" i="6" a="1"/>
  <c r="ED52" i="6" s="1"/>
  <c r="EC52" i="6" a="1"/>
  <c r="EC52" i="6" s="1"/>
  <c r="EB52" i="6" a="1"/>
  <c r="EB52" i="6" s="1"/>
  <c r="EA52" i="6" a="1"/>
  <c r="EA52" i="6" s="1"/>
  <c r="DZ52" i="6" a="1"/>
  <c r="DZ52" i="6" s="1"/>
  <c r="DY52" i="6" a="1"/>
  <c r="DY52" i="6" s="1"/>
  <c r="DX52" i="6" a="1"/>
  <c r="DX52" i="6"/>
  <c r="DW52" i="6" a="1"/>
  <c r="DW52" i="6" s="1"/>
  <c r="DV52" i="6" a="1"/>
  <c r="DV52" i="6" s="1"/>
  <c r="DU52" i="6" a="1"/>
  <c r="DU52" i="6"/>
  <c r="DT52" i="6"/>
  <c r="DR52" i="6" a="1"/>
  <c r="DR52" i="6"/>
  <c r="DQ52" i="6" a="1"/>
  <c r="DQ52" i="6" s="1"/>
  <c r="DP52" i="6" a="1"/>
  <c r="DP52" i="6" s="1"/>
  <c r="DO52" i="6" a="1"/>
  <c r="DO52" i="6" s="1"/>
  <c r="DN52" i="6" a="1"/>
  <c r="DN52" i="6"/>
  <c r="DM52" i="6" a="1"/>
  <c r="DM52" i="6" s="1"/>
  <c r="DL52" i="6" a="1"/>
  <c r="DL52" i="6"/>
  <c r="DK52" i="6" a="1"/>
  <c r="DK52" i="6"/>
  <c r="DJ52" i="6" a="1"/>
  <c r="DJ52" i="6" s="1"/>
  <c r="DI52" i="6" a="1"/>
  <c r="DI52" i="6" s="1"/>
  <c r="DH52" i="6" a="1"/>
  <c r="DH52" i="6"/>
  <c r="DG52" i="6" a="1"/>
  <c r="DG52" i="6"/>
  <c r="DF52" i="6" a="1"/>
  <c r="DF52" i="6"/>
  <c r="DE52" i="6" a="1"/>
  <c r="DE52" i="6" s="1"/>
  <c r="DD52" i="6" a="1"/>
  <c r="DD52" i="6" s="1"/>
  <c r="DC52" i="6" a="1"/>
  <c r="DC52" i="6" s="1"/>
  <c r="DB52" i="6"/>
  <c r="DA52" i="6" a="1"/>
  <c r="DA52" i="6"/>
  <c r="CY52" i="6"/>
  <c r="CQ52" i="6"/>
  <c r="CP52" i="6"/>
  <c r="CN52" i="6"/>
  <c r="CM52" i="6"/>
  <c r="CK52" i="6"/>
  <c r="CJ52" i="6"/>
  <c r="CH52" i="6"/>
  <c r="CG52" i="6"/>
  <c r="D52" i="6" a="1"/>
  <c r="D52" i="6"/>
  <c r="CV52" i="6" s="1"/>
  <c r="EJ51" i="6" a="1"/>
  <c r="EJ51" i="6" s="1"/>
  <c r="EI51" i="6" a="1"/>
  <c r="EI51" i="6" s="1"/>
  <c r="EH51" i="6" a="1"/>
  <c r="EH51" i="6"/>
  <c r="EG51" i="6" a="1"/>
  <c r="EG51" i="6"/>
  <c r="EF51" i="6" a="1"/>
  <c r="EF51" i="6" s="1"/>
  <c r="EE51" i="6" a="1"/>
  <c r="EE51" i="6" s="1"/>
  <c r="ED51" i="6" a="1"/>
  <c r="ED51" i="6" s="1"/>
  <c r="EC51" i="6" a="1"/>
  <c r="EC51" i="6" s="1"/>
  <c r="EB51" i="6" a="1"/>
  <c r="EB51" i="6" s="1"/>
  <c r="EA51" i="6" a="1"/>
  <c r="EA51" i="6"/>
  <c r="DZ51" i="6" a="1"/>
  <c r="DZ51" i="6" s="1"/>
  <c r="DY51" i="6" a="1"/>
  <c r="DY51" i="6"/>
  <c r="DX51" i="6" a="1"/>
  <c r="DX51" i="6" s="1"/>
  <c r="DW51" i="6" a="1"/>
  <c r="DW51" i="6" s="1"/>
  <c r="DV51" i="6" a="1"/>
  <c r="DV51" i="6" s="1"/>
  <c r="DU51" i="6" a="1"/>
  <c r="DU51" i="6" s="1"/>
  <c r="DT51" i="6"/>
  <c r="DR51" i="6" a="1"/>
  <c r="DR51" i="6"/>
  <c r="DQ51" i="6" a="1"/>
  <c r="DQ51" i="6"/>
  <c r="DP51" i="6" a="1"/>
  <c r="DP51" i="6"/>
  <c r="DO51" i="6" a="1"/>
  <c r="DO51" i="6" s="1"/>
  <c r="DN51" i="6" a="1"/>
  <c r="DN51" i="6" s="1"/>
  <c r="DM51" i="6" a="1"/>
  <c r="DM51" i="6" s="1"/>
  <c r="DL51" i="6" a="1"/>
  <c r="DL51" i="6"/>
  <c r="DK51" i="6" a="1"/>
  <c r="DK51" i="6" s="1"/>
  <c r="DJ51" i="6" a="1"/>
  <c r="DJ51" i="6"/>
  <c r="DI51" i="6" a="1"/>
  <c r="DI51" i="6" s="1"/>
  <c r="DH51" i="6" a="1"/>
  <c r="DH51" i="6" s="1"/>
  <c r="DG51" i="6" a="1"/>
  <c r="DG51" i="6" s="1"/>
  <c r="DF51" i="6" a="1"/>
  <c r="DF51" i="6"/>
  <c r="DE51" i="6" a="1"/>
  <c r="DE51" i="6" s="1"/>
  <c r="DD51" i="6" a="1"/>
  <c r="DD51" i="6"/>
  <c r="DC51" i="6" a="1"/>
  <c r="DC51" i="6" s="1"/>
  <c r="DB51" i="6"/>
  <c r="DA51" i="6" a="1"/>
  <c r="DA51" i="6" s="1"/>
  <c r="CY51" i="6"/>
  <c r="CQ51" i="6"/>
  <c r="CP51" i="6"/>
  <c r="CN51" i="6"/>
  <c r="CM51" i="6"/>
  <c r="CK51" i="6"/>
  <c r="CJ51" i="6"/>
  <c r="CH51" i="6"/>
  <c r="CG51" i="6"/>
  <c r="D51" i="6" a="1"/>
  <c r="D51" i="6"/>
  <c r="CV51" i="6" s="1"/>
  <c r="EJ50" i="6" a="1"/>
  <c r="EJ50" i="6" s="1"/>
  <c r="EI50" i="6" a="1"/>
  <c r="EI50" i="6" s="1"/>
  <c r="EH50" i="6" a="1"/>
  <c r="EH50" i="6" s="1"/>
  <c r="EG50" i="6" a="1"/>
  <c r="EG50" i="6" s="1"/>
  <c r="EF50" i="6" a="1"/>
  <c r="EF50" i="6"/>
  <c r="EE50" i="6" a="1"/>
  <c r="EE50" i="6" s="1"/>
  <c r="ED50" i="6" a="1"/>
  <c r="ED50" i="6" s="1"/>
  <c r="EC50" i="6" a="1"/>
  <c r="EC50" i="6"/>
  <c r="EB50" i="6" a="1"/>
  <c r="EB50" i="6" s="1"/>
  <c r="EA50" i="6" a="1"/>
  <c r="EA50" i="6" s="1"/>
  <c r="DZ50" i="6" a="1"/>
  <c r="DZ50" i="6" s="1"/>
  <c r="DY50" i="6" a="1"/>
  <c r="DY50" i="6" s="1"/>
  <c r="DX50" i="6" a="1"/>
  <c r="DX50" i="6" s="1"/>
  <c r="DW50" i="6" a="1"/>
  <c r="DW50" i="6"/>
  <c r="DV50" i="6" a="1"/>
  <c r="DV50" i="6" s="1"/>
  <c r="DU50" i="6" a="1"/>
  <c r="DU50" i="6" s="1"/>
  <c r="DT50" i="6"/>
  <c r="DR50" i="6" a="1"/>
  <c r="DR50" i="6" s="1"/>
  <c r="DQ50" i="6" a="1"/>
  <c r="DQ50" i="6"/>
  <c r="DP50" i="6" a="1"/>
  <c r="DP50" i="6"/>
  <c r="DO50" i="6" a="1"/>
  <c r="DO50" i="6"/>
  <c r="DN50" i="6" a="1"/>
  <c r="DN50" i="6"/>
  <c r="DM50" i="6" a="1"/>
  <c r="DM50" i="6" s="1"/>
  <c r="DL50" i="6" a="1"/>
  <c r="DL50" i="6" s="1"/>
  <c r="DK50" i="6" a="1"/>
  <c r="DK50" i="6"/>
  <c r="DJ50" i="6" a="1"/>
  <c r="DJ50" i="6"/>
  <c r="DI50" i="6" a="1"/>
  <c r="DI50" i="6"/>
  <c r="DH50" i="6" a="1"/>
  <c r="DH50" i="6"/>
  <c r="DG50" i="6" a="1"/>
  <c r="DG50" i="6" s="1"/>
  <c r="DF50" i="6" a="1"/>
  <c r="DF50" i="6" s="1"/>
  <c r="DE50" i="6" a="1"/>
  <c r="DE50" i="6"/>
  <c r="DD50" i="6" a="1"/>
  <c r="DD50" i="6"/>
  <c r="DC50" i="6" a="1"/>
  <c r="DC50" i="6"/>
  <c r="DB50" i="6"/>
  <c r="DA50" i="6" a="1"/>
  <c r="DA50" i="6" s="1"/>
  <c r="CY50" i="6"/>
  <c r="CQ50" i="6"/>
  <c r="CP50" i="6"/>
  <c r="CO50" i="6"/>
  <c r="CN50" i="6"/>
  <c r="CM50" i="6"/>
  <c r="CL50" i="6"/>
  <c r="CK50" i="6"/>
  <c r="CJ50" i="6"/>
  <c r="CI50" i="6"/>
  <c r="CH50" i="6"/>
  <c r="CG50" i="6"/>
  <c r="CR50" i="6" s="1"/>
  <c r="D50" i="6" a="1"/>
  <c r="D50" i="6" s="1"/>
  <c r="CV50" i="6" s="1"/>
  <c r="EJ49" i="6" a="1"/>
  <c r="EJ49" i="6" s="1"/>
  <c r="EI49" i="6" a="1"/>
  <c r="EI49" i="6" s="1"/>
  <c r="EH49" i="6" a="1"/>
  <c r="EH49" i="6" s="1"/>
  <c r="EG49" i="6" a="1"/>
  <c r="EG49" i="6" s="1"/>
  <c r="EF49" i="6" a="1"/>
  <c r="EF49" i="6" s="1"/>
  <c r="EE49" i="6" a="1"/>
  <c r="EE49" i="6"/>
  <c r="ED49" i="6" a="1"/>
  <c r="ED49" i="6"/>
  <c r="EC49" i="6" a="1"/>
  <c r="EC49" i="6"/>
  <c r="EB49" i="6" a="1"/>
  <c r="EB49" i="6" s="1"/>
  <c r="EA49" i="6" a="1"/>
  <c r="EA49" i="6" s="1"/>
  <c r="DZ49" i="6" a="1"/>
  <c r="DZ49" i="6" s="1"/>
  <c r="DY49" i="6" a="1"/>
  <c r="DY49" i="6" s="1"/>
  <c r="DX49" i="6" a="1"/>
  <c r="DX49" i="6"/>
  <c r="DW49" i="6" a="1"/>
  <c r="DW49" i="6"/>
  <c r="DV49" i="6" a="1"/>
  <c r="DV49" i="6" s="1"/>
  <c r="DU49" i="6" a="1"/>
  <c r="DU49" i="6" s="1"/>
  <c r="DT49" i="6"/>
  <c r="DR49" i="6" a="1"/>
  <c r="DR49" i="6"/>
  <c r="DQ49" i="6" a="1"/>
  <c r="DQ49" i="6" s="1"/>
  <c r="DP49" i="6" a="1"/>
  <c r="DP49" i="6" s="1"/>
  <c r="DO49" i="6" a="1"/>
  <c r="DO49" i="6" s="1"/>
  <c r="DN49" i="6" a="1"/>
  <c r="DN49" i="6"/>
  <c r="DM49" i="6" a="1"/>
  <c r="DM49" i="6" s="1"/>
  <c r="DL49" i="6" a="1"/>
  <c r="DL49" i="6"/>
  <c r="DK49" i="6" a="1"/>
  <c r="DK49" i="6" s="1"/>
  <c r="DJ49" i="6" a="1"/>
  <c r="DJ49" i="6"/>
  <c r="DI49" i="6" a="1"/>
  <c r="DI49" i="6" s="1"/>
  <c r="DH49" i="6" a="1"/>
  <c r="DH49" i="6"/>
  <c r="DG49" i="6" a="1"/>
  <c r="DG49" i="6" s="1"/>
  <c r="DF49" i="6" a="1"/>
  <c r="DF49" i="6"/>
  <c r="DE49" i="6" a="1"/>
  <c r="DE49" i="6" s="1"/>
  <c r="DD49" i="6" a="1"/>
  <c r="DD49" i="6"/>
  <c r="DC49" i="6" a="1"/>
  <c r="DC49" i="6"/>
  <c r="DB49" i="6"/>
  <c r="DA49" i="6" a="1"/>
  <c r="DA49" i="6"/>
  <c r="CY49" i="6"/>
  <c r="CQ49" i="6"/>
  <c r="CP49" i="6"/>
  <c r="CO49" i="6"/>
  <c r="CN49" i="6"/>
  <c r="CM49" i="6"/>
  <c r="CL49" i="6"/>
  <c r="CK49" i="6"/>
  <c r="CJ49" i="6"/>
  <c r="CI49" i="6"/>
  <c r="CH49" i="6"/>
  <c r="CG49" i="6"/>
  <c r="CR49" i="6" s="1"/>
  <c r="D49" i="6" a="1"/>
  <c r="D49" i="6"/>
  <c r="CV49" i="6" s="1"/>
  <c r="EJ48" i="6" a="1"/>
  <c r="EJ48" i="6" s="1"/>
  <c r="EI48" i="6" a="1"/>
  <c r="EI48" i="6"/>
  <c r="EH48" i="6" a="1"/>
  <c r="EH48" i="6" s="1"/>
  <c r="EG48" i="6" a="1"/>
  <c r="EG48" i="6" s="1"/>
  <c r="EF48" i="6" a="1"/>
  <c r="EF48" i="6" s="1"/>
  <c r="EE48" i="6" a="1"/>
  <c r="EE48" i="6" s="1"/>
  <c r="ED48" i="6" a="1"/>
  <c r="ED48" i="6" s="1"/>
  <c r="EC48" i="6" a="1"/>
  <c r="EC48" i="6"/>
  <c r="EB48" i="6" a="1"/>
  <c r="EB48" i="6"/>
  <c r="EA48" i="6" a="1"/>
  <c r="EA48" i="6" s="1"/>
  <c r="DZ48" i="6" a="1"/>
  <c r="DZ48" i="6" s="1"/>
  <c r="DY48" i="6" a="1"/>
  <c r="DY48" i="6" s="1"/>
  <c r="DX48" i="6" a="1"/>
  <c r="DX48" i="6" s="1"/>
  <c r="DW48" i="6" a="1"/>
  <c r="DW48" i="6"/>
  <c r="DV48" i="6" a="1"/>
  <c r="DV48" i="6"/>
  <c r="DU48" i="6" a="1"/>
  <c r="DU48" i="6"/>
  <c r="DT48" i="6"/>
  <c r="DR48" i="6" a="1"/>
  <c r="DR48" i="6"/>
  <c r="DQ48" i="6" a="1"/>
  <c r="DQ48" i="6" s="1"/>
  <c r="DP48" i="6" a="1"/>
  <c r="DP48" i="6"/>
  <c r="DO48" i="6" a="1"/>
  <c r="DO48" i="6"/>
  <c r="DN48" i="6" a="1"/>
  <c r="DN48" i="6"/>
  <c r="DM48" i="6" a="1"/>
  <c r="DM48" i="6" s="1"/>
  <c r="DL48" i="6" a="1"/>
  <c r="DL48" i="6"/>
  <c r="DK48" i="6" a="1"/>
  <c r="DK48" i="6" s="1"/>
  <c r="DJ48" i="6" a="1"/>
  <c r="DJ48" i="6"/>
  <c r="DI48" i="6" a="1"/>
  <c r="DI48" i="6"/>
  <c r="DH48" i="6" a="1"/>
  <c r="DH48" i="6"/>
  <c r="DG48" i="6" a="1"/>
  <c r="DG48" i="6" s="1"/>
  <c r="DF48" i="6" a="1"/>
  <c r="DF48" i="6"/>
  <c r="DE48" i="6" a="1"/>
  <c r="DE48" i="6" s="1"/>
  <c r="DD48" i="6" a="1"/>
  <c r="DD48" i="6"/>
  <c r="DC48" i="6" a="1"/>
  <c r="DC48" i="6"/>
  <c r="DB48" i="6"/>
  <c r="DA48" i="6" a="1"/>
  <c r="DA48" i="6" s="1"/>
  <c r="CY48" i="6"/>
  <c r="CQ48" i="6"/>
  <c r="CP48" i="6"/>
  <c r="CO48" i="6"/>
  <c r="CN48" i="6"/>
  <c r="CM48" i="6"/>
  <c r="CL48" i="6"/>
  <c r="CK48" i="6"/>
  <c r="CJ48" i="6"/>
  <c r="CH48" i="6"/>
  <c r="CG48" i="6"/>
  <c r="CR48" i="6" s="1"/>
  <c r="D48" i="6" a="1"/>
  <c r="D48" i="6" s="1"/>
  <c r="CV48" i="6" s="1"/>
  <c r="EJ47" i="6" a="1"/>
  <c r="EJ47" i="6" s="1"/>
  <c r="EI47" i="6" a="1"/>
  <c r="EI47" i="6" s="1"/>
  <c r="EH47" i="6" a="1"/>
  <c r="EH47" i="6" s="1"/>
  <c r="EG47" i="6" a="1"/>
  <c r="EG47" i="6" s="1"/>
  <c r="EF47" i="6" a="1"/>
  <c r="EF47" i="6"/>
  <c r="EE47" i="6" a="1"/>
  <c r="EE47" i="6" s="1"/>
  <c r="ED47" i="6" a="1"/>
  <c r="ED47" i="6" s="1"/>
  <c r="EC47" i="6" a="1"/>
  <c r="EC47" i="6"/>
  <c r="EB47" i="6" a="1"/>
  <c r="EB47" i="6" s="1"/>
  <c r="EA47" i="6" a="1"/>
  <c r="EA47" i="6"/>
  <c r="DZ47" i="6" a="1"/>
  <c r="DZ47" i="6" s="1"/>
  <c r="DY47" i="6" a="1"/>
  <c r="DY47" i="6"/>
  <c r="DX47" i="6" a="1"/>
  <c r="DX47" i="6" s="1"/>
  <c r="DW47" i="6" a="1"/>
  <c r="DW47" i="6"/>
  <c r="DV47" i="6" a="1"/>
  <c r="DV47" i="6" s="1"/>
  <c r="DU47" i="6" a="1"/>
  <c r="DU47" i="6"/>
  <c r="DT47" i="6"/>
  <c r="DR47" i="6" a="1"/>
  <c r="DR47" i="6"/>
  <c r="DQ47" i="6" a="1"/>
  <c r="DQ47" i="6" s="1"/>
  <c r="DP47" i="6" a="1"/>
  <c r="DP47" i="6"/>
  <c r="DO47" i="6" a="1"/>
  <c r="DO47" i="6"/>
  <c r="DN47" i="6" a="1"/>
  <c r="DN47" i="6"/>
  <c r="DM47" i="6" a="1"/>
  <c r="DM47" i="6"/>
  <c r="DL47" i="6" a="1"/>
  <c r="DL47" i="6" s="1"/>
  <c r="DK47" i="6" a="1"/>
  <c r="DK47" i="6" s="1"/>
  <c r="DJ47" i="6" a="1"/>
  <c r="DJ47" i="6"/>
  <c r="DI47" i="6" a="1"/>
  <c r="DI47" i="6"/>
  <c r="DH47" i="6" a="1"/>
  <c r="DH47" i="6"/>
  <c r="DG47" i="6" a="1"/>
  <c r="DG47" i="6"/>
  <c r="DF47" i="6" a="1"/>
  <c r="DF47" i="6"/>
  <c r="DE47" i="6" a="1"/>
  <c r="DE47" i="6" s="1"/>
  <c r="DD47" i="6" a="1"/>
  <c r="DD47" i="6"/>
  <c r="DC47" i="6" a="1"/>
  <c r="DC47" i="6"/>
  <c r="DB47" i="6"/>
  <c r="DA47" i="6" a="1"/>
  <c r="DA47" i="6"/>
  <c r="CY47" i="6"/>
  <c r="CQ47" i="6"/>
  <c r="CP47" i="6"/>
  <c r="CN47" i="6"/>
  <c r="CM47" i="6"/>
  <c r="CL47" i="6"/>
  <c r="CK47" i="6"/>
  <c r="CJ47" i="6"/>
  <c r="CI47" i="6"/>
  <c r="CH47" i="6"/>
  <c r="CG47" i="6"/>
  <c r="CR47" i="6" s="1"/>
  <c r="D47" i="6" a="1"/>
  <c r="D47" i="6"/>
  <c r="EJ46" i="6" a="1"/>
  <c r="EJ46" i="6" s="1"/>
  <c r="EI46" i="6" a="1"/>
  <c r="EI46" i="6"/>
  <c r="EH46" i="6" a="1"/>
  <c r="EH46" i="6" s="1"/>
  <c r="EG46" i="6" a="1"/>
  <c r="EG46" i="6" s="1"/>
  <c r="EF46" i="6" a="1"/>
  <c r="EF46" i="6" s="1"/>
  <c r="EE46" i="6" a="1"/>
  <c r="EE46" i="6"/>
  <c r="ED46" i="6" a="1"/>
  <c r="ED46" i="6" s="1"/>
  <c r="EC46" i="6" a="1"/>
  <c r="EC46" i="6" s="1"/>
  <c r="EB46" i="6" a="1"/>
  <c r="EB46" i="6" s="1"/>
  <c r="EA46" i="6" a="1"/>
  <c r="EA46" i="6" s="1"/>
  <c r="DZ46" i="6" a="1"/>
  <c r="DZ46" i="6" s="1"/>
  <c r="DY46" i="6" a="1"/>
  <c r="DY46" i="6" s="1"/>
  <c r="DX46" i="6" a="1"/>
  <c r="DX46" i="6"/>
  <c r="DW46" i="6" a="1"/>
  <c r="DW46" i="6" s="1"/>
  <c r="DV46" i="6" a="1"/>
  <c r="DV46" i="6" s="1"/>
  <c r="DU46" i="6" a="1"/>
  <c r="DU46" i="6" s="1"/>
  <c r="DT46" i="6"/>
  <c r="DR46" i="6" a="1"/>
  <c r="DR46" i="6"/>
  <c r="DQ46" i="6" a="1"/>
  <c r="DQ46" i="6" s="1"/>
  <c r="DP46" i="6" a="1"/>
  <c r="DP46" i="6"/>
  <c r="DO46" i="6" a="1"/>
  <c r="DO46" i="6" s="1"/>
  <c r="DN46" i="6" a="1"/>
  <c r="DN46" i="6"/>
  <c r="DM46" i="6" a="1"/>
  <c r="DM46" i="6"/>
  <c r="DL46" i="6" a="1"/>
  <c r="DL46" i="6"/>
  <c r="DK46" i="6" a="1"/>
  <c r="DK46" i="6" s="1"/>
  <c r="DJ46" i="6" a="1"/>
  <c r="DJ46" i="6"/>
  <c r="DI46" i="6" a="1"/>
  <c r="DI46" i="6" s="1"/>
  <c r="DH46" i="6" a="1"/>
  <c r="DH46" i="6"/>
  <c r="DG46" i="6" a="1"/>
  <c r="DG46" i="6" s="1"/>
  <c r="DF46" i="6" a="1"/>
  <c r="DF46" i="6"/>
  <c r="DE46" i="6" a="1"/>
  <c r="DE46" i="6" s="1"/>
  <c r="DD46" i="6" a="1"/>
  <c r="DD46" i="6"/>
  <c r="DC46" i="6" a="1"/>
  <c r="DC46" i="6" s="1"/>
  <c r="DB46" i="6"/>
  <c r="DA46" i="6" a="1"/>
  <c r="DA46" i="6"/>
  <c r="CY46" i="6"/>
  <c r="CQ46" i="6"/>
  <c r="CP46" i="6"/>
  <c r="CN46" i="6"/>
  <c r="CM46" i="6"/>
  <c r="CK46" i="6"/>
  <c r="CJ46" i="6"/>
  <c r="CH46" i="6"/>
  <c r="CG46" i="6"/>
  <c r="D46" i="6" a="1"/>
  <c r="D46" i="6"/>
  <c r="CV46" i="6" s="1"/>
  <c r="EJ45" i="6" a="1"/>
  <c r="EJ45" i="6" s="1"/>
  <c r="EI45" i="6" a="1"/>
  <c r="EI45" i="6"/>
  <c r="EH45" i="6" a="1"/>
  <c r="EH45" i="6"/>
  <c r="EG45" i="6" a="1"/>
  <c r="EG45" i="6"/>
  <c r="EF45" i="6" a="1"/>
  <c r="EF45" i="6" s="1"/>
  <c r="EE45" i="6" a="1"/>
  <c r="EE45" i="6" s="1"/>
  <c r="ED45" i="6" a="1"/>
  <c r="ED45" i="6" s="1"/>
  <c r="EC45" i="6" a="1"/>
  <c r="EC45" i="6"/>
  <c r="EB45" i="6" a="1"/>
  <c r="EB45" i="6" s="1"/>
  <c r="EA45" i="6" a="1"/>
  <c r="EA45" i="6" s="1"/>
  <c r="DZ45" i="6" a="1"/>
  <c r="DZ45" i="6" s="1"/>
  <c r="DY45" i="6" a="1"/>
  <c r="DY45" i="6" s="1"/>
  <c r="DX45" i="6" a="1"/>
  <c r="DX45" i="6" s="1"/>
  <c r="DW45" i="6" a="1"/>
  <c r="DW45" i="6" s="1"/>
  <c r="DV45" i="6" a="1"/>
  <c r="DV45" i="6"/>
  <c r="DU45" i="6" a="1"/>
  <c r="DU45" i="6" s="1"/>
  <c r="DT45" i="6"/>
  <c r="DR45" i="6" a="1"/>
  <c r="DR45" i="6"/>
  <c r="DQ45" i="6" a="1"/>
  <c r="DQ45" i="6" s="1"/>
  <c r="DP45" i="6" a="1"/>
  <c r="DP45" i="6"/>
  <c r="DO45" i="6" a="1"/>
  <c r="DO45" i="6" s="1"/>
  <c r="DN45" i="6" a="1"/>
  <c r="DN45" i="6"/>
  <c r="DM45" i="6" a="1"/>
  <c r="DM45" i="6"/>
  <c r="DL45" i="6" a="1"/>
  <c r="DL45" i="6"/>
  <c r="DK45" i="6" a="1"/>
  <c r="DK45" i="6" s="1"/>
  <c r="DJ45" i="6" a="1"/>
  <c r="DJ45" i="6"/>
  <c r="DI45" i="6" a="1"/>
  <c r="DI45" i="6" s="1"/>
  <c r="DH45" i="6" a="1"/>
  <c r="DH45" i="6"/>
  <c r="DG45" i="6" a="1"/>
  <c r="DG45" i="6"/>
  <c r="DF45" i="6" a="1"/>
  <c r="DF45" i="6"/>
  <c r="DE45" i="6" a="1"/>
  <c r="DE45" i="6" s="1"/>
  <c r="DD45" i="6" a="1"/>
  <c r="DD45" i="6"/>
  <c r="DC45" i="6" a="1"/>
  <c r="DC45" i="6" s="1"/>
  <c r="DB45" i="6"/>
  <c r="DA45" i="6" a="1"/>
  <c r="DA45" i="6"/>
  <c r="CY45" i="6"/>
  <c r="CQ45" i="6"/>
  <c r="CP45" i="6"/>
  <c r="CN45" i="6"/>
  <c r="CM45" i="6"/>
  <c r="CL45" i="6"/>
  <c r="CK45" i="6"/>
  <c r="CJ45" i="6"/>
  <c r="CH45" i="6"/>
  <c r="CG45" i="6"/>
  <c r="D45" i="6" a="1"/>
  <c r="D45" i="6" s="1"/>
  <c r="CV45" i="6" s="1"/>
  <c r="EJ44" i="6" a="1"/>
  <c r="EJ44" i="6" s="1"/>
  <c r="EI44" i="6" a="1"/>
  <c r="EI44" i="6"/>
  <c r="EH44" i="6" a="1"/>
  <c r="EH44" i="6" s="1"/>
  <c r="EG44" i="6" a="1"/>
  <c r="EG44" i="6"/>
  <c r="EF44" i="6" a="1"/>
  <c r="EF44" i="6"/>
  <c r="EE44" i="6" a="1"/>
  <c r="EE44" i="6" s="1"/>
  <c r="ED44" i="6" a="1"/>
  <c r="ED44" i="6" s="1"/>
  <c r="EC44" i="6" a="1"/>
  <c r="EC44" i="6" s="1"/>
  <c r="EB44" i="6" a="1"/>
  <c r="EB44" i="6" s="1"/>
  <c r="EA44" i="6" a="1"/>
  <c r="EA44" i="6" s="1"/>
  <c r="DZ44" i="6" a="1"/>
  <c r="DZ44" i="6"/>
  <c r="DY44" i="6" a="1"/>
  <c r="DY44" i="6"/>
  <c r="DX44" i="6" a="1"/>
  <c r="DX44" i="6" s="1"/>
  <c r="DW44" i="6" a="1"/>
  <c r="DW44" i="6" s="1"/>
  <c r="DV44" i="6" a="1"/>
  <c r="DV44" i="6" s="1"/>
  <c r="DU44" i="6" a="1"/>
  <c r="DU44" i="6" s="1"/>
  <c r="DT44" i="6"/>
  <c r="DR44" i="6" a="1"/>
  <c r="DR44" i="6"/>
  <c r="DQ44" i="6" a="1"/>
  <c r="DQ44" i="6"/>
  <c r="DP44" i="6" a="1"/>
  <c r="DP44" i="6"/>
  <c r="DO44" i="6" a="1"/>
  <c r="DO44" i="6" s="1"/>
  <c r="DN44" i="6" a="1"/>
  <c r="DN44" i="6"/>
  <c r="DM44" i="6" a="1"/>
  <c r="DM44" i="6"/>
  <c r="DL44" i="6" a="1"/>
  <c r="DL44" i="6"/>
  <c r="DK44" i="6" a="1"/>
  <c r="DK44" i="6" s="1"/>
  <c r="DJ44" i="6" a="1"/>
  <c r="DJ44" i="6"/>
  <c r="DI44" i="6" a="1"/>
  <c r="DI44" i="6" s="1"/>
  <c r="DH44" i="6" a="1"/>
  <c r="DH44" i="6"/>
  <c r="DG44" i="6" a="1"/>
  <c r="DG44" i="6"/>
  <c r="DF44" i="6" a="1"/>
  <c r="DF44" i="6" s="1"/>
  <c r="DE44" i="6" a="1"/>
  <c r="DE44" i="6"/>
  <c r="DD44" i="6" a="1"/>
  <c r="DD44" i="6"/>
  <c r="DC44" i="6" a="1"/>
  <c r="DC44" i="6" s="1"/>
  <c r="DB44" i="6"/>
  <c r="DA44" i="6" a="1"/>
  <c r="DA44" i="6" s="1"/>
  <c r="CY44" i="6"/>
  <c r="CQ44" i="6"/>
  <c r="CP44" i="6"/>
  <c r="CN44" i="6"/>
  <c r="CM44" i="6"/>
  <c r="CK44" i="6"/>
  <c r="CJ44" i="6"/>
  <c r="CH44" i="6"/>
  <c r="CG44" i="6"/>
  <c r="D44" i="6" a="1"/>
  <c r="D44" i="6"/>
  <c r="CV44" i="6" s="1"/>
  <c r="EJ43" i="6" a="1"/>
  <c r="EJ43" i="6" s="1"/>
  <c r="EI43" i="6" a="1"/>
  <c r="EI43" i="6"/>
  <c r="EH43" i="6" a="1"/>
  <c r="EH43" i="6"/>
  <c r="EG43" i="6" a="1"/>
  <c r="EG43" i="6" s="1"/>
  <c r="EF43" i="6" a="1"/>
  <c r="EF43" i="6"/>
  <c r="EE43" i="6" a="1"/>
  <c r="EE43" i="6" s="1"/>
  <c r="ED43" i="6" a="1"/>
  <c r="ED43" i="6" s="1"/>
  <c r="EC43" i="6" a="1"/>
  <c r="EC43" i="6"/>
  <c r="EB43" i="6" a="1"/>
  <c r="EB43" i="6"/>
  <c r="EA43" i="6" a="1"/>
  <c r="EA43" i="6"/>
  <c r="DZ43" i="6" a="1"/>
  <c r="DZ43" i="6" s="1"/>
  <c r="DY43" i="6" a="1"/>
  <c r="DY43" i="6" s="1"/>
  <c r="DX43" i="6" a="1"/>
  <c r="DX43" i="6" s="1"/>
  <c r="DW43" i="6" a="1"/>
  <c r="DW43" i="6"/>
  <c r="DV43" i="6" a="1"/>
  <c r="DV43" i="6" s="1"/>
  <c r="DU43" i="6" a="1"/>
  <c r="DU43" i="6"/>
  <c r="DT43" i="6"/>
  <c r="DR43" i="6" a="1"/>
  <c r="DR43" i="6" s="1"/>
  <c r="DQ43" i="6" a="1"/>
  <c r="DQ43" i="6"/>
  <c r="DP43" i="6" a="1"/>
  <c r="DP43" i="6" s="1"/>
  <c r="DO43" i="6" a="1"/>
  <c r="DO43" i="6" s="1"/>
  <c r="DN43" i="6" a="1"/>
  <c r="DN43" i="6"/>
  <c r="DM43" i="6" a="1"/>
  <c r="DM43" i="6" s="1"/>
  <c r="DL43" i="6" a="1"/>
  <c r="DL43" i="6" s="1"/>
  <c r="DK43" i="6" a="1"/>
  <c r="DK43" i="6"/>
  <c r="DJ43" i="6" a="1"/>
  <c r="DJ43" i="6" s="1"/>
  <c r="DI43" i="6" a="1"/>
  <c r="DI43" i="6" s="1"/>
  <c r="DH43" i="6" a="1"/>
  <c r="DH43" i="6" s="1"/>
  <c r="DG43" i="6" a="1"/>
  <c r="DG43" i="6"/>
  <c r="DF43" i="6" a="1"/>
  <c r="DF43" i="6" s="1"/>
  <c r="DE43" i="6" a="1"/>
  <c r="DE43" i="6"/>
  <c r="DD43" i="6" a="1"/>
  <c r="DD43" i="6" s="1"/>
  <c r="DC43" i="6" a="1"/>
  <c r="DC43" i="6" s="1"/>
  <c r="DB43" i="6"/>
  <c r="DA43" i="6" a="1"/>
  <c r="DA43" i="6" s="1"/>
  <c r="CY43" i="6"/>
  <c r="CQ43" i="6"/>
  <c r="CP43" i="6"/>
  <c r="CO43" i="6"/>
  <c r="CN43" i="6"/>
  <c r="CM43" i="6"/>
  <c r="CL43" i="6"/>
  <c r="CK43" i="6"/>
  <c r="CJ43" i="6"/>
  <c r="CI43" i="6"/>
  <c r="CH43" i="6"/>
  <c r="CG43" i="6"/>
  <c r="CR43" i="6" s="1"/>
  <c r="D43" i="6" a="1"/>
  <c r="D43" i="6"/>
  <c r="EJ42" i="6" a="1"/>
  <c r="EJ42" i="6"/>
  <c r="EI42" i="6" a="1"/>
  <c r="EI42" i="6" s="1"/>
  <c r="EH42" i="6" a="1"/>
  <c r="EH42" i="6" s="1"/>
  <c r="EG42" i="6" a="1"/>
  <c r="EG42" i="6"/>
  <c r="EF42" i="6" a="1"/>
  <c r="EF42" i="6" s="1"/>
  <c r="EE42" i="6" a="1"/>
  <c r="EE42" i="6"/>
  <c r="ED42" i="6" a="1"/>
  <c r="ED42" i="6" s="1"/>
  <c r="EC42" i="6" a="1"/>
  <c r="EC42" i="6" s="1"/>
  <c r="EB42" i="6" a="1"/>
  <c r="EB42" i="6" s="1"/>
  <c r="EA42" i="6" a="1"/>
  <c r="EA42" i="6"/>
  <c r="DZ42" i="6" a="1"/>
  <c r="DZ42" i="6" s="1"/>
  <c r="DY42" i="6" a="1"/>
  <c r="DY42" i="6"/>
  <c r="DX42" i="6" a="1"/>
  <c r="DX42" i="6" s="1"/>
  <c r="DW42" i="6" a="1"/>
  <c r="DW42" i="6" s="1"/>
  <c r="DV42" i="6" a="1"/>
  <c r="DV42" i="6" s="1"/>
  <c r="DU42" i="6" a="1"/>
  <c r="DU42" i="6"/>
  <c r="DT42" i="6"/>
  <c r="DR42" i="6" a="1"/>
  <c r="DR42" i="6"/>
  <c r="DQ42" i="6" a="1"/>
  <c r="DQ42" i="6"/>
  <c r="DP42" i="6" a="1"/>
  <c r="DP42" i="6" s="1"/>
  <c r="DO42" i="6" a="1"/>
  <c r="DO42" i="6" s="1"/>
  <c r="DN42" i="6" a="1"/>
  <c r="DN42" i="6" s="1"/>
  <c r="DM42" i="6" a="1"/>
  <c r="DM42" i="6" s="1"/>
  <c r="DL42" i="6" a="1"/>
  <c r="DL42" i="6"/>
  <c r="DK42" i="6" a="1"/>
  <c r="DK42" i="6" s="1"/>
  <c r="DJ42" i="6" a="1"/>
  <c r="DJ42" i="6" s="1"/>
  <c r="DI42" i="6" a="1"/>
  <c r="DI42" i="6" s="1"/>
  <c r="DH42" i="6" a="1"/>
  <c r="DH42" i="6" s="1"/>
  <c r="DG42" i="6" a="1"/>
  <c r="DG42" i="6" s="1"/>
  <c r="DF42" i="6" a="1"/>
  <c r="DF42" i="6" s="1"/>
  <c r="DE42" i="6" a="1"/>
  <c r="DE42" i="6"/>
  <c r="DD42" i="6" a="1"/>
  <c r="DD42" i="6" s="1"/>
  <c r="DC42" i="6" a="1"/>
  <c r="DC42" i="6" s="1"/>
  <c r="DB42" i="6"/>
  <c r="DA42" i="6" a="1"/>
  <c r="DA42" i="6"/>
  <c r="CY42" i="6"/>
  <c r="CQ42" i="6"/>
  <c r="CP42" i="6"/>
  <c r="CN42" i="6"/>
  <c r="CM42" i="6"/>
  <c r="CK42" i="6"/>
  <c r="CJ42" i="6"/>
  <c r="CH42" i="6"/>
  <c r="CG42" i="6"/>
  <c r="D42" i="6" a="1"/>
  <c r="D42" i="6" s="1"/>
  <c r="CV42" i="6" s="1"/>
  <c r="EJ41" i="6" a="1"/>
  <c r="EJ41" i="6" s="1"/>
  <c r="EI41" i="6" a="1"/>
  <c r="EI41" i="6" s="1"/>
  <c r="EH41" i="6" a="1"/>
  <c r="EH41" i="6"/>
  <c r="EG41" i="6" a="1"/>
  <c r="EG41" i="6" s="1"/>
  <c r="EF41" i="6" a="1"/>
  <c r="EF41" i="6" s="1"/>
  <c r="EE41" i="6" a="1"/>
  <c r="EE41" i="6"/>
  <c r="ED41" i="6" a="1"/>
  <c r="ED41" i="6" s="1"/>
  <c r="EC41" i="6" a="1"/>
  <c r="EC41" i="6"/>
  <c r="EB41" i="6" a="1"/>
  <c r="EB41" i="6" s="1"/>
  <c r="EA41" i="6" a="1"/>
  <c r="EA41" i="6" s="1"/>
  <c r="DZ41" i="6" a="1"/>
  <c r="DZ41" i="6" s="1"/>
  <c r="DY41" i="6" a="1"/>
  <c r="DY41" i="6"/>
  <c r="DX41" i="6" a="1"/>
  <c r="DX41" i="6" s="1"/>
  <c r="DW41" i="6" a="1"/>
  <c r="DW41" i="6"/>
  <c r="DV41" i="6" a="1"/>
  <c r="DV41" i="6" s="1"/>
  <c r="DU41" i="6" a="1"/>
  <c r="DU41" i="6" s="1"/>
  <c r="DT41" i="6"/>
  <c r="DR41" i="6" a="1"/>
  <c r="DR41" i="6" s="1"/>
  <c r="DQ41" i="6" a="1"/>
  <c r="DQ41" i="6" s="1"/>
  <c r="DP41" i="6" a="1"/>
  <c r="DP41" i="6"/>
  <c r="DO41" i="6" a="1"/>
  <c r="DO41" i="6"/>
  <c r="DN41" i="6" a="1"/>
  <c r="DN41" i="6" s="1"/>
  <c r="DM41" i="6" a="1"/>
  <c r="DM41" i="6" s="1"/>
  <c r="DL41" i="6" a="1"/>
  <c r="DL41" i="6" s="1"/>
  <c r="DK41" i="6" a="1"/>
  <c r="DK41" i="6" s="1"/>
  <c r="DJ41" i="6" a="1"/>
  <c r="DJ41" i="6"/>
  <c r="DI41" i="6" a="1"/>
  <c r="DI41" i="6" s="1"/>
  <c r="DH41" i="6" a="1"/>
  <c r="DH41" i="6" s="1"/>
  <c r="DG41" i="6" a="1"/>
  <c r="DG41" i="6" s="1"/>
  <c r="DF41" i="6" a="1"/>
  <c r="DF41" i="6" s="1"/>
  <c r="DE41" i="6" a="1"/>
  <c r="DE41" i="6" s="1"/>
  <c r="DD41" i="6" a="1"/>
  <c r="DD41" i="6"/>
  <c r="DC41" i="6" a="1"/>
  <c r="DC41" i="6"/>
  <c r="DB41" i="6"/>
  <c r="DA41" i="6" a="1"/>
  <c r="DA41" i="6" s="1"/>
  <c r="CY41" i="6"/>
  <c r="CR41" i="6"/>
  <c r="CQ41" i="6"/>
  <c r="CP41" i="6"/>
  <c r="CO41" i="6"/>
  <c r="CN41" i="6"/>
  <c r="CM41" i="6"/>
  <c r="CK41" i="6"/>
  <c r="CJ41" i="6"/>
  <c r="CH41" i="6"/>
  <c r="CG41" i="6"/>
  <c r="D41" i="6" a="1"/>
  <c r="D41" i="6" s="1"/>
  <c r="CV41" i="6" s="1"/>
  <c r="EJ40" i="6" a="1"/>
  <c r="EJ40" i="6" s="1"/>
  <c r="EI40" i="6" a="1"/>
  <c r="EI40" i="6"/>
  <c r="EH40" i="6" a="1"/>
  <c r="EH40" i="6"/>
  <c r="EG40" i="6" a="1"/>
  <c r="EG40" i="6"/>
  <c r="EF40" i="6" a="1"/>
  <c r="EF40" i="6"/>
  <c r="EE40" i="6" a="1"/>
  <c r="EE40" i="6" s="1"/>
  <c r="ED40" i="6" a="1"/>
  <c r="ED40" i="6" s="1"/>
  <c r="EC40" i="6" a="1"/>
  <c r="EC40" i="6"/>
  <c r="EB40" i="6" a="1"/>
  <c r="EB40" i="6"/>
  <c r="EA40" i="6" a="1"/>
  <c r="EA40" i="6"/>
  <c r="DZ40" i="6" a="1"/>
  <c r="DZ40" i="6"/>
  <c r="DY40" i="6" a="1"/>
  <c r="DY40" i="6" s="1"/>
  <c r="DX40" i="6" a="1"/>
  <c r="DX40" i="6" s="1"/>
  <c r="DW40" i="6" a="1"/>
  <c r="DW40" i="6"/>
  <c r="DV40" i="6" a="1"/>
  <c r="DV40" i="6"/>
  <c r="DU40" i="6" a="1"/>
  <c r="DU40" i="6"/>
  <c r="DT40" i="6"/>
  <c r="DR40" i="6" a="1"/>
  <c r="DR40" i="6" s="1"/>
  <c r="DQ40" i="6" a="1"/>
  <c r="DQ40" i="6"/>
  <c r="DP40" i="6" a="1"/>
  <c r="DP40" i="6" s="1"/>
  <c r="DO40" i="6" a="1"/>
  <c r="DO40" i="6" s="1"/>
  <c r="DN40" i="6" a="1"/>
  <c r="DN40" i="6" s="1"/>
  <c r="DM40" i="6" a="1"/>
  <c r="DM40" i="6" s="1"/>
  <c r="DL40" i="6" a="1"/>
  <c r="DL40" i="6" s="1"/>
  <c r="DK40" i="6" a="1"/>
  <c r="DK40" i="6"/>
  <c r="DJ40" i="6" a="1"/>
  <c r="DJ40" i="6" s="1"/>
  <c r="DI40" i="6" a="1"/>
  <c r="DI40" i="6" s="1"/>
  <c r="DH40" i="6" a="1"/>
  <c r="DH40" i="6" s="1"/>
  <c r="DG40" i="6" a="1"/>
  <c r="DG40" i="6" s="1"/>
  <c r="DF40" i="6" a="1"/>
  <c r="DF40" i="6" s="1"/>
  <c r="DE40" i="6" a="1"/>
  <c r="DE40" i="6" s="1"/>
  <c r="DD40" i="6" a="1"/>
  <c r="DD40" i="6" s="1"/>
  <c r="DC40" i="6" a="1"/>
  <c r="DC40" i="6"/>
  <c r="DB40" i="6"/>
  <c r="DA40" i="6" a="1"/>
  <c r="DA40" i="6" s="1"/>
  <c r="CY40" i="6"/>
  <c r="CQ40" i="6"/>
  <c r="CP40" i="6"/>
  <c r="CO40" i="6"/>
  <c r="CN40" i="6"/>
  <c r="CM40" i="6"/>
  <c r="CL40" i="6"/>
  <c r="CK40" i="6"/>
  <c r="CJ40" i="6"/>
  <c r="CI40" i="6"/>
  <c r="CH40" i="6"/>
  <c r="CG40" i="6"/>
  <c r="CR40" i="6" s="1"/>
  <c r="D40" i="6" a="1"/>
  <c r="D40" i="6" s="1"/>
  <c r="EJ39" i="6" a="1"/>
  <c r="EJ39" i="6"/>
  <c r="EI39" i="6" a="1"/>
  <c r="EI39" i="6" s="1"/>
  <c r="EH39" i="6" a="1"/>
  <c r="EH39" i="6" s="1"/>
  <c r="EG39" i="6" a="1"/>
  <c r="EG39" i="6"/>
  <c r="EF39" i="6" a="1"/>
  <c r="EF39" i="6" s="1"/>
  <c r="EE39" i="6" a="1"/>
  <c r="EE39" i="6" s="1"/>
  <c r="ED39" i="6" a="1"/>
  <c r="ED39" i="6"/>
  <c r="EC39" i="6" a="1"/>
  <c r="EC39" i="6" s="1"/>
  <c r="EB39" i="6" a="1"/>
  <c r="EB39" i="6" s="1"/>
  <c r="EA39" i="6" a="1"/>
  <c r="EA39" i="6"/>
  <c r="DZ39" i="6" a="1"/>
  <c r="DZ39" i="6"/>
  <c r="DY39" i="6" a="1"/>
  <c r="DY39" i="6" s="1"/>
  <c r="DX39" i="6" a="1"/>
  <c r="DX39" i="6" s="1"/>
  <c r="DW39" i="6" a="1"/>
  <c r="DW39" i="6" s="1"/>
  <c r="DV39" i="6" a="1"/>
  <c r="DV39" i="6" s="1"/>
  <c r="DU39" i="6" a="1"/>
  <c r="DU39" i="6"/>
  <c r="DT39" i="6"/>
  <c r="DR39" i="6" a="1"/>
  <c r="DR39" i="6" s="1"/>
  <c r="DQ39" i="6" a="1"/>
  <c r="DQ39" i="6" s="1"/>
  <c r="DP39" i="6" a="1"/>
  <c r="DP39" i="6" s="1"/>
  <c r="DO39" i="6" a="1"/>
  <c r="DO39" i="6" s="1"/>
  <c r="DN39" i="6" a="1"/>
  <c r="DN39" i="6" s="1"/>
  <c r="DM39" i="6" a="1"/>
  <c r="DM39" i="6" s="1"/>
  <c r="DL39" i="6" a="1"/>
  <c r="DL39" i="6" s="1"/>
  <c r="DK39" i="6" a="1"/>
  <c r="DK39" i="6" s="1"/>
  <c r="DJ39" i="6" a="1"/>
  <c r="DJ39" i="6"/>
  <c r="DI39" i="6" a="1"/>
  <c r="DI39" i="6" s="1"/>
  <c r="DH39" i="6" a="1"/>
  <c r="DH39" i="6" s="1"/>
  <c r="DG39" i="6" a="1"/>
  <c r="DG39" i="6" s="1"/>
  <c r="DF39" i="6" a="1"/>
  <c r="DF39" i="6" s="1"/>
  <c r="DE39" i="6" a="1"/>
  <c r="DE39" i="6" s="1"/>
  <c r="DD39" i="6" a="1"/>
  <c r="DD39" i="6" s="1"/>
  <c r="DC39" i="6" a="1"/>
  <c r="DC39" i="6" s="1"/>
  <c r="DB39" i="6"/>
  <c r="DA39" i="6" a="1"/>
  <c r="DA39" i="6"/>
  <c r="CY39" i="6"/>
  <c r="CQ39" i="6"/>
  <c r="CP39" i="6"/>
  <c r="CN39" i="6"/>
  <c r="CM39" i="6"/>
  <c r="CL39" i="6"/>
  <c r="CK39" i="6"/>
  <c r="CJ39" i="6"/>
  <c r="CH39" i="6"/>
  <c r="CG39" i="6"/>
  <c r="CO39" i="6" s="1"/>
  <c r="D39" i="6" a="1"/>
  <c r="D39" i="6" s="1"/>
  <c r="EJ38" i="6" a="1"/>
  <c r="EJ38" i="6" s="1"/>
  <c r="EI38" i="6" a="1"/>
  <c r="EI38" i="6" s="1"/>
  <c r="EH38" i="6" a="1"/>
  <c r="EH38" i="6" s="1"/>
  <c r="EG38" i="6" a="1"/>
  <c r="EG38" i="6" s="1"/>
  <c r="EF38" i="6" a="1"/>
  <c r="EF38" i="6" s="1"/>
  <c r="EE38" i="6" a="1"/>
  <c r="EE38" i="6"/>
  <c r="ED38" i="6" a="1"/>
  <c r="ED38" i="6" s="1"/>
  <c r="EC38" i="6" a="1"/>
  <c r="EC38" i="6" s="1"/>
  <c r="EB38" i="6" a="1"/>
  <c r="EB38" i="6" s="1"/>
  <c r="EA38" i="6" a="1"/>
  <c r="EA38" i="6" s="1"/>
  <c r="DZ38" i="6" a="1"/>
  <c r="DZ38" i="6" s="1"/>
  <c r="DY38" i="6" a="1"/>
  <c r="DY38" i="6"/>
  <c r="DX38" i="6" a="1"/>
  <c r="DX38" i="6" s="1"/>
  <c r="DW38" i="6" a="1"/>
  <c r="DW38" i="6" s="1"/>
  <c r="DV38" i="6" a="1"/>
  <c r="DV38" i="6" s="1"/>
  <c r="DU38" i="6" a="1"/>
  <c r="DU38" i="6" s="1"/>
  <c r="DT38" i="6"/>
  <c r="DR38" i="6" a="1"/>
  <c r="DR38" i="6" s="1"/>
  <c r="DQ38" i="6" a="1"/>
  <c r="DQ38" i="6" s="1"/>
  <c r="DP38" i="6" a="1"/>
  <c r="DP38" i="6" s="1"/>
  <c r="DO38" i="6" a="1"/>
  <c r="DO38" i="6"/>
  <c r="DN38" i="6" a="1"/>
  <c r="DN38" i="6"/>
  <c r="DM38" i="6" a="1"/>
  <c r="DM38" i="6" s="1"/>
  <c r="DL38" i="6" a="1"/>
  <c r="DL38" i="6" s="1"/>
  <c r="DK38" i="6" a="1"/>
  <c r="DK38" i="6"/>
  <c r="DJ38" i="6" a="1"/>
  <c r="DJ38" i="6"/>
  <c r="DI38" i="6" a="1"/>
  <c r="DI38" i="6" s="1"/>
  <c r="DH38" i="6" a="1"/>
  <c r="DH38" i="6"/>
  <c r="DG38" i="6" a="1"/>
  <c r="DG38" i="6" s="1"/>
  <c r="DF38" i="6" a="1"/>
  <c r="DF38" i="6" s="1"/>
  <c r="DE38" i="6" a="1"/>
  <c r="DE38" i="6"/>
  <c r="DD38" i="6" a="1"/>
  <c r="DD38" i="6"/>
  <c r="DC38" i="6" a="1"/>
  <c r="DC38" i="6"/>
  <c r="DB38" i="6"/>
  <c r="DA38" i="6" a="1"/>
  <c r="DA38" i="6" s="1"/>
  <c r="CY38" i="6"/>
  <c r="CR38" i="6"/>
  <c r="CQ38" i="6"/>
  <c r="CP38" i="6"/>
  <c r="CN38" i="6"/>
  <c r="CM38" i="6"/>
  <c r="CK38" i="6"/>
  <c r="CJ38" i="6"/>
  <c r="CH38" i="6"/>
  <c r="CG38" i="6"/>
  <c r="CO38" i="6" s="1"/>
  <c r="D38" i="6" a="1"/>
  <c r="D38" i="6" s="1"/>
  <c r="CV38" i="6" s="1"/>
  <c r="EJ37" i="6" a="1"/>
  <c r="EJ37" i="6" s="1"/>
  <c r="EI37" i="6" a="1"/>
  <c r="EI37" i="6"/>
  <c r="EH37" i="6" a="1"/>
  <c r="EH37" i="6"/>
  <c r="EG37" i="6" a="1"/>
  <c r="EG37" i="6"/>
  <c r="EF37" i="6" a="1"/>
  <c r="EF37" i="6" s="1"/>
  <c r="EE37" i="6" a="1"/>
  <c r="EE37" i="6" s="1"/>
  <c r="ED37" i="6" a="1"/>
  <c r="ED37" i="6" s="1"/>
  <c r="EC37" i="6" a="1"/>
  <c r="EC37" i="6"/>
  <c r="EB37" i="6" a="1"/>
  <c r="EB37" i="6"/>
  <c r="EA37" i="6" a="1"/>
  <c r="EA37" i="6"/>
  <c r="DZ37" i="6" a="1"/>
  <c r="DZ37" i="6"/>
  <c r="DY37" i="6" a="1"/>
  <c r="DY37" i="6" s="1"/>
  <c r="DX37" i="6" a="1"/>
  <c r="DX37" i="6" s="1"/>
  <c r="DW37" i="6" a="1"/>
  <c r="DW37" i="6"/>
  <c r="DV37" i="6" a="1"/>
  <c r="DV37" i="6"/>
  <c r="DU37" i="6" a="1"/>
  <c r="DU37" i="6"/>
  <c r="DT37" i="6"/>
  <c r="DR37" i="6" a="1"/>
  <c r="DR37" i="6" s="1"/>
  <c r="DQ37" i="6" a="1"/>
  <c r="DQ37" i="6"/>
  <c r="DP37" i="6" a="1"/>
  <c r="DP37" i="6" s="1"/>
  <c r="DO37" i="6" a="1"/>
  <c r="DO37" i="6"/>
  <c r="DN37" i="6" a="1"/>
  <c r="DN37" i="6"/>
  <c r="DM37" i="6" a="1"/>
  <c r="DM37" i="6"/>
  <c r="DL37" i="6" a="1"/>
  <c r="DL37" i="6"/>
  <c r="DK37" i="6" a="1"/>
  <c r="DK37" i="6" s="1"/>
  <c r="DJ37" i="6" a="1"/>
  <c r="DJ37" i="6" s="1"/>
  <c r="DI37" i="6" a="1"/>
  <c r="DI37" i="6" s="1"/>
  <c r="DH37" i="6" a="1"/>
  <c r="DH37" i="6"/>
  <c r="DG37" i="6" a="1"/>
  <c r="DG37" i="6"/>
  <c r="DF37" i="6" a="1"/>
  <c r="DF37" i="6"/>
  <c r="DE37" i="6" a="1"/>
  <c r="DE37" i="6" s="1"/>
  <c r="DD37" i="6" a="1"/>
  <c r="DD37" i="6" s="1"/>
  <c r="DC37" i="6" a="1"/>
  <c r="DC37" i="6"/>
  <c r="DB37" i="6"/>
  <c r="DA37" i="6" a="1"/>
  <c r="DA37" i="6" s="1"/>
  <c r="CY37" i="6"/>
  <c r="CQ37" i="6"/>
  <c r="CP37" i="6"/>
  <c r="CO37" i="6"/>
  <c r="CN37" i="6"/>
  <c r="CM37" i="6"/>
  <c r="CL37" i="6"/>
  <c r="CK37" i="6"/>
  <c r="CJ37" i="6"/>
  <c r="CI37" i="6"/>
  <c r="CH37" i="6"/>
  <c r="CG37" i="6"/>
  <c r="CR37" i="6" s="1"/>
  <c r="D37" i="6" a="1"/>
  <c r="D37" i="6" s="1"/>
  <c r="CV37" i="6" s="1"/>
  <c r="EJ36" i="6" a="1"/>
  <c r="EJ36" i="6"/>
  <c r="EI36" i="6" a="1"/>
  <c r="EI36" i="6"/>
  <c r="EH36" i="6" a="1"/>
  <c r="EH36" i="6" s="1"/>
  <c r="EG36" i="6" a="1"/>
  <c r="EG36" i="6"/>
  <c r="EF36" i="6" a="1"/>
  <c r="EF36" i="6" s="1"/>
  <c r="EE36" i="6" a="1"/>
  <c r="EE36" i="6" s="1"/>
  <c r="ED36" i="6" a="1"/>
  <c r="ED36" i="6" s="1"/>
  <c r="EC36" i="6" a="1"/>
  <c r="EC36" i="6" s="1"/>
  <c r="EB36" i="6" a="1"/>
  <c r="EB36" i="6" s="1"/>
  <c r="EA36" i="6" a="1"/>
  <c r="EA36" i="6"/>
  <c r="DZ36" i="6" a="1"/>
  <c r="DZ36" i="6"/>
  <c r="DY36" i="6" a="1"/>
  <c r="DY36" i="6" s="1"/>
  <c r="DX36" i="6" a="1"/>
  <c r="DX36" i="6"/>
  <c r="DW36" i="6" a="1"/>
  <c r="DW36" i="6"/>
  <c r="DV36" i="6" a="1"/>
  <c r="DV36" i="6" s="1"/>
  <c r="DU36" i="6" a="1"/>
  <c r="DU36" i="6"/>
  <c r="DT36" i="6"/>
  <c r="DR36" i="6" a="1"/>
  <c r="DR36" i="6"/>
  <c r="DQ36" i="6" a="1"/>
  <c r="DQ36" i="6" s="1"/>
  <c r="DP36" i="6" a="1"/>
  <c r="DP36" i="6"/>
  <c r="DO36" i="6" a="1"/>
  <c r="DO36" i="6"/>
  <c r="DN36" i="6" a="1"/>
  <c r="DN36" i="6" s="1"/>
  <c r="DM36" i="6" a="1"/>
  <c r="DM36" i="6"/>
  <c r="DL36" i="6" a="1"/>
  <c r="DL36" i="6" s="1"/>
  <c r="DK36" i="6" a="1"/>
  <c r="DK36" i="6"/>
  <c r="DJ36" i="6" a="1"/>
  <c r="DJ36" i="6" s="1"/>
  <c r="DI36" i="6" a="1"/>
  <c r="DI36" i="6" s="1"/>
  <c r="DH36" i="6" a="1"/>
  <c r="DH36" i="6" s="1"/>
  <c r="DG36" i="6" a="1"/>
  <c r="DG36" i="6" s="1"/>
  <c r="DF36" i="6" a="1"/>
  <c r="DF36" i="6" s="1"/>
  <c r="DE36" i="6" a="1"/>
  <c r="DE36" i="6"/>
  <c r="DD36" i="6" a="1"/>
  <c r="DD36" i="6"/>
  <c r="DC36" i="6" a="1"/>
  <c r="DC36" i="6"/>
  <c r="DB36" i="6"/>
  <c r="DA36" i="6" a="1"/>
  <c r="DA36" i="6"/>
  <c r="CY36" i="6"/>
  <c r="CR36" i="6"/>
  <c r="CQ36" i="6"/>
  <c r="CP36" i="6"/>
  <c r="CO36" i="6"/>
  <c r="CN36" i="6"/>
  <c r="CM36" i="6"/>
  <c r="CL36" i="6"/>
  <c r="CK36" i="6"/>
  <c r="CJ36" i="6"/>
  <c r="CI36" i="6"/>
  <c r="CH36" i="6"/>
  <c r="CG36" i="6"/>
  <c r="D36" i="6" a="1"/>
  <c r="D36" i="6" s="1"/>
  <c r="CV36" i="6" s="1"/>
  <c r="EJ35" i="6" a="1"/>
  <c r="EJ35" i="6"/>
  <c r="EI35" i="6" a="1"/>
  <c r="EI35" i="6"/>
  <c r="EH35" i="6" a="1"/>
  <c r="EH35" i="6" s="1"/>
  <c r="EG35" i="6" a="1"/>
  <c r="EG35" i="6"/>
  <c r="EF35" i="6" a="1"/>
  <c r="EF35" i="6" s="1"/>
  <c r="EE35" i="6" a="1"/>
  <c r="EE35" i="6"/>
  <c r="ED35" i="6" a="1"/>
  <c r="ED35" i="6" s="1"/>
  <c r="EC35" i="6" a="1"/>
  <c r="EC35" i="6"/>
  <c r="EB35" i="6" a="1"/>
  <c r="EB35" i="6" s="1"/>
  <c r="EA35" i="6" a="1"/>
  <c r="EA35" i="6" s="1"/>
  <c r="DZ35" i="6" a="1"/>
  <c r="DZ35" i="6" s="1"/>
  <c r="DY35" i="6" a="1"/>
  <c r="DY35" i="6"/>
  <c r="DX35" i="6" a="1"/>
  <c r="DX35" i="6"/>
  <c r="DW35" i="6" a="1"/>
  <c r="DW35" i="6"/>
  <c r="DV35" i="6" a="1"/>
  <c r="DV35" i="6"/>
  <c r="DU35" i="6" a="1"/>
  <c r="DU35" i="6" s="1"/>
  <c r="DT35" i="6"/>
  <c r="DR35" i="6" a="1"/>
  <c r="DR35" i="6" s="1"/>
  <c r="DQ35" i="6" a="1"/>
  <c r="DQ35" i="6" s="1"/>
  <c r="DP35" i="6" a="1"/>
  <c r="DP35" i="6"/>
  <c r="DO35" i="6" a="1"/>
  <c r="DO35" i="6"/>
  <c r="DN35" i="6" a="1"/>
  <c r="DN35" i="6"/>
  <c r="DM35" i="6" a="1"/>
  <c r="DM35" i="6"/>
  <c r="DL35" i="6" a="1"/>
  <c r="DL35" i="6" s="1"/>
  <c r="DK35" i="6" a="1"/>
  <c r="DK35" i="6"/>
  <c r="DJ35" i="6" a="1"/>
  <c r="DJ35" i="6" s="1"/>
  <c r="DI35" i="6" a="1"/>
  <c r="DI35" i="6" s="1"/>
  <c r="DH35" i="6" a="1"/>
  <c r="DH35" i="6"/>
  <c r="DG35" i="6" a="1"/>
  <c r="DG35" i="6"/>
  <c r="DF35" i="6" a="1"/>
  <c r="DF35" i="6" s="1"/>
  <c r="DE35" i="6" a="1"/>
  <c r="DE35" i="6" s="1"/>
  <c r="DD35" i="6" a="1"/>
  <c r="DD35" i="6" s="1"/>
  <c r="DC35" i="6" a="1"/>
  <c r="DC35" i="6"/>
  <c r="DB35" i="6"/>
  <c r="DA35" i="6" a="1"/>
  <c r="DA35" i="6"/>
  <c r="CY35" i="6"/>
  <c r="CR35" i="6"/>
  <c r="CQ35" i="6"/>
  <c r="CP35" i="6"/>
  <c r="CN35" i="6"/>
  <c r="CM35" i="6"/>
  <c r="CK35" i="6"/>
  <c r="CJ35" i="6"/>
  <c r="CH35" i="6"/>
  <c r="CG35" i="6"/>
  <c r="D35" i="6" a="1"/>
  <c r="D35" i="6" s="1"/>
  <c r="CV35" i="6" s="1"/>
  <c r="EJ34" i="6" a="1"/>
  <c r="EJ34" i="6" s="1"/>
  <c r="EI34" i="6" a="1"/>
  <c r="EI34" i="6"/>
  <c r="EH34" i="6" a="1"/>
  <c r="EH34" i="6" s="1"/>
  <c r="EG34" i="6" a="1"/>
  <c r="EG34" i="6"/>
  <c r="EF34" i="6" a="1"/>
  <c r="EF34" i="6"/>
  <c r="EE34" i="6" a="1"/>
  <c r="EE34" i="6" s="1"/>
  <c r="ED34" i="6" a="1"/>
  <c r="ED34" i="6" s="1"/>
  <c r="EC34" i="6" a="1"/>
  <c r="EC34" i="6"/>
  <c r="EB34" i="6" a="1"/>
  <c r="EB34" i="6"/>
  <c r="EA34" i="6" a="1"/>
  <c r="EA34" i="6" s="1"/>
  <c r="DZ34" i="6" a="1"/>
  <c r="DZ34" i="6"/>
  <c r="DY34" i="6" a="1"/>
  <c r="DY34" i="6" s="1"/>
  <c r="DX34" i="6" a="1"/>
  <c r="DX34" i="6" s="1"/>
  <c r="DW34" i="6" a="1"/>
  <c r="DW34" i="6"/>
  <c r="DV34" i="6" a="1"/>
  <c r="DV34" i="6" s="1"/>
  <c r="DU34" i="6" a="1"/>
  <c r="DU34" i="6"/>
  <c r="DT34" i="6"/>
  <c r="DR34" i="6" a="1"/>
  <c r="DR34" i="6"/>
  <c r="DQ34" i="6" a="1"/>
  <c r="DQ34" i="6"/>
  <c r="DP34" i="6" a="1"/>
  <c r="DP34" i="6" s="1"/>
  <c r="DO34" i="6" a="1"/>
  <c r="DO34" i="6" s="1"/>
  <c r="DN34" i="6" a="1"/>
  <c r="DN34" i="6" s="1"/>
  <c r="DM34" i="6" a="1"/>
  <c r="DM34" i="6" s="1"/>
  <c r="DL34" i="6" a="1"/>
  <c r="DL34" i="6"/>
  <c r="DK34" i="6" a="1"/>
  <c r="DK34" i="6" s="1"/>
  <c r="DJ34" i="6" a="1"/>
  <c r="DJ34" i="6" s="1"/>
  <c r="DI34" i="6" a="1"/>
  <c r="DI34" i="6" s="1"/>
  <c r="DH34" i="6" a="1"/>
  <c r="DH34" i="6"/>
  <c r="DG34" i="6" a="1"/>
  <c r="DG34" i="6"/>
  <c r="DF34" i="6" a="1"/>
  <c r="DF34" i="6" s="1"/>
  <c r="DE34" i="6" a="1"/>
  <c r="DE34" i="6"/>
  <c r="DD34" i="6" a="1"/>
  <c r="DD34" i="6" s="1"/>
  <c r="DC34" i="6" a="1"/>
  <c r="DC34" i="6"/>
  <c r="DB34" i="6"/>
  <c r="DA34" i="6" a="1"/>
  <c r="DA34" i="6"/>
  <c r="CY34" i="6"/>
  <c r="CV34" i="6"/>
  <c r="CQ34" i="6"/>
  <c r="CP34" i="6"/>
  <c r="CN34" i="6"/>
  <c r="CM34" i="6"/>
  <c r="CK34" i="6"/>
  <c r="CJ34" i="6"/>
  <c r="CI34" i="6"/>
  <c r="CH34" i="6"/>
  <c r="CG34" i="6"/>
  <c r="CO34" i="6" s="1"/>
  <c r="D34" i="6" a="1"/>
  <c r="D34" i="6" s="1"/>
  <c r="EJ33" i="6" a="1"/>
  <c r="EJ33" i="6" s="1"/>
  <c r="EI33" i="6" a="1"/>
  <c r="EI33" i="6" s="1"/>
  <c r="EH33" i="6" a="1"/>
  <c r="EH33" i="6" s="1"/>
  <c r="EG33" i="6" a="1"/>
  <c r="EG33" i="6"/>
  <c r="EF33" i="6" a="1"/>
  <c r="EF33" i="6"/>
  <c r="EE33" i="6" a="1"/>
  <c r="EE33" i="6"/>
  <c r="ED33" i="6" a="1"/>
  <c r="ED33" i="6" s="1"/>
  <c r="EC33" i="6" a="1"/>
  <c r="EC33" i="6" s="1"/>
  <c r="EB33" i="6" a="1"/>
  <c r="EB33" i="6" s="1"/>
  <c r="EA33" i="6" a="1"/>
  <c r="EA33" i="6"/>
  <c r="DZ33" i="6" a="1"/>
  <c r="DZ33" i="6" s="1"/>
  <c r="DY33" i="6" a="1"/>
  <c r="DY33" i="6" s="1"/>
  <c r="DX33" i="6" a="1"/>
  <c r="DX33" i="6" s="1"/>
  <c r="DW33" i="6" a="1"/>
  <c r="DW33" i="6"/>
  <c r="DV33" i="6" a="1"/>
  <c r="DV33" i="6" s="1"/>
  <c r="DU33" i="6" a="1"/>
  <c r="DU33" i="6"/>
  <c r="DT33" i="6"/>
  <c r="DR33" i="6" a="1"/>
  <c r="DR33" i="6" s="1"/>
  <c r="DQ33" i="6" a="1"/>
  <c r="DQ33" i="6"/>
  <c r="DP33" i="6" a="1"/>
  <c r="DP33" i="6" s="1"/>
  <c r="DO33" i="6" a="1"/>
  <c r="DO33" i="6"/>
  <c r="DN33" i="6" a="1"/>
  <c r="DN33" i="6" s="1"/>
  <c r="DM33" i="6" a="1"/>
  <c r="DM33" i="6"/>
  <c r="DL33" i="6" a="1"/>
  <c r="DL33" i="6"/>
  <c r="DK33" i="6" a="1"/>
  <c r="DK33" i="6" s="1"/>
  <c r="DJ33" i="6" a="1"/>
  <c r="DJ33" i="6"/>
  <c r="DI33" i="6" a="1"/>
  <c r="DI33" i="6" s="1"/>
  <c r="DH33" i="6" a="1"/>
  <c r="DH33" i="6" s="1"/>
  <c r="DG33" i="6" a="1"/>
  <c r="DG33" i="6" s="1"/>
  <c r="DF33" i="6" a="1"/>
  <c r="DF33" i="6" s="1"/>
  <c r="DE33" i="6" a="1"/>
  <c r="DE33" i="6"/>
  <c r="DD33" i="6" a="1"/>
  <c r="DD33" i="6"/>
  <c r="DC33" i="6" a="1"/>
  <c r="DC33" i="6" s="1"/>
  <c r="DB33" i="6"/>
  <c r="DA33" i="6" a="1"/>
  <c r="DA33" i="6"/>
  <c r="CY33" i="6"/>
  <c r="CR33" i="6"/>
  <c r="CQ33" i="6"/>
  <c r="CP33" i="6"/>
  <c r="CO33" i="6"/>
  <c r="CN33" i="6"/>
  <c r="CM33" i="6"/>
  <c r="CL33" i="6"/>
  <c r="CK33" i="6"/>
  <c r="CJ33" i="6"/>
  <c r="CH33" i="6"/>
  <c r="CG33" i="6"/>
  <c r="CI33" i="6" s="1"/>
  <c r="D33" i="6" a="1"/>
  <c r="D33" i="6" s="1"/>
  <c r="CV33" i="6" s="1"/>
  <c r="EJ32" i="6" a="1"/>
  <c r="EJ32" i="6" s="1"/>
  <c r="EI32" i="6" a="1"/>
  <c r="EI32" i="6" s="1"/>
  <c r="EH32" i="6" a="1"/>
  <c r="EH32" i="6" s="1"/>
  <c r="EG32" i="6" a="1"/>
  <c r="EG32" i="6" s="1"/>
  <c r="EF32" i="6" a="1"/>
  <c r="EF32" i="6" s="1"/>
  <c r="EE32" i="6" a="1"/>
  <c r="EE32" i="6"/>
  <c r="ED32" i="6" a="1"/>
  <c r="ED32" i="6"/>
  <c r="EC32" i="6" a="1"/>
  <c r="EC32" i="6" s="1"/>
  <c r="EB32" i="6" a="1"/>
  <c r="EB32" i="6"/>
  <c r="EA32" i="6" a="1"/>
  <c r="EA32" i="6"/>
  <c r="DZ32" i="6" a="1"/>
  <c r="DZ32" i="6" s="1"/>
  <c r="DY32" i="6" a="1"/>
  <c r="DY32" i="6"/>
  <c r="DX32" i="6" a="1"/>
  <c r="DX32" i="6" s="1"/>
  <c r="DW32" i="6" a="1"/>
  <c r="DW32" i="6"/>
  <c r="DV32" i="6" a="1"/>
  <c r="DV32" i="6" s="1"/>
  <c r="DU32" i="6" a="1"/>
  <c r="DU32" i="6" s="1"/>
  <c r="DT32" i="6"/>
  <c r="DR32" i="6" a="1"/>
  <c r="DR32" i="6" s="1"/>
  <c r="DQ32" i="6" a="1"/>
  <c r="DQ32" i="6" s="1"/>
  <c r="DP32" i="6" a="1"/>
  <c r="DP32" i="6"/>
  <c r="DO32" i="6" a="1"/>
  <c r="DO32" i="6" s="1"/>
  <c r="DN32" i="6" a="1"/>
  <c r="DN32" i="6" s="1"/>
  <c r="DM32" i="6" a="1"/>
  <c r="DM32" i="6" s="1"/>
  <c r="DL32" i="6" a="1"/>
  <c r="DL32" i="6" s="1"/>
  <c r="DK32" i="6" a="1"/>
  <c r="DK32" i="6"/>
  <c r="DJ32" i="6" a="1"/>
  <c r="DJ32" i="6" s="1"/>
  <c r="DI32" i="6" a="1"/>
  <c r="DI32" i="6" s="1"/>
  <c r="DH32" i="6" a="1"/>
  <c r="DH32" i="6"/>
  <c r="DG32" i="6" a="1"/>
  <c r="DG32" i="6"/>
  <c r="DF32" i="6" a="1"/>
  <c r="DF32" i="6" s="1"/>
  <c r="DE32" i="6" a="1"/>
  <c r="DE32" i="6"/>
  <c r="DD32" i="6" a="1"/>
  <c r="DD32" i="6" s="1"/>
  <c r="DC32" i="6" a="1"/>
  <c r="DC32" i="6" s="1"/>
  <c r="DB32" i="6"/>
  <c r="DA32" i="6" a="1"/>
  <c r="DA32" i="6"/>
  <c r="CY32" i="6"/>
  <c r="CR32" i="6"/>
  <c r="CQ32" i="6"/>
  <c r="CP32" i="6"/>
  <c r="CO32" i="6"/>
  <c r="CN32" i="6"/>
  <c r="CM32" i="6"/>
  <c r="CL32" i="6"/>
  <c r="CK32" i="6"/>
  <c r="CJ32" i="6"/>
  <c r="CH32" i="6"/>
  <c r="CG32" i="6"/>
  <c r="CI32" i="6" s="1"/>
  <c r="D32" i="6" a="1"/>
  <c r="D32" i="6"/>
  <c r="CV32" i="6" s="1"/>
  <c r="EJ31" i="6" a="1"/>
  <c r="EJ31" i="6" s="1"/>
  <c r="EI31" i="6" a="1"/>
  <c r="EI31" i="6"/>
  <c r="EH31" i="6" a="1"/>
  <c r="EH31" i="6"/>
  <c r="EG31" i="6" a="1"/>
  <c r="EG31" i="6"/>
  <c r="EF31" i="6" a="1"/>
  <c r="EF31" i="6"/>
  <c r="EE31" i="6" a="1"/>
  <c r="EE31" i="6"/>
  <c r="ED31" i="6" a="1"/>
  <c r="ED31" i="6" s="1"/>
  <c r="EC31" i="6" a="1"/>
  <c r="EC31" i="6"/>
  <c r="EB31" i="6" a="1"/>
  <c r="EB31" i="6" s="1"/>
  <c r="EA31" i="6" a="1"/>
  <c r="EA31" i="6" s="1"/>
  <c r="DZ31" i="6" a="1"/>
  <c r="DZ31" i="6" s="1"/>
  <c r="DY31" i="6" a="1"/>
  <c r="DY31" i="6" s="1"/>
  <c r="DX31" i="6" a="1"/>
  <c r="DX31" i="6" s="1"/>
  <c r="DW31" i="6" a="1"/>
  <c r="DW31" i="6"/>
  <c r="DV31" i="6" a="1"/>
  <c r="DV31" i="6" s="1"/>
  <c r="DU31" i="6" a="1"/>
  <c r="DU31" i="6" s="1"/>
  <c r="DT31" i="6"/>
  <c r="DR31" i="6" a="1"/>
  <c r="DR31" i="6" s="1"/>
  <c r="DQ31" i="6" a="1"/>
  <c r="DQ31" i="6" s="1"/>
  <c r="DP31" i="6" a="1"/>
  <c r="DP31" i="6" s="1"/>
  <c r="DO31" i="6" a="1"/>
  <c r="DO31" i="6" s="1"/>
  <c r="DN31" i="6" a="1"/>
  <c r="DN31" i="6"/>
  <c r="DM31" i="6" a="1"/>
  <c r="DM31" i="6"/>
  <c r="DL31" i="6" a="1"/>
  <c r="DL31" i="6"/>
  <c r="DK31" i="6" a="1"/>
  <c r="DK31" i="6"/>
  <c r="DJ31" i="6" a="1"/>
  <c r="DJ31" i="6" s="1"/>
  <c r="DI31" i="6" a="1"/>
  <c r="DI31" i="6"/>
  <c r="DH31" i="6" a="1"/>
  <c r="DH31" i="6"/>
  <c r="DG31" i="6" a="1"/>
  <c r="DG31" i="6"/>
  <c r="DF31" i="6" a="1"/>
  <c r="DF31" i="6" s="1"/>
  <c r="DE31" i="6" a="1"/>
  <c r="DE31" i="6" s="1"/>
  <c r="DD31" i="6" a="1"/>
  <c r="DD31" i="6" s="1"/>
  <c r="DC31" i="6" a="1"/>
  <c r="DC31" i="6" s="1"/>
  <c r="DB31" i="6"/>
  <c r="DA31" i="6" a="1"/>
  <c r="DA31" i="6"/>
  <c r="CY31" i="6"/>
  <c r="CQ31" i="6"/>
  <c r="CP31" i="6"/>
  <c r="CO31" i="6"/>
  <c r="CN31" i="6"/>
  <c r="CM31" i="6"/>
  <c r="CL31" i="6"/>
  <c r="CK31" i="6"/>
  <c r="CJ31" i="6"/>
  <c r="CI31" i="6"/>
  <c r="CH31" i="6"/>
  <c r="CG31" i="6"/>
  <c r="CR31" i="6" s="1"/>
  <c r="D31" i="6" a="1"/>
  <c r="D31" i="6" s="1"/>
  <c r="CV31" i="6" s="1"/>
  <c r="EJ30" i="6" a="1"/>
  <c r="EJ30" i="6" s="1"/>
  <c r="EI30" i="6" a="1"/>
  <c r="EI30" i="6"/>
  <c r="EH30" i="6" a="1"/>
  <c r="EH30" i="6" s="1"/>
  <c r="EG30" i="6" a="1"/>
  <c r="EG30" i="6"/>
  <c r="EF30" i="6" a="1"/>
  <c r="EF30" i="6" s="1"/>
  <c r="EE30" i="6" a="1"/>
  <c r="EE30" i="6" s="1"/>
  <c r="ED30" i="6" a="1"/>
  <c r="ED30" i="6"/>
  <c r="EC30" i="6" a="1"/>
  <c r="EC30" i="6"/>
  <c r="EB30" i="6" a="1"/>
  <c r="EB30" i="6" s="1"/>
  <c r="EA30" i="6" a="1"/>
  <c r="EA30" i="6"/>
  <c r="DZ30" i="6" a="1"/>
  <c r="DZ30" i="6" s="1"/>
  <c r="DY30" i="6" a="1"/>
  <c r="DY30" i="6"/>
  <c r="DX30" i="6" a="1"/>
  <c r="DX30" i="6"/>
  <c r="DW30" i="6" a="1"/>
  <c r="DW30" i="6"/>
  <c r="DV30" i="6" a="1"/>
  <c r="DV30" i="6" s="1"/>
  <c r="DU30" i="6" a="1"/>
  <c r="DU30" i="6"/>
  <c r="DT30" i="6"/>
  <c r="DR30" i="6" a="1"/>
  <c r="DR30" i="6" s="1"/>
  <c r="DQ30" i="6" a="1"/>
  <c r="DQ30" i="6"/>
  <c r="DP30" i="6" a="1"/>
  <c r="DP30" i="6"/>
  <c r="DO30" i="6" a="1"/>
  <c r="DO30" i="6"/>
  <c r="DN30" i="6" a="1"/>
  <c r="DN30" i="6" s="1"/>
  <c r="DM30" i="6" a="1"/>
  <c r="DM30" i="6"/>
  <c r="DL30" i="6" a="1"/>
  <c r="DL30" i="6"/>
  <c r="DK30" i="6" a="1"/>
  <c r="DK30" i="6" s="1"/>
  <c r="DJ30" i="6" a="1"/>
  <c r="DJ30" i="6" s="1"/>
  <c r="DI30" i="6" a="1"/>
  <c r="DI30" i="6"/>
  <c r="DH30" i="6" a="1"/>
  <c r="DH30" i="6" s="1"/>
  <c r="DG30" i="6" a="1"/>
  <c r="DG30" i="6"/>
  <c r="DF30" i="6" a="1"/>
  <c r="DF30" i="6" s="1"/>
  <c r="DE30" i="6" a="1"/>
  <c r="DE30" i="6" s="1"/>
  <c r="DD30" i="6" a="1"/>
  <c r="DD30" i="6"/>
  <c r="DC30" i="6" a="1"/>
  <c r="DC30" i="6"/>
  <c r="DB30" i="6"/>
  <c r="DA30" i="6" a="1"/>
  <c r="DA30" i="6"/>
  <c r="CY30" i="6"/>
  <c r="CV30" i="6"/>
  <c r="CQ30" i="6"/>
  <c r="CP30" i="6"/>
  <c r="CN30" i="6"/>
  <c r="CM30" i="6"/>
  <c r="CK30" i="6"/>
  <c r="CJ30" i="6"/>
  <c r="CI30" i="6"/>
  <c r="CH30" i="6"/>
  <c r="CG30" i="6"/>
  <c r="D30" i="6" a="1"/>
  <c r="D30" i="6" s="1"/>
  <c r="EJ29" i="6" a="1"/>
  <c r="EJ29" i="6" s="1"/>
  <c r="EI29" i="6" a="1"/>
  <c r="EI29" i="6"/>
  <c r="EH29" i="6" a="1"/>
  <c r="EH29" i="6" s="1"/>
  <c r="EG29" i="6" a="1"/>
  <c r="EG29" i="6"/>
  <c r="EF29" i="6" a="1"/>
  <c r="EF29" i="6" s="1"/>
  <c r="EE29" i="6" a="1"/>
  <c r="EE29" i="6"/>
  <c r="ED29" i="6" a="1"/>
  <c r="ED29" i="6" s="1"/>
  <c r="EC29" i="6" a="1"/>
  <c r="EC29" i="6" s="1"/>
  <c r="EB29" i="6" a="1"/>
  <c r="EB29" i="6"/>
  <c r="EA29" i="6" a="1"/>
  <c r="EA29" i="6"/>
  <c r="DZ29" i="6" a="1"/>
  <c r="DZ29" i="6" s="1"/>
  <c r="DY29" i="6" a="1"/>
  <c r="DY29" i="6"/>
  <c r="DX29" i="6" a="1"/>
  <c r="DX29" i="6"/>
  <c r="DW29" i="6" a="1"/>
  <c r="DW29" i="6" s="1"/>
  <c r="DV29" i="6" a="1"/>
  <c r="DV29" i="6"/>
  <c r="DU29" i="6" a="1"/>
  <c r="DU29" i="6" s="1"/>
  <c r="DT29" i="6"/>
  <c r="DR29" i="6" a="1"/>
  <c r="DR29" i="6" s="1"/>
  <c r="DQ29" i="6" a="1"/>
  <c r="DQ29" i="6"/>
  <c r="DP29" i="6" a="1"/>
  <c r="DP29" i="6"/>
  <c r="DO29" i="6" a="1"/>
  <c r="DO29" i="6" s="1"/>
  <c r="DN29" i="6" a="1"/>
  <c r="DN29" i="6"/>
  <c r="DM29" i="6" a="1"/>
  <c r="DM29" i="6" s="1"/>
  <c r="DL29" i="6" a="1"/>
  <c r="DL29" i="6" s="1"/>
  <c r="DK29" i="6" a="1"/>
  <c r="DK29" i="6" s="1"/>
  <c r="DJ29" i="6" a="1"/>
  <c r="DJ29" i="6" s="1"/>
  <c r="DI29" i="6" a="1"/>
  <c r="DI29" i="6" s="1"/>
  <c r="DH29" i="6" a="1"/>
  <c r="DH29" i="6"/>
  <c r="DG29" i="6" a="1"/>
  <c r="DG29" i="6" s="1"/>
  <c r="DF29" i="6" a="1"/>
  <c r="DF29" i="6" s="1"/>
  <c r="DE29" i="6" a="1"/>
  <c r="DE29" i="6" s="1"/>
  <c r="DD29" i="6" a="1"/>
  <c r="DD29" i="6"/>
  <c r="DC29" i="6" a="1"/>
  <c r="DC29" i="6"/>
  <c r="DB29" i="6"/>
  <c r="DA29" i="6" a="1"/>
  <c r="DA29" i="6" s="1"/>
  <c r="CY29" i="6"/>
  <c r="CR29" i="6"/>
  <c r="CQ29" i="6"/>
  <c r="CP29" i="6"/>
  <c r="CO29" i="6"/>
  <c r="CN29" i="6"/>
  <c r="CM29" i="6"/>
  <c r="CL29" i="6"/>
  <c r="CK29" i="6"/>
  <c r="CJ29" i="6"/>
  <c r="CH29" i="6"/>
  <c r="CG29" i="6"/>
  <c r="CI29" i="6" s="1"/>
  <c r="D29" i="6" a="1"/>
  <c r="D29" i="6" s="1"/>
  <c r="CV29" i="6" s="1"/>
  <c r="EJ28" i="6" a="1"/>
  <c r="EJ28" i="6" s="1"/>
  <c r="EI28" i="6" a="1"/>
  <c r="EI28" i="6"/>
  <c r="EH28" i="6" a="1"/>
  <c r="EH28" i="6"/>
  <c r="EG28" i="6" a="1"/>
  <c r="EG28" i="6" s="1"/>
  <c r="EF28" i="6" a="1"/>
  <c r="EF28" i="6" s="1"/>
  <c r="EE28" i="6" a="1"/>
  <c r="EE28" i="6" s="1"/>
  <c r="ED28" i="6" a="1"/>
  <c r="ED28" i="6" s="1"/>
  <c r="EC28" i="6" a="1"/>
  <c r="EC28" i="6"/>
  <c r="EB28" i="6" a="1"/>
  <c r="EB28" i="6" s="1"/>
  <c r="EA28" i="6" a="1"/>
  <c r="EA28" i="6" s="1"/>
  <c r="DZ28" i="6" a="1"/>
  <c r="DZ28" i="6"/>
  <c r="DY28" i="6" a="1"/>
  <c r="DY28" i="6" s="1"/>
  <c r="DX28" i="6" a="1"/>
  <c r="DX28" i="6" s="1"/>
  <c r="DW28" i="6" a="1"/>
  <c r="DW28" i="6"/>
  <c r="DV28" i="6" a="1"/>
  <c r="DV28" i="6"/>
  <c r="DU28" i="6" a="1"/>
  <c r="DU28" i="6"/>
  <c r="DT28" i="6"/>
  <c r="DR28" i="6" a="1"/>
  <c r="DR28" i="6" s="1"/>
  <c r="DQ28" i="6" a="1"/>
  <c r="DQ28" i="6" s="1"/>
  <c r="DP28" i="6" a="1"/>
  <c r="DP28" i="6" s="1"/>
  <c r="DO28" i="6" a="1"/>
  <c r="DO28" i="6" s="1"/>
  <c r="DN28" i="6" a="1"/>
  <c r="DN28" i="6" s="1"/>
  <c r="DM28" i="6" a="1"/>
  <c r="DM28" i="6"/>
  <c r="DL28" i="6" a="1"/>
  <c r="DL28" i="6"/>
  <c r="DK28" i="6" a="1"/>
  <c r="DK28" i="6" s="1"/>
  <c r="DJ28" i="6" a="1"/>
  <c r="DJ28" i="6" s="1"/>
  <c r="DI28" i="6" a="1"/>
  <c r="DI28" i="6"/>
  <c r="DH28" i="6" a="1"/>
  <c r="DH28" i="6"/>
  <c r="DG28" i="6" a="1"/>
  <c r="DG28" i="6"/>
  <c r="DF28" i="6" a="1"/>
  <c r="DF28" i="6"/>
  <c r="DE28" i="6" a="1"/>
  <c r="DE28" i="6"/>
  <c r="DD28" i="6" a="1"/>
  <c r="DD28" i="6" s="1"/>
  <c r="DC28" i="6" a="1"/>
  <c r="DC28" i="6" s="1"/>
  <c r="DB28" i="6"/>
  <c r="DA28" i="6" a="1"/>
  <c r="DA28" i="6"/>
  <c r="CY28" i="6"/>
  <c r="CQ28" i="6"/>
  <c r="CP28" i="6"/>
  <c r="CO28" i="6"/>
  <c r="CN28" i="6"/>
  <c r="CM28" i="6"/>
  <c r="CK28" i="6"/>
  <c r="CJ28" i="6"/>
  <c r="CH28" i="6"/>
  <c r="CG28" i="6"/>
  <c r="D28" i="6" a="1"/>
  <c r="D28" i="6" s="1"/>
  <c r="CV28" i="6" s="1"/>
  <c r="EJ27" i="6" a="1"/>
  <c r="EJ27" i="6" s="1"/>
  <c r="EI27" i="6" a="1"/>
  <c r="EI27" i="6" s="1"/>
  <c r="EH27" i="6" a="1"/>
  <c r="EH27" i="6" s="1"/>
  <c r="EG27" i="6" a="1"/>
  <c r="EG27" i="6"/>
  <c r="EF27" i="6" a="1"/>
  <c r="EF27" i="6" s="1"/>
  <c r="EE27" i="6" a="1"/>
  <c r="EE27" i="6" s="1"/>
  <c r="ED27" i="6" a="1"/>
  <c r="ED27" i="6"/>
  <c r="EC27" i="6" a="1"/>
  <c r="EC27" i="6"/>
  <c r="EB27" i="6" a="1"/>
  <c r="EB27" i="6" s="1"/>
  <c r="EA27" i="6" a="1"/>
  <c r="EA27" i="6"/>
  <c r="DZ27" i="6" a="1"/>
  <c r="DZ27" i="6" s="1"/>
  <c r="DY27" i="6" a="1"/>
  <c r="DY27" i="6"/>
  <c r="DX27" i="6" a="1"/>
  <c r="DX27" i="6" s="1"/>
  <c r="DW27" i="6" a="1"/>
  <c r="DW27" i="6" s="1"/>
  <c r="DV27" i="6" a="1"/>
  <c r="DV27" i="6" s="1"/>
  <c r="DU27" i="6" a="1"/>
  <c r="DU27" i="6"/>
  <c r="DT27" i="6"/>
  <c r="DR27" i="6" a="1"/>
  <c r="DR27" i="6"/>
  <c r="DQ27" i="6" a="1"/>
  <c r="DQ27" i="6" s="1"/>
  <c r="DP27" i="6" a="1"/>
  <c r="DP27" i="6" s="1"/>
  <c r="DO27" i="6" a="1"/>
  <c r="DO27" i="6" s="1"/>
  <c r="DN27" i="6" a="1"/>
  <c r="DN27" i="6" s="1"/>
  <c r="DM27" i="6" a="1"/>
  <c r="DM27" i="6"/>
  <c r="DL27" i="6" a="1"/>
  <c r="DL27" i="6" s="1"/>
  <c r="DK27" i="6" a="1"/>
  <c r="DK27" i="6" s="1"/>
  <c r="DJ27" i="6" a="1"/>
  <c r="DJ27" i="6" s="1"/>
  <c r="DI27" i="6" a="1"/>
  <c r="DI27" i="6" s="1"/>
  <c r="DH27" i="6" a="1"/>
  <c r="DH27" i="6" s="1"/>
  <c r="DG27" i="6" a="1"/>
  <c r="DG27" i="6" s="1"/>
  <c r="DF27" i="6" a="1"/>
  <c r="DF27" i="6" s="1"/>
  <c r="DE27" i="6" a="1"/>
  <c r="DE27" i="6"/>
  <c r="DD27" i="6" a="1"/>
  <c r="DD27" i="6"/>
  <c r="DC27" i="6" a="1"/>
  <c r="DC27" i="6" s="1"/>
  <c r="DB27" i="6"/>
  <c r="CR27" i="6"/>
  <c r="CQ27" i="6"/>
  <c r="CP27" i="6"/>
  <c r="CN27" i="6"/>
  <c r="CM27" i="6"/>
  <c r="CL27" i="6"/>
  <c r="CK27" i="6"/>
  <c r="CJ27" i="6"/>
  <c r="CI27" i="6"/>
  <c r="CH27" i="6"/>
  <c r="CG27" i="6"/>
  <c r="CO27" i="6" s="1"/>
  <c r="D27" i="6" a="1"/>
  <c r="D27" i="6" s="1"/>
  <c r="CV27" i="6" s="1"/>
  <c r="EJ26" i="6" a="1"/>
  <c r="EJ26" i="6" s="1"/>
  <c r="EI26" i="6" a="1"/>
  <c r="EI26" i="6"/>
  <c r="EH26" i="6" a="1"/>
  <c r="EH26" i="6"/>
  <c r="EG26" i="6" a="1"/>
  <c r="EG26" i="6" s="1"/>
  <c r="EF26" i="6" a="1"/>
  <c r="EF26" i="6"/>
  <c r="EE26" i="6" a="1"/>
  <c r="EE26" i="6" s="1"/>
  <c r="ED26" i="6" a="1"/>
  <c r="ED26" i="6"/>
  <c r="EC26" i="6" a="1"/>
  <c r="EC26" i="6" s="1"/>
  <c r="EB26" i="6" a="1"/>
  <c r="EB26" i="6" s="1"/>
  <c r="EA26" i="6" a="1"/>
  <c r="EA26" i="6" s="1"/>
  <c r="DZ26" i="6" a="1"/>
  <c r="DZ26" i="6"/>
  <c r="DY26" i="6" a="1"/>
  <c r="DY26" i="6" s="1"/>
  <c r="DX26" i="6" a="1"/>
  <c r="DX26" i="6" s="1"/>
  <c r="DW26" i="6" a="1"/>
  <c r="DW26" i="6" s="1"/>
  <c r="DV26" i="6" a="1"/>
  <c r="DV26" i="6"/>
  <c r="DU26" i="6" a="1"/>
  <c r="DU26" i="6" s="1"/>
  <c r="DT26" i="6"/>
  <c r="DR26" i="6" a="1"/>
  <c r="DR26" i="6"/>
  <c r="DQ26" i="6" a="1"/>
  <c r="DQ26" i="6" s="1"/>
  <c r="DP26" i="6" a="1"/>
  <c r="DP26" i="6"/>
  <c r="DO26" i="6" a="1"/>
  <c r="DO26" i="6" s="1"/>
  <c r="DN26" i="6" a="1"/>
  <c r="DN26" i="6"/>
  <c r="DM26" i="6" a="1"/>
  <c r="DM26" i="6" s="1"/>
  <c r="DL26" i="6" a="1"/>
  <c r="DL26" i="6" s="1"/>
  <c r="DK26" i="6" a="1"/>
  <c r="DK26" i="6"/>
  <c r="DJ26" i="6" a="1"/>
  <c r="DJ26" i="6"/>
  <c r="DI26" i="6" a="1"/>
  <c r="DI26" i="6"/>
  <c r="DH26" i="6" a="1"/>
  <c r="DH26" i="6" s="1"/>
  <c r="DG26" i="6" a="1"/>
  <c r="DG26" i="6" s="1"/>
  <c r="DF26" i="6" a="1"/>
  <c r="DF26" i="6"/>
  <c r="DE26" i="6" a="1"/>
  <c r="DE26" i="6"/>
  <c r="DD26" i="6" a="1"/>
  <c r="DD26" i="6" s="1"/>
  <c r="DC26" i="6" a="1"/>
  <c r="DC26" i="6" s="1"/>
  <c r="DB26" i="6"/>
  <c r="CQ26" i="6"/>
  <c r="CP26" i="6"/>
  <c r="CN26" i="6"/>
  <c r="CM26" i="6"/>
  <c r="CK26" i="6"/>
  <c r="CJ26" i="6"/>
  <c r="CH26" i="6"/>
  <c r="CG26" i="6"/>
  <c r="D26" i="6" a="1"/>
  <c r="D26" i="6"/>
  <c r="CV26" i="6" s="1"/>
  <c r="EJ25" i="6" a="1"/>
  <c r="EJ25" i="6"/>
  <c r="EI25" i="6" a="1"/>
  <c r="EI25" i="6" s="1"/>
  <c r="EH25" i="6" a="1"/>
  <c r="EH25" i="6"/>
  <c r="EG25" i="6" a="1"/>
  <c r="EG25" i="6"/>
  <c r="EF25" i="6" a="1"/>
  <c r="EF25" i="6"/>
  <c r="EE25" i="6" a="1"/>
  <c r="EE25" i="6"/>
  <c r="ED25" i="6" a="1"/>
  <c r="ED25" i="6" s="1"/>
  <c r="EC25" i="6" a="1"/>
  <c r="EC25" i="6" s="1"/>
  <c r="EB25" i="6" a="1"/>
  <c r="EB25" i="6" s="1"/>
  <c r="EA25" i="6" a="1"/>
  <c r="EA25" i="6"/>
  <c r="DZ25" i="6" a="1"/>
  <c r="DZ25" i="6"/>
  <c r="DY25" i="6" a="1"/>
  <c r="DY25" i="6" s="1"/>
  <c r="DX25" i="6" a="1"/>
  <c r="DX25" i="6"/>
  <c r="DW25" i="6" a="1"/>
  <c r="DW25" i="6" s="1"/>
  <c r="DV25" i="6" a="1"/>
  <c r="DV25" i="6" s="1"/>
  <c r="DU25" i="6" a="1"/>
  <c r="DU25" i="6" s="1"/>
  <c r="DT25" i="6"/>
  <c r="DR25" i="6" a="1"/>
  <c r="DR25" i="6"/>
  <c r="DQ25" i="6" a="1"/>
  <c r="DQ25" i="6" s="1"/>
  <c r="DP25" i="6" a="1"/>
  <c r="DP25" i="6" s="1"/>
  <c r="DO25" i="6" a="1"/>
  <c r="DO25" i="6"/>
  <c r="DN25" i="6" a="1"/>
  <c r="DN25" i="6"/>
  <c r="DM25" i="6" a="1"/>
  <c r="DM25" i="6" s="1"/>
  <c r="DL25" i="6" a="1"/>
  <c r="DL25" i="6"/>
  <c r="DK25" i="6" a="1"/>
  <c r="DK25" i="6"/>
  <c r="DJ25" i="6" a="1"/>
  <c r="DJ25" i="6" s="1"/>
  <c r="DI25" i="6" a="1"/>
  <c r="DI25" i="6"/>
  <c r="DH25" i="6" a="1"/>
  <c r="DH25" i="6"/>
  <c r="DG25" i="6" a="1"/>
  <c r="DG25" i="6"/>
  <c r="DF25" i="6" a="1"/>
  <c r="DF25" i="6" s="1"/>
  <c r="DE25" i="6" a="1"/>
  <c r="DE25" i="6" s="1"/>
  <c r="DD25" i="6" a="1"/>
  <c r="DD25" i="6" s="1"/>
  <c r="DC25" i="6" a="1"/>
  <c r="DC25" i="6"/>
  <c r="DB25" i="6"/>
  <c r="CQ25" i="6"/>
  <c r="CP25" i="6"/>
  <c r="CN25" i="6"/>
  <c r="CM25" i="6"/>
  <c r="CK25" i="6"/>
  <c r="CJ25" i="6"/>
  <c r="CH25" i="6"/>
  <c r="CG25" i="6"/>
  <c r="D25" i="6" a="1"/>
  <c r="D25" i="6" s="1"/>
  <c r="CV25" i="6" s="1"/>
  <c r="EJ24" i="6" a="1"/>
  <c r="EJ24" i="6"/>
  <c r="EI24" i="6" a="1"/>
  <c r="EI24" i="6" s="1"/>
  <c r="EH24" i="6" a="1"/>
  <c r="EH24" i="6"/>
  <c r="EG24" i="6" a="1"/>
  <c r="EG24" i="6" s="1"/>
  <c r="EF24" i="6" a="1"/>
  <c r="EF24" i="6" s="1"/>
  <c r="EE24" i="6" a="1"/>
  <c r="EE24" i="6" s="1"/>
  <c r="ED24" i="6" a="1"/>
  <c r="ED24" i="6" s="1"/>
  <c r="EC24" i="6" a="1"/>
  <c r="EC24" i="6"/>
  <c r="EB24" i="6" a="1"/>
  <c r="EB24" i="6" s="1"/>
  <c r="EA24" i="6" a="1"/>
  <c r="EA24" i="6" s="1"/>
  <c r="DZ24" i="6" a="1"/>
  <c r="DZ24" i="6"/>
  <c r="DY24" i="6" a="1"/>
  <c r="DY24" i="6"/>
  <c r="DX24" i="6" a="1"/>
  <c r="DX24" i="6"/>
  <c r="DW24" i="6" a="1"/>
  <c r="DW24" i="6" s="1"/>
  <c r="DV24" i="6" a="1"/>
  <c r="DV24" i="6"/>
  <c r="DU24" i="6" a="1"/>
  <c r="DU24" i="6" s="1"/>
  <c r="DT24" i="6"/>
  <c r="DR24" i="6" a="1"/>
  <c r="DR24" i="6"/>
  <c r="DQ24" i="6" a="1"/>
  <c r="DQ24" i="6"/>
  <c r="DP24" i="6" a="1"/>
  <c r="DP24" i="6"/>
  <c r="DO24" i="6" a="1"/>
  <c r="DO24" i="6" s="1"/>
  <c r="DN24" i="6" a="1"/>
  <c r="DN24" i="6"/>
  <c r="DM24" i="6" a="1"/>
  <c r="DM24" i="6"/>
  <c r="DL24" i="6" a="1"/>
  <c r="DL24" i="6"/>
  <c r="DK24" i="6" a="1"/>
  <c r="DK24" i="6"/>
  <c r="DJ24" i="6" a="1"/>
  <c r="DJ24" i="6"/>
  <c r="DI24" i="6" a="1"/>
  <c r="DI24" i="6" s="1"/>
  <c r="DH24" i="6" a="1"/>
  <c r="DH24" i="6"/>
  <c r="DG24" i="6" a="1"/>
  <c r="DG24" i="6"/>
  <c r="DF24" i="6" a="1"/>
  <c r="DF24" i="6" s="1"/>
  <c r="DE24" i="6" a="1"/>
  <c r="DE24" i="6"/>
  <c r="DD24" i="6" a="1"/>
  <c r="DD24" i="6"/>
  <c r="DC24" i="6" a="1"/>
  <c r="DC24" i="6" s="1"/>
  <c r="DB24" i="6"/>
  <c r="CQ24" i="6"/>
  <c r="CP24" i="6"/>
  <c r="CN24" i="6"/>
  <c r="CM24" i="6"/>
  <c r="CK24" i="6"/>
  <c r="CJ24" i="6"/>
  <c r="CH24" i="6"/>
  <c r="CG24" i="6"/>
  <c r="D24" i="6" a="1"/>
  <c r="D24" i="6"/>
  <c r="CV24" i="6" s="1"/>
  <c r="EJ23" i="6" a="1"/>
  <c r="EJ23" i="6" s="1"/>
  <c r="EI23" i="6" a="1"/>
  <c r="EI23" i="6" s="1"/>
  <c r="EH23" i="6" a="1"/>
  <c r="EH23" i="6" s="1"/>
  <c r="EG23" i="6" a="1"/>
  <c r="EG23" i="6"/>
  <c r="EF23" i="6" a="1"/>
  <c r="EF23" i="6"/>
  <c r="EE23" i="6" a="1"/>
  <c r="EE23" i="6" s="1"/>
  <c r="ED23" i="6" a="1"/>
  <c r="ED23" i="6" s="1"/>
  <c r="EC23" i="6" a="1"/>
  <c r="EC23" i="6" s="1"/>
  <c r="EB23" i="6" a="1"/>
  <c r="EB23" i="6"/>
  <c r="EA23" i="6" a="1"/>
  <c r="EA23" i="6" s="1"/>
  <c r="DZ23" i="6" a="1"/>
  <c r="DZ23" i="6" s="1"/>
  <c r="DY23" i="6" a="1"/>
  <c r="DY23" i="6" s="1"/>
  <c r="DX23" i="6" a="1"/>
  <c r="DX23" i="6" s="1"/>
  <c r="DW23" i="6" a="1"/>
  <c r="DW23" i="6" s="1"/>
  <c r="DV23" i="6" a="1"/>
  <c r="DV23" i="6" s="1"/>
  <c r="DU23" i="6" a="1"/>
  <c r="DU23" i="6"/>
  <c r="DT23" i="6"/>
  <c r="DR23" i="6" a="1"/>
  <c r="DR23" i="6" s="1"/>
  <c r="DQ23" i="6" a="1"/>
  <c r="DQ23" i="6"/>
  <c r="DP23" i="6" a="1"/>
  <c r="DP23" i="6"/>
  <c r="DO23" i="6" a="1"/>
  <c r="DO23" i="6"/>
  <c r="DN23" i="6" a="1"/>
  <c r="DN23" i="6" s="1"/>
  <c r="DM23" i="6" a="1"/>
  <c r="DM23" i="6"/>
  <c r="DL23" i="6" a="1"/>
  <c r="DL23" i="6" s="1"/>
  <c r="DK23" i="6" a="1"/>
  <c r="DK23" i="6"/>
  <c r="DJ23" i="6" a="1"/>
  <c r="DJ23" i="6"/>
  <c r="DI23" i="6" a="1"/>
  <c r="DI23" i="6" s="1"/>
  <c r="DH23" i="6" a="1"/>
  <c r="DH23" i="6"/>
  <c r="DG23" i="6" a="1"/>
  <c r="DG23" i="6" s="1"/>
  <c r="DF23" i="6" a="1"/>
  <c r="DF23" i="6" s="1"/>
  <c r="DE23" i="6" a="1"/>
  <c r="DE23" i="6" s="1"/>
  <c r="DD23" i="6" a="1"/>
  <c r="DD23" i="6"/>
  <c r="DC23" i="6" a="1"/>
  <c r="DC23" i="6"/>
  <c r="DB23" i="6"/>
  <c r="CZ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D23" i="6" a="1"/>
  <c r="D23" i="6" s="1"/>
  <c r="CV23" i="6" s="1"/>
  <c r="EJ22" i="6" a="1"/>
  <c r="EJ22" i="6"/>
  <c r="EI22" i="6" a="1"/>
  <c r="EI22" i="6" s="1"/>
  <c r="EH22" i="6" a="1"/>
  <c r="EH22" i="6" s="1"/>
  <c r="EG22" i="6" a="1"/>
  <c r="EG22" i="6" s="1"/>
  <c r="EF22" i="6" a="1"/>
  <c r="EF22" i="6"/>
  <c r="EE22" i="6" a="1"/>
  <c r="EE22" i="6" s="1"/>
  <c r="ED22" i="6" a="1"/>
  <c r="ED22" i="6"/>
  <c r="EC22" i="6" a="1"/>
  <c r="EC22" i="6" s="1"/>
  <c r="EB22" i="6" a="1"/>
  <c r="EB22" i="6" s="1"/>
  <c r="EA22" i="6" a="1"/>
  <c r="EA22" i="6" s="1"/>
  <c r="DZ22" i="6" a="1"/>
  <c r="DZ22" i="6"/>
  <c r="DY22" i="6" a="1"/>
  <c r="DY22" i="6"/>
  <c r="DX22" i="6" a="1"/>
  <c r="DX22" i="6"/>
  <c r="DW22" i="6" a="1"/>
  <c r="DW22" i="6"/>
  <c r="DV22" i="6" a="1"/>
  <c r="DV22" i="6"/>
  <c r="DU22" i="6" a="1"/>
  <c r="DU22" i="6" s="1"/>
  <c r="DT22" i="6"/>
  <c r="DR22" i="6" a="1"/>
  <c r="DR22" i="6"/>
  <c r="DQ22" i="6" a="1"/>
  <c r="DQ22" i="6"/>
  <c r="DP22" i="6" a="1"/>
  <c r="DP22" i="6"/>
  <c r="DO22" i="6" a="1"/>
  <c r="DO22" i="6"/>
  <c r="DN22" i="6" a="1"/>
  <c r="DN22" i="6"/>
  <c r="DM22" i="6" a="1"/>
  <c r="DM22" i="6"/>
  <c r="DL22" i="6" a="1"/>
  <c r="DL22" i="6"/>
  <c r="DK22" i="6" a="1"/>
  <c r="DK22" i="6"/>
  <c r="DJ22" i="6" a="1"/>
  <c r="DJ22" i="6"/>
  <c r="DI22" i="6" a="1"/>
  <c r="DI22" i="6"/>
  <c r="DH22" i="6" a="1"/>
  <c r="DH22" i="6"/>
  <c r="DG22" i="6" a="1"/>
  <c r="DG22" i="6"/>
  <c r="DF22" i="6" a="1"/>
  <c r="DF22" i="6"/>
  <c r="DE22" i="6" a="1"/>
  <c r="DE22" i="6"/>
  <c r="DD22" i="6" a="1"/>
  <c r="DD22" i="6"/>
  <c r="DC22" i="6" a="1"/>
  <c r="DC22" i="6"/>
  <c r="DB22" i="6"/>
  <c r="CZ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D22" i="6" a="1"/>
  <c r="D22" i="6" s="1"/>
  <c r="CV22" i="6" s="1"/>
  <c r="EJ21" i="6" a="1"/>
  <c r="EJ21" i="6" s="1"/>
  <c r="EI21" i="6" a="1"/>
  <c r="EI21" i="6"/>
  <c r="EH21" i="6" a="1"/>
  <c r="EH21" i="6" s="1"/>
  <c r="EG21" i="6" a="1"/>
  <c r="EG21" i="6"/>
  <c r="EF21" i="6" a="1"/>
  <c r="EF21" i="6" s="1"/>
  <c r="EE21" i="6" a="1"/>
  <c r="EE21" i="6" s="1"/>
  <c r="ED21" i="6" a="1"/>
  <c r="ED21" i="6" s="1"/>
  <c r="EC21" i="6" a="1"/>
  <c r="EC21" i="6"/>
  <c r="EB21" i="6" a="1"/>
  <c r="EB21" i="6" s="1"/>
  <c r="EA21" i="6" a="1"/>
  <c r="EA21" i="6" s="1"/>
  <c r="DZ21" i="6" a="1"/>
  <c r="DZ21" i="6" s="1"/>
  <c r="DY21" i="6" a="1"/>
  <c r="DY21" i="6" s="1"/>
  <c r="DX21" i="6" a="1"/>
  <c r="DX21" i="6" s="1"/>
  <c r="DW21" i="6" a="1"/>
  <c r="DW21" i="6" s="1"/>
  <c r="DV21" i="6" a="1"/>
  <c r="DV21" i="6"/>
  <c r="DU21" i="6" a="1"/>
  <c r="DU21" i="6"/>
  <c r="DT21" i="6"/>
  <c r="DR21" i="6" a="1"/>
  <c r="DR21" i="6" s="1"/>
  <c r="DQ21" i="6" a="1"/>
  <c r="DQ21" i="6" s="1"/>
  <c r="DP21" i="6" a="1"/>
  <c r="DP21" i="6"/>
  <c r="DO21" i="6" a="1"/>
  <c r="DO21" i="6"/>
  <c r="DN21" i="6" a="1"/>
  <c r="DN21" i="6"/>
  <c r="DM21" i="6" a="1"/>
  <c r="DM21" i="6" s="1"/>
  <c r="DL21" i="6" a="1"/>
  <c r="DL21" i="6" s="1"/>
  <c r="DK21" i="6" a="1"/>
  <c r="DK21" i="6" s="1"/>
  <c r="DJ21" i="6" a="1"/>
  <c r="DJ21" i="6"/>
  <c r="DI21" i="6" a="1"/>
  <c r="DI21" i="6" s="1"/>
  <c r="DH21" i="6" a="1"/>
  <c r="DH21" i="6"/>
  <c r="DG21" i="6" a="1"/>
  <c r="DG21" i="6" s="1"/>
  <c r="DF21" i="6" a="1"/>
  <c r="DF21" i="6"/>
  <c r="DE21" i="6" a="1"/>
  <c r="DE21" i="6"/>
  <c r="DD21" i="6" a="1"/>
  <c r="DD21" i="6"/>
  <c r="DC21" i="6" a="1"/>
  <c r="DC21" i="6" s="1"/>
  <c r="DB21" i="6"/>
  <c r="CZ21" i="6"/>
  <c r="CQ21" i="6"/>
  <c r="CP21" i="6"/>
  <c r="CN21" i="6"/>
  <c r="CM21" i="6"/>
  <c r="CK21" i="6"/>
  <c r="CJ21" i="6"/>
  <c r="CH21" i="6"/>
  <c r="CG21" i="6"/>
  <c r="CR21" i="6" s="1"/>
  <c r="D21" i="6" a="1"/>
  <c r="D21" i="6"/>
  <c r="CV21" i="6" s="1"/>
  <c r="EJ20" i="6" a="1"/>
  <c r="EJ20" i="6" s="1"/>
  <c r="EI20" i="6" a="1"/>
  <c r="EI20" i="6" s="1"/>
  <c r="EH20" i="6" a="1"/>
  <c r="EH20" i="6"/>
  <c r="EG20" i="6" a="1"/>
  <c r="EG20" i="6" s="1"/>
  <c r="EF20" i="6" a="1"/>
  <c r="EF20" i="6"/>
  <c r="EE20" i="6" a="1"/>
  <c r="EE20" i="6"/>
  <c r="ED20" i="6" a="1"/>
  <c r="ED20" i="6" s="1"/>
  <c r="EC20" i="6" a="1"/>
  <c r="EC20" i="6"/>
  <c r="EB20" i="6" a="1"/>
  <c r="EB20" i="6" s="1"/>
  <c r="EA20" i="6" a="1"/>
  <c r="EA20" i="6" s="1"/>
  <c r="DZ20" i="6" a="1"/>
  <c r="DZ20" i="6"/>
  <c r="DY20" i="6" a="1"/>
  <c r="DY20" i="6" s="1"/>
  <c r="DX20" i="6" a="1"/>
  <c r="DX20" i="6"/>
  <c r="DW20" i="6" a="1"/>
  <c r="DW20" i="6" s="1"/>
  <c r="DV20" i="6" a="1"/>
  <c r="DV20" i="6"/>
  <c r="DU20" i="6" a="1"/>
  <c r="DU20" i="6" s="1"/>
  <c r="DT20" i="6"/>
  <c r="DR20" i="6" a="1"/>
  <c r="DR20" i="6"/>
  <c r="DQ20" i="6" a="1"/>
  <c r="DQ20" i="6" s="1"/>
  <c r="DP20" i="6" a="1"/>
  <c r="DP20" i="6"/>
  <c r="DO20" i="6" a="1"/>
  <c r="DO20" i="6" s="1"/>
  <c r="DN20" i="6" a="1"/>
  <c r="DN20" i="6"/>
  <c r="DM20" i="6" a="1"/>
  <c r="DM20" i="6"/>
  <c r="DL20" i="6" a="1"/>
  <c r="DL20" i="6"/>
  <c r="DK20" i="6" a="1"/>
  <c r="DK20" i="6"/>
  <c r="DJ20" i="6" a="1"/>
  <c r="DJ20" i="6" s="1"/>
  <c r="DI20" i="6" a="1"/>
  <c r="DI20" i="6" s="1"/>
  <c r="DH20" i="6" a="1"/>
  <c r="DH20" i="6"/>
  <c r="DG20" i="6" a="1"/>
  <c r="DG20" i="6"/>
  <c r="DF20" i="6" a="1"/>
  <c r="DF20" i="6"/>
  <c r="DE20" i="6" a="1"/>
  <c r="DE20" i="6" s="1"/>
  <c r="DD20" i="6" a="1"/>
  <c r="DD20" i="6" s="1"/>
  <c r="DC20" i="6" a="1"/>
  <c r="DC20" i="6" s="1"/>
  <c r="DB20" i="6"/>
  <c r="CZ20" i="6"/>
  <c r="CR20" i="6"/>
  <c r="CQ20" i="6"/>
  <c r="CP20" i="6"/>
  <c r="CO20" i="6"/>
  <c r="CN20" i="6"/>
  <c r="CM20" i="6"/>
  <c r="CL20" i="6"/>
  <c r="CK20" i="6"/>
  <c r="CJ20" i="6"/>
  <c r="CH20" i="6"/>
  <c r="CG20" i="6"/>
  <c r="CI20" i="6" s="1"/>
  <c r="D20" i="6" a="1"/>
  <c r="D20" i="6" s="1"/>
  <c r="CV20" i="6" s="1"/>
  <c r="EJ19" i="6" a="1"/>
  <c r="EJ19" i="6" s="1"/>
  <c r="EI19" i="6" a="1"/>
  <c r="EI19" i="6"/>
  <c r="EH19" i="6" a="1"/>
  <c r="EH19" i="6"/>
  <c r="EG19" i="6" a="1"/>
  <c r="EG19" i="6" s="1"/>
  <c r="EF19" i="6" a="1"/>
  <c r="EF19" i="6"/>
  <c r="EE19" i="6" a="1"/>
  <c r="EE19" i="6" s="1"/>
  <c r="ED19" i="6" a="1"/>
  <c r="ED19" i="6"/>
  <c r="EC19" i="6" a="1"/>
  <c r="EC19" i="6" s="1"/>
  <c r="EB19" i="6" a="1"/>
  <c r="EB19" i="6"/>
  <c r="EA19" i="6" a="1"/>
  <c r="EA19" i="6" s="1"/>
  <c r="DZ19" i="6" a="1"/>
  <c r="DZ19" i="6"/>
  <c r="DY19" i="6" a="1"/>
  <c r="DY19" i="6"/>
  <c r="DX19" i="6" a="1"/>
  <c r="DX19" i="6" s="1"/>
  <c r="DW19" i="6" a="1"/>
  <c r="DW19" i="6" s="1"/>
  <c r="DV19" i="6" a="1"/>
  <c r="DV19" i="6"/>
  <c r="DU19" i="6" a="1"/>
  <c r="DU19" i="6" s="1"/>
  <c r="DT19" i="6"/>
  <c r="DR19" i="6" a="1"/>
  <c r="DR19" i="6"/>
  <c r="DQ19" i="6" a="1"/>
  <c r="DQ19" i="6" s="1"/>
  <c r="DP19" i="6" a="1"/>
  <c r="DP19" i="6" s="1"/>
  <c r="DO19" i="6" a="1"/>
  <c r="DO19" i="6" s="1"/>
  <c r="DN19" i="6" a="1"/>
  <c r="DN19" i="6" s="1"/>
  <c r="DM19" i="6" a="1"/>
  <c r="DM19" i="6" s="1"/>
  <c r="DL19" i="6" a="1"/>
  <c r="DL19" i="6"/>
  <c r="DK19" i="6" a="1"/>
  <c r="DK19" i="6" s="1"/>
  <c r="DJ19" i="6" a="1"/>
  <c r="DJ19" i="6"/>
  <c r="DI19" i="6" a="1"/>
  <c r="DI19" i="6" s="1"/>
  <c r="DH19" i="6" a="1"/>
  <c r="DH19" i="6" s="1"/>
  <c r="DG19" i="6" a="1"/>
  <c r="DG19" i="6"/>
  <c r="DF19" i="6" a="1"/>
  <c r="DF19" i="6" s="1"/>
  <c r="DE19" i="6" a="1"/>
  <c r="DE19" i="6"/>
  <c r="DD19" i="6" a="1"/>
  <c r="DD19" i="6"/>
  <c r="DC19" i="6" a="1"/>
  <c r="DC19" i="6" s="1"/>
  <c r="DB19" i="6"/>
  <c r="CZ19" i="6"/>
  <c r="CQ19" i="6"/>
  <c r="CP19" i="6"/>
  <c r="CO19" i="6"/>
  <c r="CN19" i="6"/>
  <c r="CM19" i="6"/>
  <c r="CL19" i="6"/>
  <c r="CK19" i="6"/>
  <c r="CJ19" i="6"/>
  <c r="CH19" i="6"/>
  <c r="CG19" i="6"/>
  <c r="CI19" i="6" s="1"/>
  <c r="D19" i="6" a="1"/>
  <c r="D19" i="6" s="1"/>
  <c r="CV19" i="6" s="1"/>
  <c r="EJ18" i="6" a="1"/>
  <c r="EJ18" i="6" s="1"/>
  <c r="EI18" i="6" a="1"/>
  <c r="EI18" i="6" s="1"/>
  <c r="EH18" i="6" a="1"/>
  <c r="EH18" i="6"/>
  <c r="EG18" i="6" a="1"/>
  <c r="EG18" i="6" s="1"/>
  <c r="EF18" i="6" a="1"/>
  <c r="EF18" i="6"/>
  <c r="EE18" i="6" a="1"/>
  <c r="EE18" i="6"/>
  <c r="ED18" i="6" a="1"/>
  <c r="ED18" i="6"/>
  <c r="EC18" i="6" a="1"/>
  <c r="EC18" i="6" s="1"/>
  <c r="EB18" i="6" a="1"/>
  <c r="EB18" i="6"/>
  <c r="EA18" i="6" a="1"/>
  <c r="EA18" i="6" s="1"/>
  <c r="DZ18" i="6" a="1"/>
  <c r="DZ18" i="6"/>
  <c r="DY18" i="6" a="1"/>
  <c r="DY18" i="6"/>
  <c r="DX18" i="6" a="1"/>
  <c r="DX18" i="6" s="1"/>
  <c r="DW18" i="6" a="1"/>
  <c r="DW18" i="6" s="1"/>
  <c r="DV18" i="6" a="1"/>
  <c r="DV18" i="6"/>
  <c r="DU18" i="6" a="1"/>
  <c r="DU18" i="6" s="1"/>
  <c r="DT18" i="6"/>
  <c r="DR18" i="6" a="1"/>
  <c r="DR18" i="6" s="1"/>
  <c r="DQ18" i="6" a="1"/>
  <c r="DQ18" i="6"/>
  <c r="DP18" i="6" a="1"/>
  <c r="DP18" i="6" s="1"/>
  <c r="DO18" i="6" a="1"/>
  <c r="DO18" i="6" s="1"/>
  <c r="DN18" i="6" a="1"/>
  <c r="DN18" i="6"/>
  <c r="DM18" i="6" a="1"/>
  <c r="DM18" i="6" s="1"/>
  <c r="DL18" i="6" a="1"/>
  <c r="DL18" i="6" s="1"/>
  <c r="DK18" i="6" a="1"/>
  <c r="DK18" i="6"/>
  <c r="DJ18" i="6" a="1"/>
  <c r="DJ18" i="6" s="1"/>
  <c r="DI18" i="6" a="1"/>
  <c r="DI18" i="6"/>
  <c r="DH18" i="6" a="1"/>
  <c r="DH18" i="6" s="1"/>
  <c r="DG18" i="6" a="1"/>
  <c r="DG18" i="6" s="1"/>
  <c r="DF18" i="6" a="1"/>
  <c r="DF18" i="6" s="1"/>
  <c r="DE18" i="6" a="1"/>
  <c r="DE18" i="6"/>
  <c r="DD18" i="6" a="1"/>
  <c r="DD18" i="6" s="1"/>
  <c r="DC18" i="6" a="1"/>
  <c r="DC18" i="6" s="1"/>
  <c r="DB18" i="6"/>
  <c r="CZ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D18" i="6" a="1"/>
  <c r="D18" i="6"/>
  <c r="CV18" i="6" s="1"/>
  <c r="EJ17" i="6" a="1"/>
  <c r="EJ17" i="6"/>
  <c r="EI17" i="6" a="1"/>
  <c r="EI17" i="6" s="1"/>
  <c r="EH17" i="6" a="1"/>
  <c r="EH17" i="6"/>
  <c r="EG17" i="6" a="1"/>
  <c r="EG17" i="6"/>
  <c r="EF17" i="6" a="1"/>
  <c r="EF17" i="6"/>
  <c r="EE17" i="6" a="1"/>
  <c r="EE17" i="6"/>
  <c r="ED17" i="6" a="1"/>
  <c r="ED17" i="6"/>
  <c r="EC17" i="6" a="1"/>
  <c r="EC17" i="6" s="1"/>
  <c r="EB17" i="6" a="1"/>
  <c r="EB17" i="6"/>
  <c r="EA17" i="6" a="1"/>
  <c r="EA17" i="6"/>
  <c r="DZ17" i="6" a="1"/>
  <c r="DZ17" i="6"/>
  <c r="DY17" i="6" a="1"/>
  <c r="DY17" i="6"/>
  <c r="DX17" i="6" a="1"/>
  <c r="DX17" i="6" s="1"/>
  <c r="DW17" i="6" a="1"/>
  <c r="DW17" i="6" s="1"/>
  <c r="DV17" i="6" a="1"/>
  <c r="DV17" i="6"/>
  <c r="DU17" i="6" a="1"/>
  <c r="DU17" i="6"/>
  <c r="DT17" i="6"/>
  <c r="DR17" i="6" a="1"/>
  <c r="DR17" i="6"/>
  <c r="DQ17" i="6" a="1"/>
  <c r="DQ17" i="6"/>
  <c r="DP17" i="6" a="1"/>
  <c r="DP17" i="6" s="1"/>
  <c r="DO17" i="6" a="1"/>
  <c r="DO17" i="6" s="1"/>
  <c r="DN17" i="6" a="1"/>
  <c r="DN17" i="6" s="1"/>
  <c r="DM17" i="6" a="1"/>
  <c r="DM17" i="6"/>
  <c r="DL17" i="6" a="1"/>
  <c r="DL17" i="6"/>
  <c r="DK17" i="6" a="1"/>
  <c r="DK17" i="6" s="1"/>
  <c r="DJ17" i="6" a="1"/>
  <c r="DJ17" i="6"/>
  <c r="DI17" i="6" a="1"/>
  <c r="DI17" i="6" s="1"/>
  <c r="DH17" i="6" a="1"/>
  <c r="DH17" i="6"/>
  <c r="DG17" i="6" a="1"/>
  <c r="DG17" i="6" s="1"/>
  <c r="DF17" i="6" a="1"/>
  <c r="DF17" i="6"/>
  <c r="DE17" i="6" a="1"/>
  <c r="DE17" i="6"/>
  <c r="DD17" i="6" a="1"/>
  <c r="DD17" i="6" s="1"/>
  <c r="DC17" i="6" a="1"/>
  <c r="DC17" i="6" s="1"/>
  <c r="DB17" i="6"/>
  <c r="CZ17" i="6"/>
  <c r="CQ17" i="6"/>
  <c r="CP17" i="6"/>
  <c r="CO17" i="6"/>
  <c r="CN17" i="6"/>
  <c r="CM17" i="6"/>
  <c r="CK17" i="6"/>
  <c r="CJ17" i="6"/>
  <c r="CH17" i="6"/>
  <c r="CG17" i="6"/>
  <c r="D17" i="6" a="1"/>
  <c r="D17" i="6" s="1"/>
  <c r="EJ16" i="6" a="1"/>
  <c r="EJ16" i="6" s="1"/>
  <c r="EI16" i="6" a="1"/>
  <c r="EI16" i="6"/>
  <c r="EH16" i="6" a="1"/>
  <c r="EH16" i="6" s="1"/>
  <c r="EG16" i="6" a="1"/>
  <c r="EG16" i="6"/>
  <c r="EF16" i="6" a="1"/>
  <c r="EF16" i="6"/>
  <c r="EE16" i="6" a="1"/>
  <c r="EE16" i="6"/>
  <c r="ED16" i="6" a="1"/>
  <c r="ED16" i="6" s="1"/>
  <c r="EC16" i="6" a="1"/>
  <c r="EC16" i="6"/>
  <c r="EB16" i="6" a="1"/>
  <c r="EB16" i="6" s="1"/>
  <c r="EA16" i="6" a="1"/>
  <c r="EA16" i="6" s="1"/>
  <c r="DZ16" i="6" a="1"/>
  <c r="DZ16" i="6"/>
  <c r="DY16" i="6" a="1"/>
  <c r="DY16" i="6"/>
  <c r="DX16" i="6" a="1"/>
  <c r="DX16" i="6" s="1"/>
  <c r="DW16" i="6" a="1"/>
  <c r="DW16" i="6"/>
  <c r="DV16" i="6" a="1"/>
  <c r="DV16" i="6" s="1"/>
  <c r="DU16" i="6" a="1"/>
  <c r="DU16" i="6" s="1"/>
  <c r="DT16" i="6"/>
  <c r="DR16" i="6" a="1"/>
  <c r="DR16" i="6" s="1"/>
  <c r="DQ16" i="6" a="1"/>
  <c r="DQ16" i="6"/>
  <c r="DP16" i="6" a="1"/>
  <c r="DP16" i="6" s="1"/>
  <c r="DO16" i="6" a="1"/>
  <c r="DO16" i="6"/>
  <c r="DN16" i="6" a="1"/>
  <c r="DN16" i="6" s="1"/>
  <c r="DM16" i="6" a="1"/>
  <c r="DM16" i="6"/>
  <c r="DL16" i="6" a="1"/>
  <c r="DL16" i="6" s="1"/>
  <c r="DK16" i="6" a="1"/>
  <c r="DK16" i="6" s="1"/>
  <c r="DJ16" i="6" a="1"/>
  <c r="DJ16" i="6"/>
  <c r="DI16" i="6" a="1"/>
  <c r="DI16" i="6" s="1"/>
  <c r="DH16" i="6" a="1"/>
  <c r="DH16" i="6" s="1"/>
  <c r="DG16" i="6" a="1"/>
  <c r="DG16" i="6"/>
  <c r="DF16" i="6" a="1"/>
  <c r="DF16" i="6" s="1"/>
  <c r="DE16" i="6" a="1"/>
  <c r="DE16" i="6"/>
  <c r="DD16" i="6" a="1"/>
  <c r="DD16" i="6" s="1"/>
  <c r="DC16" i="6" a="1"/>
  <c r="DC16" i="6" s="1"/>
  <c r="DB16" i="6"/>
  <c r="CZ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D16" i="6" a="1"/>
  <c r="D16" i="6"/>
  <c r="CV16" i="6" s="1"/>
  <c r="EJ15" i="6" a="1"/>
  <c r="EJ15" i="6" s="1"/>
  <c r="EI15" i="6" a="1"/>
  <c r="EI15" i="6" s="1"/>
  <c r="EH15" i="6" a="1"/>
  <c r="EH15" i="6"/>
  <c r="EG15" i="6" a="1"/>
  <c r="EG15" i="6"/>
  <c r="EF15" i="6" a="1"/>
  <c r="EF15" i="6" s="1"/>
  <c r="EE15" i="6" a="1"/>
  <c r="EE15" i="6"/>
  <c r="ED15" i="6" a="1"/>
  <c r="ED15" i="6" s="1"/>
  <c r="EC15" i="6" a="1"/>
  <c r="EC15" i="6" s="1"/>
  <c r="EB15" i="6" a="1"/>
  <c r="EB15" i="6"/>
  <c r="EA15" i="6" a="1"/>
  <c r="EA15" i="6"/>
  <c r="DZ15" i="6" a="1"/>
  <c r="DZ15" i="6"/>
  <c r="DY15" i="6" a="1"/>
  <c r="DY15" i="6" s="1"/>
  <c r="DX15" i="6" a="1"/>
  <c r="DX15" i="6" s="1"/>
  <c r="DW15" i="6" a="1"/>
  <c r="DW15" i="6" s="1"/>
  <c r="DV15" i="6" a="1"/>
  <c r="DV15" i="6"/>
  <c r="DU15" i="6" a="1"/>
  <c r="DU15" i="6" s="1"/>
  <c r="DT15" i="6"/>
  <c r="DR15" i="6" a="1"/>
  <c r="DR15" i="6"/>
  <c r="DQ15" i="6" a="1"/>
  <c r="DQ15" i="6" s="1"/>
  <c r="DP15" i="6" a="1"/>
  <c r="DP15" i="6"/>
  <c r="DO15" i="6" a="1"/>
  <c r="DO15" i="6" s="1"/>
  <c r="DN15" i="6" a="1"/>
  <c r="DN15" i="6"/>
  <c r="DM15" i="6" a="1"/>
  <c r="DM15" i="6"/>
  <c r="DL15" i="6" a="1"/>
  <c r="DL15" i="6" s="1"/>
  <c r="DK15" i="6" a="1"/>
  <c r="DK15" i="6"/>
  <c r="DJ15" i="6" a="1"/>
  <c r="DJ15" i="6" s="1"/>
  <c r="DI15" i="6" a="1"/>
  <c r="DI15" i="6" s="1"/>
  <c r="DH15" i="6" a="1"/>
  <c r="DH15" i="6" s="1"/>
  <c r="DG15" i="6" a="1"/>
  <c r="DG15" i="6" s="1"/>
  <c r="DF15" i="6" a="1"/>
  <c r="DF15" i="6" s="1"/>
  <c r="DE15" i="6" a="1"/>
  <c r="DE15" i="6" s="1"/>
  <c r="DD15" i="6" a="1"/>
  <c r="DD15" i="6" s="1"/>
  <c r="DC15" i="6" a="1"/>
  <c r="DC15" i="6" s="1"/>
  <c r="DB15" i="6"/>
  <c r="CZ15" i="6"/>
  <c r="CR15" i="6"/>
  <c r="CQ15" i="6"/>
  <c r="CP15" i="6"/>
  <c r="CN15" i="6"/>
  <c r="CM15" i="6"/>
  <c r="CK15" i="6"/>
  <c r="CJ15" i="6"/>
  <c r="CH15" i="6"/>
  <c r="CG15" i="6"/>
  <c r="D15" i="6" a="1"/>
  <c r="D15" i="6" s="1"/>
  <c r="CV15" i="6" s="1"/>
  <c r="EJ14" i="6" a="1"/>
  <c r="EJ14" i="6"/>
  <c r="EI14" i="6" a="1"/>
  <c r="EI14" i="6" s="1"/>
  <c r="EH14" i="6" a="1"/>
  <c r="EH14" i="6" s="1"/>
  <c r="EG14" i="6" a="1"/>
  <c r="EG14" i="6" s="1"/>
  <c r="EF14" i="6" a="1"/>
  <c r="EF14" i="6"/>
  <c r="EE14" i="6" a="1"/>
  <c r="EE14" i="6"/>
  <c r="ED14" i="6" a="1"/>
  <c r="ED14" i="6"/>
  <c r="EC14" i="6" a="1"/>
  <c r="EC14" i="6" s="1"/>
  <c r="EB14" i="6" a="1"/>
  <c r="EB14" i="6"/>
  <c r="EA14" i="6" a="1"/>
  <c r="EA14" i="6"/>
  <c r="DZ14" i="6" a="1"/>
  <c r="DZ14" i="6" s="1"/>
  <c r="DY14" i="6" a="1"/>
  <c r="DY14" i="6"/>
  <c r="DX14" i="6" a="1"/>
  <c r="DX14" i="6"/>
  <c r="DW14" i="6" a="1"/>
  <c r="DW14" i="6" s="1"/>
  <c r="DV14" i="6" a="1"/>
  <c r="DV14" i="6" s="1"/>
  <c r="DU14" i="6" a="1"/>
  <c r="DU14" i="6" s="1"/>
  <c r="DT14" i="6"/>
  <c r="DR14" i="6" a="1"/>
  <c r="DR14" i="6" s="1"/>
  <c r="DQ14" i="6" a="1"/>
  <c r="DQ14" i="6" s="1"/>
  <c r="DP14" i="6" a="1"/>
  <c r="DP14" i="6"/>
  <c r="DO14" i="6" a="1"/>
  <c r="DO14" i="6" s="1"/>
  <c r="DN14" i="6" a="1"/>
  <c r="DN14" i="6" s="1"/>
  <c r="DM14" i="6" a="1"/>
  <c r="DM14" i="6"/>
  <c r="DL14" i="6" a="1"/>
  <c r="DL14" i="6" s="1"/>
  <c r="DK14" i="6" a="1"/>
  <c r="DK14" i="6"/>
  <c r="DJ14" i="6" a="1"/>
  <c r="DJ14" i="6" s="1"/>
  <c r="DI14" i="6" a="1"/>
  <c r="DI14" i="6" s="1"/>
  <c r="DH14" i="6" a="1"/>
  <c r="DH14" i="6"/>
  <c r="DG14" i="6" a="1"/>
  <c r="DG14" i="6"/>
  <c r="DF14" i="6" a="1"/>
  <c r="DF14" i="6" s="1"/>
  <c r="DE14" i="6" a="1"/>
  <c r="DE14" i="6"/>
  <c r="DD14" i="6" a="1"/>
  <c r="DD14" i="6" s="1"/>
  <c r="DC14" i="6" a="1"/>
  <c r="DC14" i="6"/>
  <c r="DB14" i="6"/>
  <c r="CZ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D14" i="6" a="1"/>
  <c r="D14" i="6" s="1"/>
  <c r="EJ13" i="6" a="1"/>
  <c r="EJ13" i="6"/>
  <c r="EI13" i="6" a="1"/>
  <c r="EI13" i="6"/>
  <c r="EH13" i="6" a="1"/>
  <c r="EH13" i="6"/>
  <c r="EG13" i="6" a="1"/>
  <c r="EG13" i="6"/>
  <c r="EF13" i="6" a="1"/>
  <c r="EF13" i="6" s="1"/>
  <c r="EE13" i="6" a="1"/>
  <c r="EE13" i="6" s="1"/>
  <c r="ED13" i="6" a="1"/>
  <c r="ED13" i="6" s="1"/>
  <c r="EC13" i="6" a="1"/>
  <c r="EC13" i="6"/>
  <c r="EB13" i="6" a="1"/>
  <c r="EB13" i="6"/>
  <c r="EA13" i="6" a="1"/>
  <c r="EA13" i="6" s="1"/>
  <c r="DZ13" i="6" a="1"/>
  <c r="DZ13" i="6"/>
  <c r="DY13" i="6" a="1"/>
  <c r="DY13" i="6" s="1"/>
  <c r="DX13" i="6" a="1"/>
  <c r="DX13" i="6" s="1"/>
  <c r="DW13" i="6" a="1"/>
  <c r="DW13" i="6"/>
  <c r="DV13" i="6" a="1"/>
  <c r="DV13" i="6"/>
  <c r="DU13" i="6" a="1"/>
  <c r="DU13" i="6"/>
  <c r="DT13" i="6"/>
  <c r="DR13" i="6" a="1"/>
  <c r="DR13" i="6" s="1"/>
  <c r="DQ13" i="6" a="1"/>
  <c r="DQ13" i="6"/>
  <c r="DP13" i="6" a="1"/>
  <c r="DP13" i="6" s="1"/>
  <c r="DO13" i="6" a="1"/>
  <c r="DO13" i="6" s="1"/>
  <c r="DN13" i="6" a="1"/>
  <c r="DN13" i="6"/>
  <c r="DM13" i="6" a="1"/>
  <c r="DM13" i="6"/>
  <c r="DL13" i="6" a="1"/>
  <c r="DL13" i="6"/>
  <c r="DK13" i="6" a="1"/>
  <c r="DK13" i="6" s="1"/>
  <c r="DJ13" i="6" a="1"/>
  <c r="DJ13" i="6" s="1"/>
  <c r="DI13" i="6" a="1"/>
  <c r="DI13" i="6" s="1"/>
  <c r="DH13" i="6" a="1"/>
  <c r="DH13" i="6" s="1"/>
  <c r="DG13" i="6" a="1"/>
  <c r="DG13" i="6"/>
  <c r="DF13" i="6" a="1"/>
  <c r="DF13" i="6"/>
  <c r="DE13" i="6" a="1"/>
  <c r="DE13" i="6" s="1"/>
  <c r="DD13" i="6" a="1"/>
  <c r="DD13" i="6"/>
  <c r="DC13" i="6" a="1"/>
  <c r="DC13" i="6" s="1"/>
  <c r="DB13" i="6"/>
  <c r="CZ13" i="6"/>
  <c r="CR13" i="6"/>
  <c r="CQ13" i="6"/>
  <c r="CP13" i="6"/>
  <c r="CN13" i="6"/>
  <c r="CM13" i="6"/>
  <c r="CK13" i="6"/>
  <c r="CJ13" i="6"/>
  <c r="CH13" i="6"/>
  <c r="CG13" i="6"/>
  <c r="D13" i="6" a="1"/>
  <c r="D13" i="6" s="1"/>
  <c r="EJ12" i="6" a="1"/>
  <c r="EJ12" i="6" s="1"/>
  <c r="EI12" i="6" a="1"/>
  <c r="EI12" i="6" s="1"/>
  <c r="EH12" i="6" a="1"/>
  <c r="EH12" i="6" s="1"/>
  <c r="EG12" i="6" a="1"/>
  <c r="EG12" i="6" s="1"/>
  <c r="EF12" i="6" a="1"/>
  <c r="EF12" i="6" s="1"/>
  <c r="EE12" i="6" a="1"/>
  <c r="EE12" i="6"/>
  <c r="ED12" i="6" a="1"/>
  <c r="ED12" i="6" s="1"/>
  <c r="EC12" i="6" a="1"/>
  <c r="EC12" i="6"/>
  <c r="EB12" i="6" a="1"/>
  <c r="EB12" i="6" s="1"/>
  <c r="EA12" i="6" a="1"/>
  <c r="EA12" i="6"/>
  <c r="DZ12" i="6" a="1"/>
  <c r="DZ12" i="6" s="1"/>
  <c r="DY12" i="6" a="1"/>
  <c r="DY12" i="6"/>
  <c r="DX12" i="6" a="1"/>
  <c r="DX12" i="6" s="1"/>
  <c r="DW12" i="6" a="1"/>
  <c r="DW12" i="6" s="1"/>
  <c r="DV12" i="6" a="1"/>
  <c r="DV12" i="6"/>
  <c r="DU12" i="6" a="1"/>
  <c r="DU12" i="6" s="1"/>
  <c r="DT12" i="6"/>
  <c r="DR12" i="6" a="1"/>
  <c r="DR12" i="6" s="1"/>
  <c r="DQ12" i="6" a="1"/>
  <c r="DQ12" i="6"/>
  <c r="DP12" i="6" a="1"/>
  <c r="DP12" i="6" s="1"/>
  <c r="DO12" i="6" a="1"/>
  <c r="DO12" i="6" s="1"/>
  <c r="DN12" i="6" a="1"/>
  <c r="DN12" i="6" s="1"/>
  <c r="DM12" i="6" a="1"/>
  <c r="DM12" i="6" s="1"/>
  <c r="DL12" i="6" a="1"/>
  <c r="DL12" i="6" s="1"/>
  <c r="DK12" i="6" a="1"/>
  <c r="DK12" i="6" s="1"/>
  <c r="DJ12" i="6" a="1"/>
  <c r="DJ12" i="6" s="1"/>
  <c r="DI12" i="6" a="1"/>
  <c r="DI12" i="6"/>
  <c r="DH12" i="6" a="1"/>
  <c r="DH12" i="6" s="1"/>
  <c r="DG12" i="6" a="1"/>
  <c r="DG12" i="6"/>
  <c r="DF12" i="6" a="1"/>
  <c r="DF12" i="6" s="1"/>
  <c r="DE12" i="6" a="1"/>
  <c r="DE12" i="6" s="1"/>
  <c r="DD12" i="6" a="1"/>
  <c r="DD12" i="6"/>
  <c r="DC12" i="6" a="1"/>
  <c r="DC12" i="6" s="1"/>
  <c r="DB12" i="6"/>
  <c r="CZ12" i="6"/>
  <c r="CR12" i="6"/>
  <c r="CQ12" i="6"/>
  <c r="CP12" i="6"/>
  <c r="CO12" i="6"/>
  <c r="CN12" i="6"/>
  <c r="CM12" i="6"/>
  <c r="CL12" i="6"/>
  <c r="CK12" i="6"/>
  <c r="CJ12" i="6"/>
  <c r="CI12" i="6"/>
  <c r="CH12" i="6"/>
  <c r="CG12" i="6"/>
  <c r="D12" i="6" a="1"/>
  <c r="D12" i="6"/>
  <c r="CV12" i="6" s="1"/>
  <c r="EJ11" i="6" a="1"/>
  <c r="EJ11" i="6"/>
  <c r="EI11" i="6" a="1"/>
  <c r="EI11" i="6" s="1"/>
  <c r="EH11" i="6" a="1"/>
  <c r="EH11" i="6"/>
  <c r="EG11" i="6" a="1"/>
  <c r="EG11" i="6"/>
  <c r="EF11" i="6" a="1"/>
  <c r="EF11" i="6" s="1"/>
  <c r="EE11" i="6" a="1"/>
  <c r="EE11" i="6" s="1"/>
  <c r="ED11" i="6" a="1"/>
  <c r="ED11" i="6"/>
  <c r="EC11" i="6" a="1"/>
  <c r="EC11" i="6" s="1"/>
  <c r="EB11" i="6" a="1"/>
  <c r="EB11" i="6"/>
  <c r="EA11" i="6" a="1"/>
  <c r="EA11" i="6" s="1"/>
  <c r="DZ11" i="6" a="1"/>
  <c r="DZ11" i="6" s="1"/>
  <c r="DY11" i="6" a="1"/>
  <c r="DY11" i="6" s="1"/>
  <c r="DX11" i="6" a="1"/>
  <c r="DX11" i="6"/>
  <c r="DW11" i="6" a="1"/>
  <c r="DW11" i="6"/>
  <c r="DV11" i="6" a="1"/>
  <c r="DV11" i="6"/>
  <c r="DU11" i="6" a="1"/>
  <c r="DU11" i="6" s="1"/>
  <c r="DT11" i="6"/>
  <c r="DR11" i="6" a="1"/>
  <c r="DR11" i="6"/>
  <c r="DQ11" i="6" a="1"/>
  <c r="DQ11" i="6" s="1"/>
  <c r="DP11" i="6" a="1"/>
  <c r="DP11" i="6"/>
  <c r="DO11" i="6" a="1"/>
  <c r="DO11" i="6" s="1"/>
  <c r="DN11" i="6" a="1"/>
  <c r="DN11" i="6"/>
  <c r="DM11" i="6" a="1"/>
  <c r="DM11" i="6"/>
  <c r="DL11" i="6" a="1"/>
  <c r="DL11" i="6" s="1"/>
  <c r="DK11" i="6" a="1"/>
  <c r="DK11" i="6" s="1"/>
  <c r="DJ11" i="6" a="1"/>
  <c r="DJ11" i="6"/>
  <c r="DI11" i="6" a="1"/>
  <c r="DI11" i="6" s="1"/>
  <c r="DH11" i="6" a="1"/>
  <c r="DH11" i="6"/>
  <c r="DG11" i="6" a="1"/>
  <c r="DG11" i="6" s="1"/>
  <c r="DF11" i="6" a="1"/>
  <c r="DF11" i="6" s="1"/>
  <c r="DE11" i="6" a="1"/>
  <c r="DE11" i="6"/>
  <c r="DD11" i="6" a="1"/>
  <c r="DD11" i="6" s="1"/>
  <c r="DC11" i="6" a="1"/>
  <c r="DC11" i="6" s="1"/>
  <c r="DB11" i="6"/>
  <c r="CZ11" i="6"/>
  <c r="CQ11" i="6"/>
  <c r="CP11" i="6"/>
  <c r="CN11" i="6"/>
  <c r="CM11" i="6"/>
  <c r="CK11" i="6"/>
  <c r="CJ11" i="6"/>
  <c r="CH11" i="6"/>
  <c r="CG11" i="6"/>
  <c r="D11" i="6" a="1"/>
  <c r="D11" i="6" s="1"/>
  <c r="EJ10" i="6" a="1"/>
  <c r="EJ10" i="6" s="1"/>
  <c r="EI10" i="6" a="1"/>
  <c r="EI10" i="6" s="1"/>
  <c r="EH10" i="6" a="1"/>
  <c r="EH10" i="6"/>
  <c r="EG10" i="6" a="1"/>
  <c r="EG10" i="6" s="1"/>
  <c r="EF10" i="6" a="1"/>
  <c r="EF10" i="6"/>
  <c r="EE10" i="6" a="1"/>
  <c r="EE10" i="6"/>
  <c r="ED10" i="6" a="1"/>
  <c r="ED10" i="6" s="1"/>
  <c r="EC10" i="6" a="1"/>
  <c r="EC10" i="6"/>
  <c r="EB10" i="6" a="1"/>
  <c r="EB10" i="6" s="1"/>
  <c r="EA10" i="6" a="1"/>
  <c r="EA10" i="6"/>
  <c r="DZ10" i="6" a="1"/>
  <c r="DZ10" i="6"/>
  <c r="DY10" i="6" a="1"/>
  <c r="DY10" i="6"/>
  <c r="DX10" i="6" a="1"/>
  <c r="DX10" i="6" s="1"/>
  <c r="DW10" i="6" a="1"/>
  <c r="DW10" i="6"/>
  <c r="DV10" i="6" a="1"/>
  <c r="DV10" i="6"/>
  <c r="DU10" i="6" a="1"/>
  <c r="DU10" i="6"/>
  <c r="DT10" i="6"/>
  <c r="DR10" i="6" a="1"/>
  <c r="DR10" i="6" s="1"/>
  <c r="DQ10" i="6" a="1"/>
  <c r="DQ10" i="6" s="1"/>
  <c r="DP10" i="6" a="1"/>
  <c r="DP10" i="6" s="1"/>
  <c r="DO10" i="6" a="1"/>
  <c r="DO10" i="6"/>
  <c r="DN10" i="6" a="1"/>
  <c r="DN10" i="6"/>
  <c r="DM10" i="6" a="1"/>
  <c r="DM10" i="6"/>
  <c r="DL10" i="6" a="1"/>
  <c r="DL10" i="6" s="1"/>
  <c r="DK10" i="6" a="1"/>
  <c r="DK10" i="6" s="1"/>
  <c r="DJ10" i="6" a="1"/>
  <c r="DJ10" i="6"/>
  <c r="DI10" i="6" a="1"/>
  <c r="DI10" i="6" s="1"/>
  <c r="DH10" i="6" a="1"/>
  <c r="DH10" i="6"/>
  <c r="DG10" i="6" a="1"/>
  <c r="DG10" i="6" s="1"/>
  <c r="DF10" i="6" a="1"/>
  <c r="DF10" i="6" s="1"/>
  <c r="DE10" i="6" a="1"/>
  <c r="DE10" i="6"/>
  <c r="DD10" i="6" a="1"/>
  <c r="DD10" i="6" s="1"/>
  <c r="DC10" i="6" a="1"/>
  <c r="DC10" i="6" s="1"/>
  <c r="DB10" i="6"/>
  <c r="CZ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D10" i="6" a="1"/>
  <c r="D10" i="6" s="1"/>
  <c r="CV10" i="6" s="1"/>
  <c r="EJ9" i="6" a="1"/>
  <c r="EJ9" i="6"/>
  <c r="EI9" i="6" a="1"/>
  <c r="EI9" i="6" s="1"/>
  <c r="EH9" i="6" a="1"/>
  <c r="EH9" i="6"/>
  <c r="EG9" i="6" a="1"/>
  <c r="EG9" i="6" s="1"/>
  <c r="EF9" i="6" a="1"/>
  <c r="EF9" i="6" s="1"/>
  <c r="EE9" i="6" a="1"/>
  <c r="EE9" i="6"/>
  <c r="ED9" i="6" a="1"/>
  <c r="ED9" i="6"/>
  <c r="EC9" i="6" a="1"/>
  <c r="EC9" i="6"/>
  <c r="EB9" i="6" a="1"/>
  <c r="EB9" i="6"/>
  <c r="EA9" i="6" a="1"/>
  <c r="EA9" i="6" s="1"/>
  <c r="DZ9" i="6" a="1"/>
  <c r="DZ9" i="6" s="1"/>
  <c r="DY9" i="6" a="1"/>
  <c r="DY9" i="6"/>
  <c r="DX9" i="6" a="1"/>
  <c r="DX9" i="6" s="1"/>
  <c r="DW9" i="6" a="1"/>
  <c r="DW9" i="6"/>
  <c r="DV9" i="6" a="1"/>
  <c r="DV9" i="6"/>
  <c r="DU9" i="6" a="1"/>
  <c r="DU9" i="6" s="1"/>
  <c r="DT9" i="6"/>
  <c r="DR9" i="6" a="1"/>
  <c r="DR9" i="6" s="1"/>
  <c r="DQ9" i="6" a="1"/>
  <c r="DQ9" i="6" s="1"/>
  <c r="DP9" i="6" a="1"/>
  <c r="DP9" i="6"/>
  <c r="DO9" i="6" a="1"/>
  <c r="DO9" i="6" s="1"/>
  <c r="DN9" i="6" a="1"/>
  <c r="DN9" i="6"/>
  <c r="DM9" i="6" a="1"/>
  <c r="DM9" i="6" s="1"/>
  <c r="DL9" i="6" a="1"/>
  <c r="DL9" i="6" s="1"/>
  <c r="DK9" i="6" a="1"/>
  <c r="DK9" i="6"/>
  <c r="DJ9" i="6" a="1"/>
  <c r="DJ9" i="6"/>
  <c r="DI9" i="6" a="1"/>
  <c r="DI9" i="6" s="1"/>
  <c r="DH9" i="6" a="1"/>
  <c r="DH9" i="6"/>
  <c r="DG9" i="6" a="1"/>
  <c r="DG9" i="6" s="1"/>
  <c r="DF9" i="6" a="1"/>
  <c r="DF9" i="6" s="1"/>
  <c r="DE9" i="6" a="1"/>
  <c r="DE9" i="6" s="1"/>
  <c r="DD9" i="6" a="1"/>
  <c r="DD9" i="6"/>
  <c r="DC9" i="6" a="1"/>
  <c r="DC9" i="6" s="1"/>
  <c r="DB9" i="6"/>
  <c r="CZ9" i="6"/>
  <c r="CQ9" i="6"/>
  <c r="CP9" i="6"/>
  <c r="CO9" i="6"/>
  <c r="CN9" i="6"/>
  <c r="CM9" i="6"/>
  <c r="CL9" i="6"/>
  <c r="CK9" i="6"/>
  <c r="CJ9" i="6"/>
  <c r="CI9" i="6"/>
  <c r="CH9" i="6"/>
  <c r="CG9" i="6"/>
  <c r="CR9" i="6" s="1"/>
  <c r="D9" i="6" a="1"/>
  <c r="D9" i="6" s="1"/>
  <c r="CV9" i="6" s="1"/>
  <c r="EJ8" i="6" a="1"/>
  <c r="EJ8" i="6" s="1"/>
  <c r="EI8" i="6" a="1"/>
  <c r="EI8" i="6"/>
  <c r="EH8" i="6" a="1"/>
  <c r="EH8" i="6"/>
  <c r="EG8" i="6" a="1"/>
  <c r="EG8" i="6" s="1"/>
  <c r="EF8" i="6" a="1"/>
  <c r="EF8" i="6" s="1"/>
  <c r="EE8" i="6" a="1"/>
  <c r="EE8" i="6"/>
  <c r="ED8" i="6" a="1"/>
  <c r="ED8" i="6"/>
  <c r="EC8" i="6" a="1"/>
  <c r="EC8" i="6" s="1"/>
  <c r="EB8" i="6" a="1"/>
  <c r="EB8" i="6" s="1"/>
  <c r="EA8" i="6" a="1"/>
  <c r="EA8" i="6" s="1"/>
  <c r="DZ8" i="6" a="1"/>
  <c r="DZ8" i="6" s="1"/>
  <c r="DY8" i="6" a="1"/>
  <c r="DY8" i="6"/>
  <c r="DX8" i="6" a="1"/>
  <c r="DX8" i="6" s="1"/>
  <c r="DW8" i="6" a="1"/>
  <c r="DW8" i="6" s="1"/>
  <c r="DV8" i="6" a="1"/>
  <c r="DV8" i="6" s="1"/>
  <c r="DU8" i="6" a="1"/>
  <c r="DU8" i="6" s="1"/>
  <c r="DT8" i="6"/>
  <c r="DR8" i="6" a="1"/>
  <c r="DR8" i="6" s="1"/>
  <c r="DQ8" i="6" a="1"/>
  <c r="DQ8" i="6"/>
  <c r="DP8" i="6" a="1"/>
  <c r="DP8" i="6" s="1"/>
  <c r="DO8" i="6" a="1"/>
  <c r="DO8" i="6"/>
  <c r="DN8" i="6" a="1"/>
  <c r="DN8" i="6" s="1"/>
  <c r="DM8" i="6" a="1"/>
  <c r="DM8" i="6" s="1"/>
  <c r="DL8" i="6" a="1"/>
  <c r="DL8" i="6" s="1"/>
  <c r="DK8" i="6" a="1"/>
  <c r="DK8" i="6"/>
  <c r="DJ8" i="6" a="1"/>
  <c r="DJ8" i="6" s="1"/>
  <c r="DI8" i="6" a="1"/>
  <c r="DI8" i="6" s="1"/>
  <c r="DH8" i="6" a="1"/>
  <c r="DH8" i="6"/>
  <c r="DG8" i="6" a="1"/>
  <c r="DG8" i="6" s="1"/>
  <c r="DF8" i="6" a="1"/>
  <c r="DF8" i="6" s="1"/>
  <c r="DE8" i="6" a="1"/>
  <c r="DE8" i="6" s="1"/>
  <c r="DD8" i="6" a="1"/>
  <c r="DD8" i="6" s="1"/>
  <c r="DC8" i="6" a="1"/>
  <c r="DC8" i="6"/>
  <c r="DB8" i="6"/>
  <c r="CZ8" i="6"/>
  <c r="CR8" i="6"/>
  <c r="CQ8" i="6"/>
  <c r="CP8" i="6"/>
  <c r="CO8" i="6"/>
  <c r="CN8" i="6"/>
  <c r="CM8" i="6"/>
  <c r="CL8" i="6"/>
  <c r="CK8" i="6"/>
  <c r="CJ8" i="6"/>
  <c r="CI8" i="6"/>
  <c r="CH8" i="6"/>
  <c r="CG8" i="6"/>
  <c r="D8" i="6" a="1"/>
  <c r="D8" i="6" s="1"/>
  <c r="B8" i="6"/>
  <c r="B6" i="6"/>
  <c r="BG94" i="6" s="1" a="1"/>
  <c r="BG94" i="6" s="1"/>
  <c r="CF5" i="6"/>
  <c r="CE5" i="6"/>
  <c r="CA5" i="6"/>
  <c r="BZ5" i="6"/>
  <c r="BV5" i="6"/>
  <c r="BU5" i="6"/>
  <c r="BQ5" i="6"/>
  <c r="BP5" i="6"/>
  <c r="BL5" i="6"/>
  <c r="BK5" i="6"/>
  <c r="BG5" i="6"/>
  <c r="BF5" i="6"/>
  <c r="BB5" i="6"/>
  <c r="BA5" i="6"/>
  <c r="AW5" i="6"/>
  <c r="AV5" i="6"/>
  <c r="AR5" i="6"/>
  <c r="AQ5" i="6"/>
  <c r="AM5" i="6"/>
  <c r="AL5" i="6"/>
  <c r="AH5" i="6"/>
  <c r="AG5" i="6"/>
  <c r="AC5" i="6"/>
  <c r="AB5" i="6"/>
  <c r="X5" i="6"/>
  <c r="W5" i="6"/>
  <c r="S5" i="6"/>
  <c r="R5" i="6"/>
  <c r="N5" i="6"/>
  <c r="M5" i="6"/>
  <c r="I5" i="6"/>
  <c r="H5" i="6"/>
  <c r="C5" i="6"/>
  <c r="B5" i="6"/>
  <c r="E4" i="6"/>
  <c r="B4" i="6"/>
  <c r="O3" i="6"/>
  <c r="D3" i="6"/>
  <c r="I147" i="5"/>
  <c r="I148" i="5" s="1"/>
  <c r="I149" i="5" s="1"/>
  <c r="I150" i="5" s="1"/>
  <c r="I151" i="5" s="1"/>
  <c r="B147" i="5"/>
  <c r="B148" i="5" s="1"/>
  <c r="B149" i="5" s="1"/>
  <c r="B150" i="5" s="1"/>
  <c r="B151" i="5" s="1"/>
  <c r="B143" i="5"/>
  <c r="B144" i="5" s="1"/>
  <c r="B145" i="5" s="1"/>
  <c r="B146" i="5" s="1"/>
  <c r="I142" i="5"/>
  <c r="I143" i="5" s="1"/>
  <c r="I144" i="5" s="1"/>
  <c r="I145" i="5" s="1"/>
  <c r="I146" i="5" s="1"/>
  <c r="B142" i="5"/>
  <c r="C137" i="5"/>
  <c r="D137" i="5" s="1"/>
  <c r="M137" i="5" s="1"/>
  <c r="N137" i="5" s="1"/>
  <c r="C136" i="5"/>
  <c r="D136" i="5" s="1"/>
  <c r="M136" i="5" s="1"/>
  <c r="N136" i="5" s="1"/>
  <c r="C134" i="5"/>
  <c r="D134" i="5" s="1"/>
  <c r="M134" i="5" s="1"/>
  <c r="N134" i="5" s="1"/>
  <c r="C133" i="5"/>
  <c r="D133" i="5" s="1"/>
  <c r="D131" i="5"/>
  <c r="D130" i="5"/>
  <c r="D129" i="5"/>
  <c r="C128" i="5"/>
  <c r="D128" i="5" s="1"/>
  <c r="D127" i="5"/>
  <c r="C127" i="5"/>
  <c r="D125" i="5"/>
  <c r="C125" i="5"/>
  <c r="K125" i="5" s="1"/>
  <c r="C122" i="5"/>
  <c r="C119" i="5"/>
  <c r="K118" i="5"/>
  <c r="D118" i="5"/>
  <c r="C118" i="5"/>
  <c r="K116" i="5"/>
  <c r="D116" i="5"/>
  <c r="C116" i="5"/>
  <c r="D115" i="5"/>
  <c r="C115" i="5"/>
  <c r="K115" i="5" s="1"/>
  <c r="L111" i="5"/>
  <c r="D139" i="5" s="1"/>
  <c r="N139" i="5" s="1"/>
  <c r="B75" i="5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71" i="5"/>
  <c r="B72" i="5" s="1"/>
  <c r="B73" i="5" s="1"/>
  <c r="B74" i="5" s="1"/>
  <c r="B62" i="5"/>
  <c r="B63" i="5" s="1"/>
  <c r="B64" i="5" s="1"/>
  <c r="B65" i="5" s="1"/>
  <c r="B66" i="5" s="1"/>
  <c r="B67" i="5" s="1"/>
  <c r="B68" i="5" s="1"/>
  <c r="B69" i="5" s="1"/>
  <c r="B70" i="5" s="1"/>
  <c r="B61" i="5"/>
  <c r="B58" i="5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6" i="5"/>
  <c r="B3" i="5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B116" i="4"/>
  <c r="D115" i="4"/>
  <c r="B114" i="4"/>
  <c r="B113" i="4"/>
  <c r="D112" i="4"/>
  <c r="B111" i="4"/>
  <c r="B110" i="4"/>
  <c r="B109" i="4"/>
  <c r="B108" i="4"/>
  <c r="D107" i="4"/>
  <c r="C106" i="4"/>
  <c r="B106" i="4"/>
  <c r="C105" i="4"/>
  <c r="B105" i="4"/>
  <c r="C104" i="4"/>
  <c r="B104" i="4"/>
  <c r="C103" i="4"/>
  <c r="B103" i="4"/>
  <c r="D102" i="4"/>
  <c r="C102" i="4"/>
  <c r="B102" i="4"/>
  <c r="E97" i="4" a="1"/>
  <c r="E97" i="4" s="1"/>
  <c r="BH90" i="4"/>
  <c r="AY90" i="4"/>
  <c r="AP90" i="4"/>
  <c r="AG90" i="4"/>
  <c r="X90" i="4"/>
  <c r="O90" i="4"/>
  <c r="F90" i="4"/>
  <c r="B90" i="4"/>
  <c r="BH89" i="4"/>
  <c r="AY89" i="4"/>
  <c r="AP89" i="4"/>
  <c r="AG89" i="4"/>
  <c r="X89" i="4"/>
  <c r="O89" i="4"/>
  <c r="F89" i="4"/>
  <c r="B89" i="4"/>
  <c r="BH88" i="4"/>
  <c r="AY88" i="4"/>
  <c r="AP88" i="4"/>
  <c r="AG88" i="4"/>
  <c r="X88" i="4"/>
  <c r="O88" i="4"/>
  <c r="N88" i="4"/>
  <c r="F88" i="4"/>
  <c r="B88" i="4"/>
  <c r="BP87" i="4"/>
  <c r="BH87" i="4"/>
  <c r="AY87" i="4"/>
  <c r="AP87" i="4"/>
  <c r="AG87" i="4"/>
  <c r="X87" i="4"/>
  <c r="O87" i="4"/>
  <c r="F87" i="4"/>
  <c r="B87" i="4"/>
  <c r="BH86" i="4"/>
  <c r="AY86" i="4"/>
  <c r="AP86" i="4"/>
  <c r="AG86" i="4"/>
  <c r="X86" i="4"/>
  <c r="W86" i="4"/>
  <c r="O86" i="4"/>
  <c r="F86" i="4"/>
  <c r="B86" i="4"/>
  <c r="BP85" i="4"/>
  <c r="BH85" i="4"/>
  <c r="AY85" i="4"/>
  <c r="AP85" i="4"/>
  <c r="AG85" i="4"/>
  <c r="X85" i="4"/>
  <c r="O85" i="4"/>
  <c r="F85" i="4"/>
  <c r="B85" i="4"/>
  <c r="CF79" i="4"/>
  <c r="CE79" i="4"/>
  <c r="CD79" i="4"/>
  <c r="CC79" i="4"/>
  <c r="BZ79" i="4"/>
  <c r="BY79" i="4"/>
  <c r="BX79" i="4"/>
  <c r="BU79" i="4"/>
  <c r="BT79" i="4"/>
  <c r="BS79" i="4"/>
  <c r="BV79" i="4" s="1"/>
  <c r="BP79" i="4"/>
  <c r="BQ79" i="4" s="1"/>
  <c r="BO79" i="4"/>
  <c r="BN79" i="4"/>
  <c r="BK79" i="4"/>
  <c r="BJ79" i="4"/>
  <c r="BI79" i="4"/>
  <c r="BL79" i="4" s="1"/>
  <c r="BF79" i="4"/>
  <c r="BE79" i="4"/>
  <c r="BD79" i="4"/>
  <c r="BB79" i="4"/>
  <c r="BA79" i="4"/>
  <c r="AZ79" i="4"/>
  <c r="AY79" i="4"/>
  <c r="AV79" i="4"/>
  <c r="AU79" i="4"/>
  <c r="AT79" i="4"/>
  <c r="AW79" i="4" s="1"/>
  <c r="AQ79" i="4"/>
  <c r="AP79" i="4"/>
  <c r="AO79" i="4"/>
  <c r="AR79" i="4" s="1"/>
  <c r="AL79" i="4"/>
  <c r="AK79" i="4"/>
  <c r="AJ79" i="4"/>
  <c r="AM79" i="4" s="1"/>
  <c r="AG79" i="4"/>
  <c r="AF79" i="4"/>
  <c r="AE79" i="4"/>
  <c r="AB79" i="4"/>
  <c r="AA79" i="4"/>
  <c r="Z79" i="4"/>
  <c r="AC79" i="4" s="1"/>
  <c r="X79" i="4"/>
  <c r="W79" i="4"/>
  <c r="V79" i="4"/>
  <c r="U79" i="4"/>
  <c r="R79" i="4"/>
  <c r="Q79" i="4"/>
  <c r="P79" i="4"/>
  <c r="M79" i="4"/>
  <c r="L79" i="4"/>
  <c r="K79" i="4"/>
  <c r="I79" i="4"/>
  <c r="H79" i="4"/>
  <c r="G79" i="4"/>
  <c r="F79" i="4"/>
  <c r="CE78" i="4"/>
  <c r="CD78" i="4"/>
  <c r="CC78" i="4"/>
  <c r="BZ78" i="4"/>
  <c r="BY78" i="4"/>
  <c r="BX78" i="4"/>
  <c r="CA78" i="4" s="1"/>
  <c r="BU78" i="4"/>
  <c r="BT78" i="4"/>
  <c r="BS78" i="4"/>
  <c r="BV78" i="4" s="1"/>
  <c r="BP78" i="4"/>
  <c r="BO78" i="4"/>
  <c r="BN78" i="4"/>
  <c r="BK78" i="4"/>
  <c r="BJ78" i="4"/>
  <c r="BI78" i="4"/>
  <c r="BL78" i="4" s="1"/>
  <c r="BG78" i="4"/>
  <c r="BF78" i="4"/>
  <c r="BE78" i="4"/>
  <c r="BD78" i="4"/>
  <c r="BA78" i="4"/>
  <c r="AZ78" i="4"/>
  <c r="AY78" i="4"/>
  <c r="AW78" i="4"/>
  <c r="AV78" i="4"/>
  <c r="AU78" i="4"/>
  <c r="AT78" i="4"/>
  <c r="AR78" i="4"/>
  <c r="AQ78" i="4"/>
  <c r="AP78" i="4"/>
  <c r="AO78" i="4"/>
  <c r="AL78" i="4"/>
  <c r="AK78" i="4"/>
  <c r="AJ78" i="4"/>
  <c r="AM78" i="4" s="1"/>
  <c r="AG78" i="4"/>
  <c r="AH78" i="4" s="1"/>
  <c r="AF78" i="4"/>
  <c r="AE78" i="4"/>
  <c r="AB78" i="4"/>
  <c r="AA78" i="4"/>
  <c r="Z78" i="4"/>
  <c r="W78" i="4"/>
  <c r="V78" i="4"/>
  <c r="U78" i="4"/>
  <c r="R78" i="4"/>
  <c r="Q78" i="4"/>
  <c r="P78" i="4"/>
  <c r="M78" i="4"/>
  <c r="L78" i="4"/>
  <c r="K78" i="4"/>
  <c r="N78" i="4" s="1"/>
  <c r="H78" i="4"/>
  <c r="G78" i="4"/>
  <c r="F78" i="4"/>
  <c r="CE77" i="4"/>
  <c r="CD77" i="4"/>
  <c r="CC77" i="4"/>
  <c r="CF77" i="4" s="1"/>
  <c r="BZ77" i="4"/>
  <c r="BY77" i="4"/>
  <c r="BX77" i="4"/>
  <c r="CA77" i="4" s="1"/>
  <c r="BU77" i="4"/>
  <c r="BT77" i="4"/>
  <c r="BS77" i="4"/>
  <c r="BQ77" i="4"/>
  <c r="BP77" i="4"/>
  <c r="BO77" i="4"/>
  <c r="BN77" i="4"/>
  <c r="BL77" i="4"/>
  <c r="BK77" i="4"/>
  <c r="BJ77" i="4"/>
  <c r="BI77" i="4"/>
  <c r="BF77" i="4"/>
  <c r="BE77" i="4"/>
  <c r="BD77" i="4"/>
  <c r="BA77" i="4"/>
  <c r="BB77" i="4" s="1"/>
  <c r="AZ77" i="4"/>
  <c r="AY77" i="4"/>
  <c r="AV77" i="4"/>
  <c r="AW77" i="4" s="1"/>
  <c r="AU77" i="4"/>
  <c r="AT77" i="4"/>
  <c r="AQ77" i="4"/>
  <c r="AP77" i="4"/>
  <c r="AO77" i="4"/>
  <c r="AL77" i="4"/>
  <c r="AK77" i="4"/>
  <c r="AJ77" i="4"/>
  <c r="AG77" i="4"/>
  <c r="AH77" i="4" s="1"/>
  <c r="AF77" i="4"/>
  <c r="AE77" i="4"/>
  <c r="AB77" i="4"/>
  <c r="AA77" i="4"/>
  <c r="Z77" i="4"/>
  <c r="AC77" i="4" s="1"/>
  <c r="W77" i="4"/>
  <c r="V77" i="4"/>
  <c r="X77" i="4" s="1"/>
  <c r="U77" i="4"/>
  <c r="S77" i="4"/>
  <c r="R77" i="4"/>
  <c r="Q77" i="4"/>
  <c r="P77" i="4"/>
  <c r="M77" i="4"/>
  <c r="L77" i="4"/>
  <c r="K77" i="4"/>
  <c r="H77" i="4"/>
  <c r="G77" i="4"/>
  <c r="F77" i="4"/>
  <c r="I77" i="4" s="1"/>
  <c r="CE76" i="4"/>
  <c r="CF76" i="4" s="1"/>
  <c r="CD76" i="4"/>
  <c r="CC76" i="4"/>
  <c r="BZ76" i="4"/>
  <c r="BY76" i="4"/>
  <c r="BX76" i="4"/>
  <c r="CA76" i="4" s="1"/>
  <c r="BU76" i="4"/>
  <c r="BT76" i="4"/>
  <c r="BS76" i="4"/>
  <c r="BP76" i="4"/>
  <c r="BQ76" i="4" s="1"/>
  <c r="BO76" i="4"/>
  <c r="BN76" i="4"/>
  <c r="BK76" i="4"/>
  <c r="BJ76" i="4"/>
  <c r="BI76" i="4"/>
  <c r="BF76" i="4"/>
  <c r="BE76" i="4"/>
  <c r="BD76" i="4"/>
  <c r="BG76" i="4" s="1"/>
  <c r="BA76" i="4"/>
  <c r="AZ76" i="4"/>
  <c r="AY76" i="4"/>
  <c r="AV76" i="4"/>
  <c r="AU76" i="4"/>
  <c r="AT76" i="4"/>
  <c r="AQ76" i="4"/>
  <c r="AP76" i="4"/>
  <c r="AO76" i="4"/>
  <c r="AL76" i="4"/>
  <c r="AK76" i="4"/>
  <c r="AJ76" i="4"/>
  <c r="AM76" i="4" s="1"/>
  <c r="AG76" i="4"/>
  <c r="AF76" i="4"/>
  <c r="AE76" i="4"/>
  <c r="AC76" i="4"/>
  <c r="AB76" i="4"/>
  <c r="AA76" i="4"/>
  <c r="Z76" i="4"/>
  <c r="W76" i="4"/>
  <c r="V76" i="4"/>
  <c r="U76" i="4"/>
  <c r="X76" i="4" s="1"/>
  <c r="R76" i="4"/>
  <c r="Q76" i="4"/>
  <c r="P76" i="4"/>
  <c r="S76" i="4" s="1"/>
  <c r="M76" i="4"/>
  <c r="N76" i="4" s="1"/>
  <c r="L76" i="4"/>
  <c r="K76" i="4"/>
  <c r="H76" i="4"/>
  <c r="G76" i="4"/>
  <c r="F76" i="4"/>
  <c r="I76" i="4" s="1"/>
  <c r="CE75" i="4"/>
  <c r="CD75" i="4"/>
  <c r="CC75" i="4"/>
  <c r="CA75" i="4"/>
  <c r="BZ75" i="4"/>
  <c r="BY75" i="4"/>
  <c r="BX75" i="4"/>
  <c r="BU75" i="4"/>
  <c r="BT75" i="4"/>
  <c r="BS75" i="4"/>
  <c r="BV75" i="4" s="1"/>
  <c r="BP75" i="4"/>
  <c r="BO75" i="4"/>
  <c r="BN75" i="4"/>
  <c r="BK75" i="4"/>
  <c r="BJ75" i="4"/>
  <c r="BL75" i="4" s="1"/>
  <c r="BI75" i="4"/>
  <c r="BF75" i="4"/>
  <c r="BE75" i="4"/>
  <c r="BD75" i="4"/>
  <c r="BA75" i="4"/>
  <c r="AZ75" i="4"/>
  <c r="AY75" i="4"/>
  <c r="BB75" i="4" s="1"/>
  <c r="AV75" i="4"/>
  <c r="AU75" i="4"/>
  <c r="AT75" i="4"/>
  <c r="AW75" i="4" s="1"/>
  <c r="AR75" i="4"/>
  <c r="AQ75" i="4"/>
  <c r="AP75" i="4"/>
  <c r="AO75" i="4"/>
  <c r="AL75" i="4"/>
  <c r="AK75" i="4"/>
  <c r="AJ75" i="4"/>
  <c r="AG75" i="4"/>
  <c r="AF75" i="4"/>
  <c r="AE75" i="4"/>
  <c r="AH75" i="4" s="1"/>
  <c r="AB75" i="4"/>
  <c r="AA75" i="4"/>
  <c r="Z75" i="4"/>
  <c r="AC75" i="4" s="1"/>
  <c r="W75" i="4"/>
  <c r="V75" i="4"/>
  <c r="U75" i="4"/>
  <c r="R75" i="4"/>
  <c r="Q75" i="4"/>
  <c r="P75" i="4"/>
  <c r="S75" i="4" s="1"/>
  <c r="M75" i="4"/>
  <c r="N75" i="4" s="1"/>
  <c r="L75" i="4"/>
  <c r="K75" i="4"/>
  <c r="H75" i="4"/>
  <c r="G75" i="4"/>
  <c r="F75" i="4"/>
  <c r="CE74" i="4"/>
  <c r="CD74" i="4"/>
  <c r="CC74" i="4"/>
  <c r="CF74" i="4" s="1"/>
  <c r="BZ74" i="4"/>
  <c r="BY74" i="4"/>
  <c r="BX74" i="4"/>
  <c r="CA74" i="4" s="1"/>
  <c r="BU74" i="4"/>
  <c r="BT74" i="4"/>
  <c r="BS74" i="4"/>
  <c r="BP74" i="4"/>
  <c r="BO74" i="4"/>
  <c r="BN74" i="4"/>
  <c r="BQ74" i="4" s="1"/>
  <c r="BL74" i="4"/>
  <c r="BK74" i="4"/>
  <c r="BJ74" i="4"/>
  <c r="BI74" i="4"/>
  <c r="BF74" i="4"/>
  <c r="BE74" i="4"/>
  <c r="BD74" i="4"/>
  <c r="BG74" i="4" s="1"/>
  <c r="BA74" i="4"/>
  <c r="AZ74" i="4"/>
  <c r="AY74" i="4"/>
  <c r="AV74" i="4"/>
  <c r="AU74" i="4"/>
  <c r="AT74" i="4"/>
  <c r="AW74" i="4" s="1"/>
  <c r="AQ74" i="4"/>
  <c r="AP74" i="4"/>
  <c r="AO74" i="4"/>
  <c r="AL74" i="4"/>
  <c r="AK74" i="4"/>
  <c r="AM74" i="4" s="1"/>
  <c r="AJ74" i="4"/>
  <c r="AG74" i="4"/>
  <c r="AF74" i="4"/>
  <c r="AE74" i="4"/>
  <c r="AH74" i="4" s="1"/>
  <c r="AB74" i="4"/>
  <c r="AA74" i="4"/>
  <c r="Z74" i="4"/>
  <c r="W74" i="4"/>
  <c r="V74" i="4"/>
  <c r="U74" i="4"/>
  <c r="S74" i="4"/>
  <c r="R74" i="4"/>
  <c r="Q74" i="4"/>
  <c r="P74" i="4"/>
  <c r="M74" i="4"/>
  <c r="L74" i="4"/>
  <c r="K74" i="4"/>
  <c r="I74" i="4"/>
  <c r="H74" i="4"/>
  <c r="G74" i="4"/>
  <c r="F74" i="4"/>
  <c r="CE73" i="4"/>
  <c r="CF73" i="4" s="1"/>
  <c r="CD73" i="4"/>
  <c r="CC73" i="4"/>
  <c r="BZ73" i="4"/>
  <c r="BY73" i="4"/>
  <c r="BX73" i="4"/>
  <c r="CA73" i="4" s="1"/>
  <c r="BV73" i="4"/>
  <c r="BU73" i="4"/>
  <c r="BT73" i="4"/>
  <c r="BS73" i="4"/>
  <c r="BP73" i="4"/>
  <c r="BO73" i="4"/>
  <c r="BN73" i="4"/>
  <c r="BQ73" i="4" s="1"/>
  <c r="BK73" i="4"/>
  <c r="BJ73" i="4"/>
  <c r="BI73" i="4"/>
  <c r="BF73" i="4"/>
  <c r="BE73" i="4"/>
  <c r="BG73" i="4" s="1"/>
  <c r="BD73" i="4"/>
  <c r="BB73" i="4"/>
  <c r="BA73" i="4"/>
  <c r="AZ73" i="4"/>
  <c r="AY73" i="4"/>
  <c r="AV73" i="4"/>
  <c r="AU73" i="4"/>
  <c r="AT73" i="4"/>
  <c r="AQ73" i="4"/>
  <c r="AP73" i="4"/>
  <c r="AO73" i="4"/>
  <c r="AR73" i="4" s="1"/>
  <c r="AL73" i="4"/>
  <c r="AK73" i="4"/>
  <c r="AJ73" i="4"/>
  <c r="AG73" i="4"/>
  <c r="AF73" i="4"/>
  <c r="AE73" i="4"/>
  <c r="AH73" i="4" s="1"/>
  <c r="AB73" i="4"/>
  <c r="AA73" i="4"/>
  <c r="Z73" i="4"/>
  <c r="AC73" i="4" s="1"/>
  <c r="X73" i="4"/>
  <c r="W73" i="4"/>
  <c r="V73" i="4"/>
  <c r="U73" i="4"/>
  <c r="R73" i="4"/>
  <c r="Q73" i="4"/>
  <c r="P73" i="4"/>
  <c r="N73" i="4"/>
  <c r="M73" i="4"/>
  <c r="L73" i="4"/>
  <c r="K73" i="4"/>
  <c r="H73" i="4"/>
  <c r="G73" i="4"/>
  <c r="F73" i="4"/>
  <c r="I73" i="4" s="1"/>
  <c r="CE72" i="4"/>
  <c r="CD72" i="4"/>
  <c r="CC72" i="4"/>
  <c r="CF72" i="4" s="1"/>
  <c r="CA72" i="4"/>
  <c r="BZ72" i="4"/>
  <c r="BY72" i="4"/>
  <c r="BX72" i="4"/>
  <c r="BU72" i="4"/>
  <c r="BV72" i="4" s="1"/>
  <c r="BT72" i="4"/>
  <c r="BS72" i="4"/>
  <c r="BP72" i="4"/>
  <c r="BO72" i="4"/>
  <c r="BN72" i="4"/>
  <c r="BK72" i="4"/>
  <c r="BL72" i="4" s="1"/>
  <c r="BJ72" i="4"/>
  <c r="BI72" i="4"/>
  <c r="BF72" i="4"/>
  <c r="BE72" i="4"/>
  <c r="BD72" i="4"/>
  <c r="BG72" i="4" s="1"/>
  <c r="BA72" i="4"/>
  <c r="AZ72" i="4"/>
  <c r="AY72" i="4"/>
  <c r="AV72" i="4"/>
  <c r="AU72" i="4"/>
  <c r="AT72" i="4"/>
  <c r="AW72" i="4" s="1"/>
  <c r="AQ72" i="4"/>
  <c r="AP72" i="4"/>
  <c r="AO72" i="4"/>
  <c r="AR72" i="4" s="1"/>
  <c r="AL72" i="4"/>
  <c r="AK72" i="4"/>
  <c r="AJ72" i="4"/>
  <c r="AM72" i="4" s="1"/>
  <c r="AG72" i="4"/>
  <c r="AF72" i="4"/>
  <c r="AE72" i="4"/>
  <c r="AB72" i="4"/>
  <c r="AC72" i="4" s="1"/>
  <c r="AA72" i="4"/>
  <c r="Z72" i="4"/>
  <c r="W72" i="4"/>
  <c r="V72" i="4"/>
  <c r="U72" i="4"/>
  <c r="R72" i="4"/>
  <c r="Q72" i="4"/>
  <c r="P72" i="4"/>
  <c r="N72" i="4"/>
  <c r="M72" i="4"/>
  <c r="L72" i="4"/>
  <c r="K72" i="4"/>
  <c r="H72" i="4"/>
  <c r="G72" i="4"/>
  <c r="F72" i="4"/>
  <c r="CE71" i="4"/>
  <c r="CD71" i="4"/>
  <c r="CC71" i="4"/>
  <c r="CF71" i="4" s="1"/>
  <c r="CA71" i="4"/>
  <c r="BZ71" i="4"/>
  <c r="BY71" i="4"/>
  <c r="BX71" i="4"/>
  <c r="BU71" i="4"/>
  <c r="BT71" i="4"/>
  <c r="BS71" i="4"/>
  <c r="BP71" i="4"/>
  <c r="BO71" i="4"/>
  <c r="BQ71" i="4" s="1"/>
  <c r="BN71" i="4"/>
  <c r="BK71" i="4"/>
  <c r="BJ71" i="4"/>
  <c r="BI71" i="4"/>
  <c r="BF71" i="4"/>
  <c r="BE71" i="4"/>
  <c r="BD71" i="4"/>
  <c r="BA71" i="4"/>
  <c r="AZ71" i="4"/>
  <c r="AY71" i="4"/>
  <c r="BB71" i="4" s="1"/>
  <c r="AV71" i="4"/>
  <c r="AU71" i="4"/>
  <c r="AT71" i="4"/>
  <c r="AQ71" i="4"/>
  <c r="AP71" i="4"/>
  <c r="AO71" i="4"/>
  <c r="AM71" i="4"/>
  <c r="BG90" i="4" s="1"/>
  <c r="AL71" i="4"/>
  <c r="AK71" i="4"/>
  <c r="AJ71" i="4"/>
  <c r="AG71" i="4"/>
  <c r="AF71" i="4"/>
  <c r="AE71" i="4"/>
  <c r="AH71" i="4" s="1"/>
  <c r="AX90" i="4" s="1"/>
  <c r="AB71" i="4"/>
  <c r="AA71" i="4"/>
  <c r="Z71" i="4"/>
  <c r="AC71" i="4" s="1"/>
  <c r="AO90" i="4" s="1"/>
  <c r="X71" i="4"/>
  <c r="AF90" i="4" s="1"/>
  <c r="W71" i="4"/>
  <c r="V71" i="4"/>
  <c r="U71" i="4"/>
  <c r="R71" i="4"/>
  <c r="Q71" i="4"/>
  <c r="P71" i="4"/>
  <c r="S71" i="4" s="1"/>
  <c r="W90" i="4" s="1"/>
  <c r="M71" i="4"/>
  <c r="L71" i="4"/>
  <c r="K71" i="4"/>
  <c r="N71" i="4" s="1"/>
  <c r="N90" i="4" s="1"/>
  <c r="H71" i="4"/>
  <c r="G71" i="4"/>
  <c r="F71" i="4"/>
  <c r="I71" i="4" s="1"/>
  <c r="E90" i="4" s="1"/>
  <c r="CF70" i="4"/>
  <c r="CE70" i="4"/>
  <c r="CD70" i="4"/>
  <c r="CC70" i="4"/>
  <c r="BZ70" i="4"/>
  <c r="BY70" i="4"/>
  <c r="BX70" i="4"/>
  <c r="BU70" i="4"/>
  <c r="BT70" i="4"/>
  <c r="BS70" i="4"/>
  <c r="BQ70" i="4"/>
  <c r="BP70" i="4"/>
  <c r="BO70" i="4"/>
  <c r="BN70" i="4"/>
  <c r="BK70" i="4"/>
  <c r="BJ70" i="4"/>
  <c r="BI70" i="4"/>
  <c r="BF70" i="4"/>
  <c r="BE70" i="4"/>
  <c r="BD70" i="4"/>
  <c r="BG70" i="4" s="1"/>
  <c r="BB70" i="4"/>
  <c r="BA70" i="4"/>
  <c r="AZ70" i="4"/>
  <c r="AY70" i="4"/>
  <c r="AV70" i="4"/>
  <c r="AU70" i="4"/>
  <c r="AT70" i="4"/>
  <c r="AW70" i="4" s="1"/>
  <c r="AQ70" i="4"/>
  <c r="AP70" i="4"/>
  <c r="AO70" i="4"/>
  <c r="AR70" i="4" s="1"/>
  <c r="BP89" i="4" s="1"/>
  <c r="AL70" i="4"/>
  <c r="AM70" i="4" s="1"/>
  <c r="BG89" i="4" s="1"/>
  <c r="AK70" i="4"/>
  <c r="AJ70" i="4"/>
  <c r="AG70" i="4"/>
  <c r="AF70" i="4"/>
  <c r="AE70" i="4"/>
  <c r="AC70" i="4"/>
  <c r="AO89" i="4" s="1"/>
  <c r="AB70" i="4"/>
  <c r="AA70" i="4"/>
  <c r="Z70" i="4"/>
  <c r="W70" i="4"/>
  <c r="V70" i="4"/>
  <c r="U70" i="4"/>
  <c r="X70" i="4" s="1"/>
  <c r="AF89" i="4" s="1"/>
  <c r="R70" i="4"/>
  <c r="Q70" i="4"/>
  <c r="P70" i="4"/>
  <c r="S70" i="4" s="1"/>
  <c r="W89" i="4" s="1"/>
  <c r="M70" i="4"/>
  <c r="L70" i="4"/>
  <c r="K70" i="4"/>
  <c r="H70" i="4"/>
  <c r="G70" i="4"/>
  <c r="F70" i="4"/>
  <c r="I70" i="4" s="1"/>
  <c r="E89" i="4" s="1"/>
  <c r="CE69" i="4"/>
  <c r="CD69" i="4"/>
  <c r="CC69" i="4"/>
  <c r="BZ69" i="4"/>
  <c r="BY69" i="4"/>
  <c r="BX69" i="4"/>
  <c r="CA69" i="4" s="1"/>
  <c r="BV69" i="4"/>
  <c r="BU69" i="4"/>
  <c r="BT69" i="4"/>
  <c r="BS69" i="4"/>
  <c r="BP69" i="4"/>
  <c r="BO69" i="4"/>
  <c r="BN69" i="4"/>
  <c r="BQ69" i="4" s="1"/>
  <c r="BK69" i="4"/>
  <c r="BJ69" i="4"/>
  <c r="BI69" i="4"/>
  <c r="BL69" i="4" s="1"/>
  <c r="BF69" i="4"/>
  <c r="BE69" i="4"/>
  <c r="BD69" i="4"/>
  <c r="BG69" i="4" s="1"/>
  <c r="BA69" i="4"/>
  <c r="AZ69" i="4"/>
  <c r="AY69" i="4"/>
  <c r="BB69" i="4" s="1"/>
  <c r="AW69" i="4"/>
  <c r="AV69" i="4"/>
  <c r="AU69" i="4"/>
  <c r="AT69" i="4"/>
  <c r="AQ69" i="4"/>
  <c r="AP69" i="4"/>
  <c r="AO69" i="4"/>
  <c r="AR69" i="4" s="1"/>
  <c r="BP88" i="4" s="1"/>
  <c r="AL69" i="4"/>
  <c r="AK69" i="4"/>
  <c r="AJ69" i="4"/>
  <c r="AG69" i="4"/>
  <c r="AH69" i="4" s="1"/>
  <c r="AX88" i="4" s="1"/>
  <c r="AF69" i="4"/>
  <c r="AE69" i="4"/>
  <c r="AB69" i="4"/>
  <c r="AA69" i="4"/>
  <c r="Z69" i="4"/>
  <c r="W69" i="4"/>
  <c r="V69" i="4"/>
  <c r="U69" i="4"/>
  <c r="S69" i="4"/>
  <c r="W88" i="4" s="1"/>
  <c r="R69" i="4"/>
  <c r="Q69" i="4"/>
  <c r="P69" i="4"/>
  <c r="N69" i="4"/>
  <c r="M69" i="4"/>
  <c r="L69" i="4"/>
  <c r="K69" i="4"/>
  <c r="H69" i="4"/>
  <c r="G69" i="4"/>
  <c r="F69" i="4"/>
  <c r="I69" i="4" s="1"/>
  <c r="E88" i="4" s="1"/>
  <c r="CE68" i="4"/>
  <c r="CF68" i="4" s="1"/>
  <c r="CD68" i="4"/>
  <c r="CC68" i="4"/>
  <c r="BZ68" i="4"/>
  <c r="BY68" i="4"/>
  <c r="BX68" i="4"/>
  <c r="BU68" i="4"/>
  <c r="BT68" i="4"/>
  <c r="BS68" i="4"/>
  <c r="BP68" i="4"/>
  <c r="BO68" i="4"/>
  <c r="BN68" i="4"/>
  <c r="BQ68" i="4" s="1"/>
  <c r="BL68" i="4"/>
  <c r="BK68" i="4"/>
  <c r="BJ68" i="4"/>
  <c r="BI68" i="4"/>
  <c r="BF68" i="4"/>
  <c r="BE68" i="4"/>
  <c r="BD68" i="4"/>
  <c r="BA68" i="4"/>
  <c r="AZ68" i="4"/>
  <c r="AY68" i="4"/>
  <c r="BB68" i="4" s="1"/>
  <c r="AV68" i="4"/>
  <c r="AW68" i="4" s="1"/>
  <c r="AU68" i="4"/>
  <c r="AT68" i="4"/>
  <c r="AQ68" i="4"/>
  <c r="AP68" i="4"/>
  <c r="AO68" i="4"/>
  <c r="AR68" i="4" s="1"/>
  <c r="AL68" i="4"/>
  <c r="AK68" i="4"/>
  <c r="AJ68" i="4"/>
  <c r="AG68" i="4"/>
  <c r="AH68" i="4" s="1"/>
  <c r="AX87" i="4" s="1"/>
  <c r="AF68" i="4"/>
  <c r="AE68" i="4"/>
  <c r="AB68" i="4"/>
  <c r="AA68" i="4"/>
  <c r="Z68" i="4"/>
  <c r="W68" i="4"/>
  <c r="V68" i="4"/>
  <c r="U68" i="4"/>
  <c r="X68" i="4" s="1"/>
  <c r="AF87" i="4" s="1"/>
  <c r="R68" i="4"/>
  <c r="Q68" i="4"/>
  <c r="P68" i="4"/>
  <c r="S68" i="4" s="1"/>
  <c r="W87" i="4" s="1"/>
  <c r="M68" i="4"/>
  <c r="L68" i="4"/>
  <c r="K68" i="4"/>
  <c r="H68" i="4"/>
  <c r="G68" i="4"/>
  <c r="F68" i="4"/>
  <c r="I68" i="4" s="1"/>
  <c r="E87" i="4" s="1"/>
  <c r="CE67" i="4"/>
  <c r="CD67" i="4"/>
  <c r="CC67" i="4"/>
  <c r="CF67" i="4" s="1"/>
  <c r="BZ67" i="4"/>
  <c r="BY67" i="4"/>
  <c r="BX67" i="4"/>
  <c r="CA67" i="4" s="1"/>
  <c r="BU67" i="4"/>
  <c r="BT67" i="4"/>
  <c r="BS67" i="4"/>
  <c r="BP67" i="4"/>
  <c r="BO67" i="4"/>
  <c r="BN67" i="4"/>
  <c r="BQ67" i="4" s="1"/>
  <c r="BK67" i="4"/>
  <c r="BJ67" i="4"/>
  <c r="BI67" i="4"/>
  <c r="BF67" i="4"/>
  <c r="BE67" i="4"/>
  <c r="BG67" i="4" s="1"/>
  <c r="BD67" i="4"/>
  <c r="BA67" i="4"/>
  <c r="AZ67" i="4"/>
  <c r="AY67" i="4"/>
  <c r="BB67" i="4" s="1"/>
  <c r="AV67" i="4"/>
  <c r="AU67" i="4"/>
  <c r="AT67" i="4"/>
  <c r="AW67" i="4" s="1"/>
  <c r="AQ67" i="4"/>
  <c r="AP67" i="4"/>
  <c r="AO67" i="4"/>
  <c r="AR67" i="4" s="1"/>
  <c r="BP86" i="4" s="1"/>
  <c r="AM67" i="4"/>
  <c r="BG86" i="4" s="1"/>
  <c r="AL67" i="4"/>
  <c r="AK67" i="4"/>
  <c r="AJ67" i="4"/>
  <c r="AG67" i="4"/>
  <c r="AF67" i="4"/>
  <c r="AE67" i="4"/>
  <c r="AB67" i="4"/>
  <c r="AA67" i="4"/>
  <c r="AC67" i="4" s="1"/>
  <c r="AO86" i="4" s="1"/>
  <c r="Z67" i="4"/>
  <c r="X67" i="4"/>
  <c r="AF86" i="4" s="1"/>
  <c r="W67" i="4"/>
  <c r="V67" i="4"/>
  <c r="U67" i="4"/>
  <c r="R67" i="4"/>
  <c r="Q67" i="4"/>
  <c r="P67" i="4"/>
  <c r="S67" i="4" s="1"/>
  <c r="M67" i="4"/>
  <c r="L67" i="4"/>
  <c r="K67" i="4"/>
  <c r="H67" i="4"/>
  <c r="G67" i="4"/>
  <c r="F67" i="4"/>
  <c r="CE66" i="4"/>
  <c r="CD66" i="4"/>
  <c r="CC66" i="4"/>
  <c r="BZ66" i="4"/>
  <c r="BY66" i="4"/>
  <c r="CA66" i="4" s="1"/>
  <c r="BX66" i="4"/>
  <c r="BU66" i="4"/>
  <c r="BT66" i="4"/>
  <c r="BS66" i="4"/>
  <c r="BV66" i="4" s="1"/>
  <c r="BP66" i="4"/>
  <c r="BO66" i="4"/>
  <c r="BN66" i="4"/>
  <c r="BK66" i="4"/>
  <c r="BJ66" i="4"/>
  <c r="BI66" i="4"/>
  <c r="BL66" i="4" s="1"/>
  <c r="BF66" i="4"/>
  <c r="BE66" i="4"/>
  <c r="BD66" i="4"/>
  <c r="BG66" i="4" s="1"/>
  <c r="BA66" i="4"/>
  <c r="AZ66" i="4"/>
  <c r="AY66" i="4"/>
  <c r="BB66" i="4" s="1"/>
  <c r="AV66" i="4"/>
  <c r="AU66" i="4"/>
  <c r="AT66" i="4"/>
  <c r="AW66" i="4" s="1"/>
  <c r="AR66" i="4"/>
  <c r="AQ66" i="4"/>
  <c r="AP66" i="4"/>
  <c r="AO66" i="4"/>
  <c r="AL66" i="4"/>
  <c r="AK66" i="4"/>
  <c r="AJ66" i="4"/>
  <c r="AH66" i="4"/>
  <c r="AX85" i="4" s="1"/>
  <c r="AG66" i="4"/>
  <c r="AF66" i="4"/>
  <c r="AE66" i="4"/>
  <c r="AB66" i="4"/>
  <c r="AA66" i="4"/>
  <c r="Z66" i="4"/>
  <c r="W66" i="4"/>
  <c r="V66" i="4"/>
  <c r="U66" i="4"/>
  <c r="S66" i="4"/>
  <c r="W85" i="4" s="1"/>
  <c r="R66" i="4"/>
  <c r="Q66" i="4"/>
  <c r="P66" i="4"/>
  <c r="M66" i="4"/>
  <c r="N66" i="4" s="1"/>
  <c r="N85" i="4" s="1"/>
  <c r="L66" i="4"/>
  <c r="K66" i="4"/>
  <c r="H66" i="4"/>
  <c r="G66" i="4"/>
  <c r="F66" i="4"/>
  <c r="DA65" i="4" a="1"/>
  <c r="DA65" i="4" s="1"/>
  <c r="DA64" i="4" a="1"/>
  <c r="DA64" i="4" s="1"/>
  <c r="DA63" i="4" a="1"/>
  <c r="DA63" i="4"/>
  <c r="DA62" i="4" a="1"/>
  <c r="DA62" i="4" s="1"/>
  <c r="CY62" i="4"/>
  <c r="DA61" i="4" a="1"/>
  <c r="DA61" i="4"/>
  <c r="CY61" i="4"/>
  <c r="DA60" i="4" a="1"/>
  <c r="DA60" i="4"/>
  <c r="CY60" i="4"/>
  <c r="DA59" i="4" a="1"/>
  <c r="DA59" i="4" s="1"/>
  <c r="CY59" i="4"/>
  <c r="U59" i="4"/>
  <c r="DA58" i="4" a="1"/>
  <c r="DA58" i="4" s="1"/>
  <c r="CY58" i="4"/>
  <c r="U58" i="4"/>
  <c r="EJ57" i="4" a="1"/>
  <c r="EJ57" i="4"/>
  <c r="EI57" i="4" a="1"/>
  <c r="EI57" i="4"/>
  <c r="EH57" i="4" a="1"/>
  <c r="EH57" i="4"/>
  <c r="EG57" i="4" a="1"/>
  <c r="EG57" i="4" s="1"/>
  <c r="EF57" i="4" a="1"/>
  <c r="EF57" i="4"/>
  <c r="EE57" i="4" a="1"/>
  <c r="EE57" i="4" s="1"/>
  <c r="ED57" i="4" a="1"/>
  <c r="ED57" i="4" s="1"/>
  <c r="EC57" i="4" a="1"/>
  <c r="EC57" i="4"/>
  <c r="EB57" i="4" a="1"/>
  <c r="EB57" i="4"/>
  <c r="EA57" i="4" a="1"/>
  <c r="EA57" i="4"/>
  <c r="DZ57" i="4" a="1"/>
  <c r="DZ57" i="4"/>
  <c r="DY57" i="4" a="1"/>
  <c r="DY57" i="4" s="1"/>
  <c r="DX57" i="4" a="1"/>
  <c r="DX57" i="4"/>
  <c r="DW57" i="4" a="1"/>
  <c r="DW57" i="4" s="1"/>
  <c r="DV57" i="4" a="1"/>
  <c r="DV57" i="4" s="1"/>
  <c r="DU57" i="4" a="1"/>
  <c r="DU57" i="4"/>
  <c r="DT57" i="4"/>
  <c r="DR57" i="4" a="1"/>
  <c r="DR57" i="4"/>
  <c r="DQ57" i="4" a="1"/>
  <c r="DQ57" i="4"/>
  <c r="DP57" i="4" a="1"/>
  <c r="DP57" i="4" s="1"/>
  <c r="DO57" i="4" a="1"/>
  <c r="DO57" i="4"/>
  <c r="DN57" i="4" a="1"/>
  <c r="DN57" i="4"/>
  <c r="DM57" i="4" a="1"/>
  <c r="DM57" i="4" s="1"/>
  <c r="DL57" i="4" a="1"/>
  <c r="DL57" i="4"/>
  <c r="DK57" i="4" a="1"/>
  <c r="DK57" i="4"/>
  <c r="DJ57" i="4" a="1"/>
  <c r="DJ57" i="4"/>
  <c r="DI57" i="4" a="1"/>
  <c r="DI57" i="4"/>
  <c r="DH57" i="4" a="1"/>
  <c r="DH57" i="4"/>
  <c r="DG57" i="4" a="1"/>
  <c r="DG57" i="4" s="1"/>
  <c r="DF57" i="4" a="1"/>
  <c r="DF57" i="4"/>
  <c r="DE57" i="4" a="1"/>
  <c r="DE57" i="4"/>
  <c r="DD57" i="4" a="1"/>
  <c r="DD57" i="4"/>
  <c r="DC57" i="4" a="1"/>
  <c r="DC57" i="4"/>
  <c r="DB57" i="4"/>
  <c r="DA57" i="4" a="1"/>
  <c r="DA57" i="4"/>
  <c r="CY57" i="4"/>
  <c r="CR57" i="4"/>
  <c r="CQ57" i="4"/>
  <c r="CP57" i="4"/>
  <c r="CO57" i="4"/>
  <c r="CN57" i="4"/>
  <c r="CM57" i="4"/>
  <c r="CK57" i="4"/>
  <c r="CJ57" i="4"/>
  <c r="CH57" i="4"/>
  <c r="CG57" i="4"/>
  <c r="D57" i="4" a="1"/>
  <c r="D57" i="4"/>
  <c r="CV57" i="4" s="1"/>
  <c r="EJ56" i="4" a="1"/>
  <c r="EJ56" i="4"/>
  <c r="EI56" i="4" a="1"/>
  <c r="EI56" i="4" s="1"/>
  <c r="EH56" i="4" a="1"/>
  <c r="EH56" i="4"/>
  <c r="EG56" i="4" a="1"/>
  <c r="EG56" i="4" s="1"/>
  <c r="EF56" i="4" a="1"/>
  <c r="EF56" i="4" s="1"/>
  <c r="EE56" i="4" a="1"/>
  <c r="EE56" i="4"/>
  <c r="ED56" i="4" a="1"/>
  <c r="ED56" i="4" s="1"/>
  <c r="EC56" i="4" a="1"/>
  <c r="EC56" i="4" s="1"/>
  <c r="EB56" i="4" a="1"/>
  <c r="EB56" i="4" s="1"/>
  <c r="EA56" i="4" a="1"/>
  <c r="EA56" i="4"/>
  <c r="DZ56" i="4" a="1"/>
  <c r="DZ56" i="4"/>
  <c r="DY56" i="4" a="1"/>
  <c r="DY56" i="4"/>
  <c r="DX56" i="4" a="1"/>
  <c r="DX56" i="4"/>
  <c r="DW56" i="4" a="1"/>
  <c r="DW56" i="4" s="1"/>
  <c r="DV56" i="4" a="1"/>
  <c r="DV56" i="4"/>
  <c r="DU56" i="4" a="1"/>
  <c r="DU56" i="4"/>
  <c r="DT56" i="4"/>
  <c r="DR56" i="4" a="1"/>
  <c r="DR56" i="4"/>
  <c r="DQ56" i="4" a="1"/>
  <c r="DQ56" i="4"/>
  <c r="DP56" i="4" a="1"/>
  <c r="DP56" i="4"/>
  <c r="DO56" i="4" a="1"/>
  <c r="DO56" i="4"/>
  <c r="DN56" i="4" a="1"/>
  <c r="DN56" i="4" s="1"/>
  <c r="DM56" i="4" a="1"/>
  <c r="DM56" i="4"/>
  <c r="DL56" i="4" a="1"/>
  <c r="DL56" i="4"/>
  <c r="DK56" i="4" a="1"/>
  <c r="DK56" i="4" s="1"/>
  <c r="DJ56" i="4" a="1"/>
  <c r="DJ56" i="4" s="1"/>
  <c r="DI56" i="4" a="1"/>
  <c r="DI56" i="4"/>
  <c r="DH56" i="4" a="1"/>
  <c r="DH56" i="4" s="1"/>
  <c r="DG56" i="4" a="1"/>
  <c r="DG56" i="4" s="1"/>
  <c r="DF56" i="4" a="1"/>
  <c r="DF56" i="4"/>
  <c r="DE56" i="4" a="1"/>
  <c r="DE56" i="4"/>
  <c r="DD56" i="4" a="1"/>
  <c r="DD56" i="4" s="1"/>
  <c r="DC56" i="4" a="1"/>
  <c r="DC56" i="4"/>
  <c r="DB56" i="4"/>
  <c r="DA56" i="4" a="1"/>
  <c r="DA56" i="4"/>
  <c r="CY56" i="4"/>
  <c r="CV56" i="4"/>
  <c r="CQ56" i="4"/>
  <c r="CP56" i="4"/>
  <c r="CN56" i="4"/>
  <c r="CM56" i="4"/>
  <c r="CK56" i="4"/>
  <c r="CJ56" i="4"/>
  <c r="CH56" i="4"/>
  <c r="CG56" i="4"/>
  <c r="D56" i="4" a="1"/>
  <c r="D56" i="4" s="1"/>
  <c r="EJ55" i="4" a="1"/>
  <c r="EJ55" i="4"/>
  <c r="EI55" i="4" a="1"/>
  <c r="EI55" i="4" s="1"/>
  <c r="EH55" i="4" a="1"/>
  <c r="EH55" i="4" s="1"/>
  <c r="EG55" i="4" a="1"/>
  <c r="EG55" i="4" s="1"/>
  <c r="EF55" i="4" a="1"/>
  <c r="EF55" i="4"/>
  <c r="EE55" i="4" a="1"/>
  <c r="EE55" i="4"/>
  <c r="ED55" i="4" a="1"/>
  <c r="ED55" i="4" s="1"/>
  <c r="EC55" i="4" a="1"/>
  <c r="EC55" i="4" s="1"/>
  <c r="EB55" i="4" a="1"/>
  <c r="EB55" i="4" s="1"/>
  <c r="EA55" i="4" a="1"/>
  <c r="EA55" i="4" s="1"/>
  <c r="DZ55" i="4" a="1"/>
  <c r="DZ55" i="4"/>
  <c r="DY55" i="4" a="1"/>
  <c r="DY55" i="4"/>
  <c r="DX55" i="4" a="1"/>
  <c r="DX55" i="4"/>
  <c r="DW55" i="4" a="1"/>
  <c r="DW55" i="4"/>
  <c r="DV55" i="4" a="1"/>
  <c r="DV55" i="4" s="1"/>
  <c r="DU55" i="4" a="1"/>
  <c r="DU55" i="4" s="1"/>
  <c r="DT55" i="4"/>
  <c r="DR55" i="4" a="1"/>
  <c r="DR55" i="4"/>
  <c r="DQ55" i="4" a="1"/>
  <c r="DQ55" i="4" s="1"/>
  <c r="DP55" i="4" a="1"/>
  <c r="DP55" i="4" s="1"/>
  <c r="DO55" i="4" a="1"/>
  <c r="DO55" i="4"/>
  <c r="DN55" i="4" a="1"/>
  <c r="DN55" i="4" s="1"/>
  <c r="DM55" i="4" a="1"/>
  <c r="DM55" i="4"/>
  <c r="DL55" i="4" a="1"/>
  <c r="DL55" i="4" s="1"/>
  <c r="DK55" i="4" a="1"/>
  <c r="DK55" i="4"/>
  <c r="DJ55" i="4" a="1"/>
  <c r="DJ55" i="4" s="1"/>
  <c r="DI55" i="4" a="1"/>
  <c r="DI55" i="4"/>
  <c r="DH55" i="4" a="1"/>
  <c r="DH55" i="4" s="1"/>
  <c r="DG55" i="4" a="1"/>
  <c r="DG55" i="4"/>
  <c r="DF55" i="4" a="1"/>
  <c r="DF55" i="4"/>
  <c r="DE55" i="4" a="1"/>
  <c r="DE55" i="4"/>
  <c r="DD55" i="4" a="1"/>
  <c r="DD55" i="4"/>
  <c r="DC55" i="4" a="1"/>
  <c r="DC55" i="4"/>
  <c r="DB55" i="4"/>
  <c r="DA55" i="4" a="1"/>
  <c r="DA55" i="4" s="1"/>
  <c r="CY55" i="4"/>
  <c r="CR55" i="4"/>
  <c r="CQ55" i="4"/>
  <c r="CP55" i="4"/>
  <c r="CO55" i="4"/>
  <c r="CN55" i="4"/>
  <c r="CM55" i="4"/>
  <c r="CK55" i="4"/>
  <c r="CJ55" i="4"/>
  <c r="CH55" i="4"/>
  <c r="CG55" i="4"/>
  <c r="CL55" i="4" s="1"/>
  <c r="D55" i="4" a="1"/>
  <c r="D55" i="4" s="1"/>
  <c r="CV55" i="4" s="1"/>
  <c r="EJ54" i="4" a="1"/>
  <c r="EJ54" i="4"/>
  <c r="EI54" i="4" a="1"/>
  <c r="EI54" i="4"/>
  <c r="EH54" i="4" a="1"/>
  <c r="EH54" i="4"/>
  <c r="EG54" i="4" a="1"/>
  <c r="EG54" i="4" s="1"/>
  <c r="EF54" i="4" a="1"/>
  <c r="EF54" i="4"/>
  <c r="EE54" i="4" a="1"/>
  <c r="EE54" i="4" s="1"/>
  <c r="ED54" i="4" a="1"/>
  <c r="ED54" i="4" s="1"/>
  <c r="EC54" i="4" a="1"/>
  <c r="EC54" i="4" s="1"/>
  <c r="EB54" i="4" a="1"/>
  <c r="EB54" i="4"/>
  <c r="EA54" i="4" a="1"/>
  <c r="EA54" i="4"/>
  <c r="DZ54" i="4" a="1"/>
  <c r="DZ54" i="4" s="1"/>
  <c r="DY54" i="4" a="1"/>
  <c r="DY54" i="4" s="1"/>
  <c r="DX54" i="4" a="1"/>
  <c r="DX54" i="4"/>
  <c r="DW54" i="4" a="1"/>
  <c r="DW54" i="4"/>
  <c r="DV54" i="4" a="1"/>
  <c r="DV54" i="4"/>
  <c r="DU54" i="4" a="1"/>
  <c r="DU54" i="4"/>
  <c r="DT54" i="4"/>
  <c r="DR54" i="4" a="1"/>
  <c r="DR54" i="4" s="1"/>
  <c r="DQ54" i="4" a="1"/>
  <c r="DQ54" i="4"/>
  <c r="DP54" i="4" a="1"/>
  <c r="DP54" i="4" s="1"/>
  <c r="DO54" i="4" a="1"/>
  <c r="DO54" i="4" s="1"/>
  <c r="DN54" i="4" a="1"/>
  <c r="DN54" i="4"/>
  <c r="DM54" i="4" a="1"/>
  <c r="DM54" i="4" s="1"/>
  <c r="DL54" i="4" a="1"/>
  <c r="DL54" i="4"/>
  <c r="DK54" i="4" a="1"/>
  <c r="DK54" i="4"/>
  <c r="DJ54" i="4" a="1"/>
  <c r="DJ54" i="4" s="1"/>
  <c r="DI54" i="4" a="1"/>
  <c r="DI54" i="4" s="1"/>
  <c r="DH54" i="4" a="1"/>
  <c r="DH54" i="4"/>
  <c r="DG54" i="4" a="1"/>
  <c r="DG54" i="4"/>
  <c r="DF54" i="4" a="1"/>
  <c r="DF54" i="4" s="1"/>
  <c r="DE54" i="4" a="1"/>
  <c r="DE54" i="4"/>
  <c r="DD54" i="4" a="1"/>
  <c r="DD54" i="4" s="1"/>
  <c r="DC54" i="4" a="1"/>
  <c r="DC54" i="4" s="1"/>
  <c r="DB54" i="4"/>
  <c r="DA54" i="4" a="1"/>
  <c r="DA54" i="4"/>
  <c r="CY54" i="4"/>
  <c r="CQ54" i="4"/>
  <c r="CP54" i="4"/>
  <c r="CN54" i="4"/>
  <c r="CM54" i="4"/>
  <c r="CK54" i="4"/>
  <c r="CJ54" i="4"/>
  <c r="CH54" i="4"/>
  <c r="CG54" i="4"/>
  <c r="D54" i="4" a="1"/>
  <c r="D54" i="4" s="1"/>
  <c r="CV54" i="4" s="1"/>
  <c r="EJ53" i="4" a="1"/>
  <c r="EJ53" i="4"/>
  <c r="EI53" i="4" a="1"/>
  <c r="EI53" i="4" s="1"/>
  <c r="EH53" i="4" a="1"/>
  <c r="EH53" i="4"/>
  <c r="EG53" i="4" a="1"/>
  <c r="EG53" i="4"/>
  <c r="EF53" i="4" a="1"/>
  <c r="EF53" i="4" s="1"/>
  <c r="EE53" i="4" a="1"/>
  <c r="EE53" i="4" s="1"/>
  <c r="ED53" i="4" a="1"/>
  <c r="ED53" i="4"/>
  <c r="EC53" i="4" a="1"/>
  <c r="EC53" i="4" s="1"/>
  <c r="EB53" i="4" a="1"/>
  <c r="EB53" i="4"/>
  <c r="EA53" i="4" a="1"/>
  <c r="EA53" i="4"/>
  <c r="DZ53" i="4" a="1"/>
  <c r="DZ53" i="4" s="1"/>
  <c r="DY53" i="4" a="1"/>
  <c r="DY53" i="4"/>
  <c r="DX53" i="4" a="1"/>
  <c r="DX53" i="4"/>
  <c r="DW53" i="4" a="1"/>
  <c r="DW53" i="4" s="1"/>
  <c r="DV53" i="4" a="1"/>
  <c r="DV53" i="4"/>
  <c r="DU53" i="4" a="1"/>
  <c r="DU53" i="4"/>
  <c r="DT53" i="4"/>
  <c r="DR53" i="4" a="1"/>
  <c r="DR53" i="4" s="1"/>
  <c r="DQ53" i="4" a="1"/>
  <c r="DQ53" i="4"/>
  <c r="DP53" i="4" a="1"/>
  <c r="DP53" i="4"/>
  <c r="DO53" i="4" a="1"/>
  <c r="DO53" i="4"/>
  <c r="DN53" i="4" a="1"/>
  <c r="DN53" i="4"/>
  <c r="DM53" i="4" a="1"/>
  <c r="DM53" i="4"/>
  <c r="DL53" i="4" a="1"/>
  <c r="DL53" i="4" s="1"/>
  <c r="DK53" i="4" a="1"/>
  <c r="DK53" i="4"/>
  <c r="DJ53" i="4" a="1"/>
  <c r="DJ53" i="4"/>
  <c r="DI53" i="4" a="1"/>
  <c r="DI53" i="4"/>
  <c r="DH53" i="4" a="1"/>
  <c r="DH53" i="4"/>
  <c r="DG53" i="4" a="1"/>
  <c r="DG53" i="4" s="1"/>
  <c r="DF53" i="4" a="1"/>
  <c r="DF53" i="4" s="1"/>
  <c r="DE53" i="4" a="1"/>
  <c r="DE53" i="4"/>
  <c r="DD53" i="4" a="1"/>
  <c r="DD53" i="4"/>
  <c r="DC53" i="4" a="1"/>
  <c r="DC53" i="4"/>
  <c r="DB53" i="4"/>
  <c r="DA53" i="4" a="1"/>
  <c r="DA53" i="4"/>
  <c r="CY53" i="4"/>
  <c r="CQ53" i="4"/>
  <c r="CP53" i="4"/>
  <c r="CO53" i="4"/>
  <c r="CN53" i="4"/>
  <c r="CM53" i="4"/>
  <c r="CL53" i="4"/>
  <c r="CK53" i="4"/>
  <c r="CJ53" i="4"/>
  <c r="CI53" i="4"/>
  <c r="CH53" i="4"/>
  <c r="CG53" i="4"/>
  <c r="CR53" i="4" s="1"/>
  <c r="D53" i="4" a="1"/>
  <c r="D53" i="4"/>
  <c r="CV53" i="4" s="1"/>
  <c r="EJ52" i="4" a="1"/>
  <c r="EJ52" i="4"/>
  <c r="EI52" i="4" a="1"/>
  <c r="EI52" i="4"/>
  <c r="EH52" i="4" a="1"/>
  <c r="EH52" i="4" s="1"/>
  <c r="EG52" i="4" a="1"/>
  <c r="EG52" i="4" s="1"/>
  <c r="EF52" i="4" a="1"/>
  <c r="EF52" i="4"/>
  <c r="EE52" i="4" a="1"/>
  <c r="EE52" i="4"/>
  <c r="ED52" i="4" a="1"/>
  <c r="ED52" i="4" s="1"/>
  <c r="EC52" i="4" a="1"/>
  <c r="EC52" i="4"/>
  <c r="EB52" i="4" a="1"/>
  <c r="EB52" i="4"/>
  <c r="EA52" i="4" a="1"/>
  <c r="EA52" i="4" s="1"/>
  <c r="DZ52" i="4" a="1"/>
  <c r="DZ52" i="4" s="1"/>
  <c r="DY52" i="4" a="1"/>
  <c r="DY52" i="4"/>
  <c r="DX52" i="4" a="1"/>
  <c r="DX52" i="4"/>
  <c r="DW52" i="4" a="1"/>
  <c r="DW52" i="4" s="1"/>
  <c r="DV52" i="4" a="1"/>
  <c r="DV52" i="4"/>
  <c r="DU52" i="4" a="1"/>
  <c r="DU52" i="4" s="1"/>
  <c r="DT52" i="4"/>
  <c r="DR52" i="4" a="1"/>
  <c r="DR52" i="4" s="1"/>
  <c r="DQ52" i="4" a="1"/>
  <c r="DQ52" i="4"/>
  <c r="DP52" i="4" a="1"/>
  <c r="DP52" i="4"/>
  <c r="DO52" i="4" a="1"/>
  <c r="DO52" i="4"/>
  <c r="DN52" i="4" a="1"/>
  <c r="DN52" i="4"/>
  <c r="DM52" i="4" a="1"/>
  <c r="DM52" i="4"/>
  <c r="DL52" i="4" a="1"/>
  <c r="DL52" i="4" s="1"/>
  <c r="DK52" i="4" a="1"/>
  <c r="DK52" i="4"/>
  <c r="DJ52" i="4" a="1"/>
  <c r="DJ52" i="4" s="1"/>
  <c r="DI52" i="4" a="1"/>
  <c r="DI52" i="4"/>
  <c r="DH52" i="4" a="1"/>
  <c r="DH52" i="4"/>
  <c r="DG52" i="4" a="1"/>
  <c r="DG52" i="4"/>
  <c r="DF52" i="4" a="1"/>
  <c r="DF52" i="4" s="1"/>
  <c r="DE52" i="4" a="1"/>
  <c r="DE52" i="4"/>
  <c r="DD52" i="4" a="1"/>
  <c r="DD52" i="4"/>
  <c r="DC52" i="4" a="1"/>
  <c r="DC52" i="4"/>
  <c r="DB52" i="4"/>
  <c r="DA52" i="4" a="1"/>
  <c r="DA52" i="4" s="1"/>
  <c r="CY52" i="4"/>
  <c r="CR52" i="4"/>
  <c r="CQ52" i="4"/>
  <c r="CP52" i="4"/>
  <c r="CO52" i="4"/>
  <c r="CN52" i="4"/>
  <c r="CM52" i="4"/>
  <c r="CK52" i="4"/>
  <c r="CJ52" i="4"/>
  <c r="CH52" i="4"/>
  <c r="CG52" i="4"/>
  <c r="CL52" i="4" s="1"/>
  <c r="D52" i="4" a="1"/>
  <c r="D52" i="4" s="1"/>
  <c r="EJ51" i="4" a="1"/>
  <c r="EJ51" i="4"/>
  <c r="EI51" i="4" a="1"/>
  <c r="EI51" i="4"/>
  <c r="EH51" i="4" a="1"/>
  <c r="EH51" i="4"/>
  <c r="EG51" i="4" a="1"/>
  <c r="EG51" i="4"/>
  <c r="EF51" i="4" a="1"/>
  <c r="EF51" i="4" s="1"/>
  <c r="EE51" i="4" a="1"/>
  <c r="EE51" i="4" s="1"/>
  <c r="ED51" i="4" a="1"/>
  <c r="ED51" i="4" s="1"/>
  <c r="EC51" i="4" a="1"/>
  <c r="EC51" i="4"/>
  <c r="EB51" i="4" a="1"/>
  <c r="EB51" i="4" s="1"/>
  <c r="EA51" i="4" a="1"/>
  <c r="EA51" i="4" s="1"/>
  <c r="DZ51" i="4" a="1"/>
  <c r="DZ51" i="4"/>
  <c r="DY51" i="4" a="1"/>
  <c r="DY51" i="4" s="1"/>
  <c r="DX51" i="4" a="1"/>
  <c r="DX51" i="4" s="1"/>
  <c r="DW51" i="4" a="1"/>
  <c r="DW51" i="4" s="1"/>
  <c r="DV51" i="4" a="1"/>
  <c r="DV51" i="4" s="1"/>
  <c r="DU51" i="4" a="1"/>
  <c r="DU51" i="4"/>
  <c r="DT51" i="4"/>
  <c r="DR51" i="4" a="1"/>
  <c r="DR51" i="4"/>
  <c r="DQ51" i="4" a="1"/>
  <c r="DQ51" i="4"/>
  <c r="DP51" i="4" a="1"/>
  <c r="DP51" i="4"/>
  <c r="DO51" i="4" a="1"/>
  <c r="DO51" i="4"/>
  <c r="DN51" i="4" a="1"/>
  <c r="DN51" i="4" s="1"/>
  <c r="DM51" i="4" a="1"/>
  <c r="DM51" i="4" s="1"/>
  <c r="DL51" i="4" a="1"/>
  <c r="DL51" i="4"/>
  <c r="DK51" i="4" a="1"/>
  <c r="DK51" i="4"/>
  <c r="DJ51" i="4" a="1"/>
  <c r="DJ51" i="4"/>
  <c r="DI51" i="4" a="1"/>
  <c r="DI51" i="4"/>
  <c r="DH51" i="4" a="1"/>
  <c r="DH51" i="4" s="1"/>
  <c r="DG51" i="4" a="1"/>
  <c r="DG51" i="4" s="1"/>
  <c r="DF51" i="4" a="1"/>
  <c r="DF51" i="4"/>
  <c r="DE51" i="4" a="1"/>
  <c r="DE51" i="4"/>
  <c r="DD51" i="4" a="1"/>
  <c r="DD51" i="4" s="1"/>
  <c r="DC51" i="4" a="1"/>
  <c r="DC51" i="4"/>
  <c r="DB51" i="4"/>
  <c r="DA51" i="4" a="1"/>
  <c r="DA51" i="4"/>
  <c r="CY51" i="4"/>
  <c r="CQ51" i="4"/>
  <c r="CP51" i="4"/>
  <c r="CN51" i="4"/>
  <c r="CM51" i="4"/>
  <c r="CK51" i="4"/>
  <c r="CJ51" i="4"/>
  <c r="CH51" i="4"/>
  <c r="CG51" i="4"/>
  <c r="D51" i="4" a="1"/>
  <c r="D51" i="4" s="1"/>
  <c r="CV51" i="4" s="1"/>
  <c r="EJ50" i="4" a="1"/>
  <c r="EJ50" i="4"/>
  <c r="EI50" i="4" a="1"/>
  <c r="EI50" i="4" s="1"/>
  <c r="EH50" i="4" a="1"/>
  <c r="EH50" i="4"/>
  <c r="EG50" i="4" a="1"/>
  <c r="EG50" i="4" s="1"/>
  <c r="EF50" i="4" a="1"/>
  <c r="EF50" i="4" s="1"/>
  <c r="EE50" i="4" a="1"/>
  <c r="EE50" i="4"/>
  <c r="ED50" i="4" a="1"/>
  <c r="ED50" i="4" s="1"/>
  <c r="EC50" i="4" a="1"/>
  <c r="EC50" i="4" s="1"/>
  <c r="EB50" i="4" a="1"/>
  <c r="EB50" i="4"/>
  <c r="EA50" i="4" a="1"/>
  <c r="EA50" i="4"/>
  <c r="DZ50" i="4" a="1"/>
  <c r="DZ50" i="4" s="1"/>
  <c r="DY50" i="4" a="1"/>
  <c r="DY50" i="4"/>
  <c r="DX50" i="4" a="1"/>
  <c r="DX50" i="4"/>
  <c r="DW50" i="4" a="1"/>
  <c r="DW50" i="4" s="1"/>
  <c r="DV50" i="4" a="1"/>
  <c r="DV50" i="4" s="1"/>
  <c r="DU50" i="4" a="1"/>
  <c r="DU50" i="4"/>
  <c r="DT50" i="4"/>
  <c r="DR50" i="4" a="1"/>
  <c r="DR50" i="4"/>
  <c r="DQ50" i="4" a="1"/>
  <c r="DQ50" i="4"/>
  <c r="DP50" i="4" a="1"/>
  <c r="DP50" i="4" s="1"/>
  <c r="DO50" i="4" a="1"/>
  <c r="DO50" i="4"/>
  <c r="DN50" i="4" a="1"/>
  <c r="DN50" i="4"/>
  <c r="DM50" i="4" a="1"/>
  <c r="DM50" i="4" s="1"/>
  <c r="DL50" i="4" a="1"/>
  <c r="DL50" i="4"/>
  <c r="DK50" i="4" a="1"/>
  <c r="DK50" i="4"/>
  <c r="DJ50" i="4" a="1"/>
  <c r="DJ50" i="4"/>
  <c r="DI50" i="4" a="1"/>
  <c r="DI50" i="4"/>
  <c r="DH50" i="4" a="1"/>
  <c r="DH50" i="4"/>
  <c r="DG50" i="4" a="1"/>
  <c r="DG50" i="4" s="1"/>
  <c r="DF50" i="4" a="1"/>
  <c r="DF50" i="4"/>
  <c r="DE50" i="4" a="1"/>
  <c r="DE50" i="4"/>
  <c r="DD50" i="4" a="1"/>
  <c r="DD50" i="4" s="1"/>
  <c r="DC50" i="4" a="1"/>
  <c r="DC50" i="4"/>
  <c r="DB50" i="4"/>
  <c r="DA50" i="4" a="1"/>
  <c r="DA50" i="4"/>
  <c r="CY50" i="4"/>
  <c r="CV50" i="4"/>
  <c r="CR50" i="4"/>
  <c r="CQ50" i="4"/>
  <c r="CP50" i="4"/>
  <c r="CN50" i="4"/>
  <c r="CM50" i="4"/>
  <c r="CL50" i="4"/>
  <c r="CK50" i="4"/>
  <c r="CJ50" i="4"/>
  <c r="CI50" i="4"/>
  <c r="CH50" i="4"/>
  <c r="CG50" i="4"/>
  <c r="CO50" i="4" s="1"/>
  <c r="D50" i="4" a="1"/>
  <c r="D50" i="4"/>
  <c r="EJ49" i="4" a="1"/>
  <c r="EJ49" i="4"/>
  <c r="EI49" i="4" a="1"/>
  <c r="EI49" i="4"/>
  <c r="EH49" i="4" a="1"/>
  <c r="EH49" i="4" s="1"/>
  <c r="EG49" i="4" a="1"/>
  <c r="EG49" i="4" s="1"/>
  <c r="EF49" i="4" a="1"/>
  <c r="EF49" i="4" s="1"/>
  <c r="EE49" i="4" a="1"/>
  <c r="EE49" i="4"/>
  <c r="ED49" i="4" a="1"/>
  <c r="ED49" i="4"/>
  <c r="EC49" i="4" a="1"/>
  <c r="EC49" i="4"/>
  <c r="EB49" i="4" a="1"/>
  <c r="EB49" i="4" s="1"/>
  <c r="EA49" i="4" a="1"/>
  <c r="EA49" i="4" s="1"/>
  <c r="DZ49" i="4" a="1"/>
  <c r="DZ49" i="4" s="1"/>
  <c r="DY49" i="4" a="1"/>
  <c r="DY49" i="4"/>
  <c r="DX49" i="4" a="1"/>
  <c r="DX49" i="4"/>
  <c r="DW49" i="4" a="1"/>
  <c r="DW49" i="4"/>
  <c r="DV49" i="4" a="1"/>
  <c r="DV49" i="4"/>
  <c r="DU49" i="4" a="1"/>
  <c r="DU49" i="4" s="1"/>
  <c r="DT49" i="4"/>
  <c r="DR49" i="4" a="1"/>
  <c r="DR49" i="4"/>
  <c r="DQ49" i="4" a="1"/>
  <c r="DQ49" i="4" s="1"/>
  <c r="DP49" i="4" a="1"/>
  <c r="DP49" i="4"/>
  <c r="DO49" i="4" a="1"/>
  <c r="DO49" i="4"/>
  <c r="DN49" i="4" a="1"/>
  <c r="DN49" i="4"/>
  <c r="DM49" i="4" a="1"/>
  <c r="DM49" i="4"/>
  <c r="DL49" i="4" a="1"/>
  <c r="DL49" i="4"/>
  <c r="DK49" i="4" a="1"/>
  <c r="DK49" i="4" s="1"/>
  <c r="DJ49" i="4" a="1"/>
  <c r="DJ49" i="4"/>
  <c r="DI49" i="4" a="1"/>
  <c r="DI49" i="4"/>
  <c r="DH49" i="4" a="1"/>
  <c r="DH49" i="4"/>
  <c r="DG49" i="4" a="1"/>
  <c r="DG49" i="4"/>
  <c r="DF49" i="4" a="1"/>
  <c r="DF49" i="4"/>
  <c r="DE49" i="4" a="1"/>
  <c r="DE49" i="4" s="1"/>
  <c r="DD49" i="4" a="1"/>
  <c r="DD49" i="4"/>
  <c r="DC49" i="4" a="1"/>
  <c r="DC49" i="4"/>
  <c r="DB49" i="4"/>
  <c r="DA49" i="4" a="1"/>
  <c r="DA49" i="4" s="1"/>
  <c r="CY49" i="4"/>
  <c r="CR49" i="4"/>
  <c r="CQ49" i="4"/>
  <c r="CP49" i="4"/>
  <c r="CN49" i="4"/>
  <c r="CM49" i="4"/>
  <c r="CK49" i="4"/>
  <c r="CJ49" i="4"/>
  <c r="CH49" i="4"/>
  <c r="CG49" i="4"/>
  <c r="D49" i="4" a="1"/>
  <c r="D49" i="4"/>
  <c r="CV49" i="4" s="1"/>
  <c r="EJ48" i="4" a="1"/>
  <c r="EJ48" i="4" s="1"/>
  <c r="EI48" i="4" a="1"/>
  <c r="EI48" i="4"/>
  <c r="EH48" i="4" a="1"/>
  <c r="EH48" i="4"/>
  <c r="EG48" i="4" a="1"/>
  <c r="EG48" i="4"/>
  <c r="EF48" i="4" a="1"/>
  <c r="EF48" i="4" s="1"/>
  <c r="EE48" i="4" a="1"/>
  <c r="EE48" i="4" s="1"/>
  <c r="ED48" i="4" a="1"/>
  <c r="ED48" i="4" s="1"/>
  <c r="EC48" i="4" a="1"/>
  <c r="EC48" i="4"/>
  <c r="EB48" i="4" a="1"/>
  <c r="EB48" i="4" s="1"/>
  <c r="EA48" i="4" a="1"/>
  <c r="EA48" i="4" s="1"/>
  <c r="DZ48" i="4" a="1"/>
  <c r="DZ48" i="4"/>
  <c r="DY48" i="4" a="1"/>
  <c r="DY48" i="4" s="1"/>
  <c r="DX48" i="4" a="1"/>
  <c r="DX48" i="4" s="1"/>
  <c r="DW48" i="4" a="1"/>
  <c r="DW48" i="4"/>
  <c r="DV48" i="4" a="1"/>
  <c r="DV48" i="4" s="1"/>
  <c r="DU48" i="4" a="1"/>
  <c r="DU48" i="4" s="1"/>
  <c r="DT48" i="4"/>
  <c r="DR48" i="4" a="1"/>
  <c r="DR48" i="4" s="1"/>
  <c r="DQ48" i="4" a="1"/>
  <c r="DQ48" i="4"/>
  <c r="DP48" i="4" a="1"/>
  <c r="DP48" i="4"/>
  <c r="DO48" i="4" a="1"/>
  <c r="DO48" i="4" s="1"/>
  <c r="DN48" i="4" a="1"/>
  <c r="DN48" i="4"/>
  <c r="DM48" i="4" a="1"/>
  <c r="DM48" i="4"/>
  <c r="DL48" i="4" a="1"/>
  <c r="DL48" i="4" s="1"/>
  <c r="DK48" i="4" a="1"/>
  <c r="DK48" i="4"/>
  <c r="DJ48" i="4" a="1"/>
  <c r="DJ48" i="4"/>
  <c r="DI48" i="4" a="1"/>
  <c r="DI48" i="4"/>
  <c r="DH48" i="4" a="1"/>
  <c r="DH48" i="4" s="1"/>
  <c r="DG48" i="4" a="1"/>
  <c r="DG48" i="4"/>
  <c r="DF48" i="4" a="1"/>
  <c r="DF48" i="4" s="1"/>
  <c r="DE48" i="4" a="1"/>
  <c r="DE48" i="4"/>
  <c r="DD48" i="4" a="1"/>
  <c r="DD48" i="4"/>
  <c r="DC48" i="4" a="1"/>
  <c r="DC48" i="4"/>
  <c r="DB48" i="4"/>
  <c r="DA48" i="4" a="1"/>
  <c r="DA48" i="4" s="1"/>
  <c r="CY48" i="4"/>
  <c r="CQ48" i="4"/>
  <c r="CP48" i="4"/>
  <c r="CO48" i="4"/>
  <c r="CN48" i="4"/>
  <c r="CM48" i="4"/>
  <c r="CL48" i="4"/>
  <c r="CK48" i="4"/>
  <c r="CJ48" i="4"/>
  <c r="CI48" i="4"/>
  <c r="CH48" i="4"/>
  <c r="CG48" i="4"/>
  <c r="CR48" i="4" s="1"/>
  <c r="D48" i="4" a="1"/>
  <c r="D48" i="4"/>
  <c r="CV48" i="4" s="1"/>
  <c r="EJ47" i="4" a="1"/>
  <c r="EJ47" i="4"/>
  <c r="EI47" i="4" a="1"/>
  <c r="EI47" i="4" s="1"/>
  <c r="EH47" i="4" a="1"/>
  <c r="EH47" i="4" s="1"/>
  <c r="EG47" i="4" a="1"/>
  <c r="EG47" i="4"/>
  <c r="EF47" i="4" a="1"/>
  <c r="EF47" i="4"/>
  <c r="EE47" i="4" a="1"/>
  <c r="EE47" i="4"/>
  <c r="ED47" i="4" a="1"/>
  <c r="ED47" i="4" s="1"/>
  <c r="EC47" i="4" a="1"/>
  <c r="EC47" i="4" s="1"/>
  <c r="EB47" i="4" a="1"/>
  <c r="EB47" i="4" s="1"/>
  <c r="EA47" i="4" a="1"/>
  <c r="EA47" i="4"/>
  <c r="DZ47" i="4" a="1"/>
  <c r="DZ47" i="4" s="1"/>
  <c r="DY47" i="4" a="1"/>
  <c r="DY47" i="4"/>
  <c r="DX47" i="4" a="1"/>
  <c r="DX47" i="4"/>
  <c r="DW47" i="4" a="1"/>
  <c r="DW47" i="4" s="1"/>
  <c r="DV47" i="4" a="1"/>
  <c r="DV47" i="4" s="1"/>
  <c r="DU47" i="4" a="1"/>
  <c r="DU47" i="4"/>
  <c r="DT47" i="4"/>
  <c r="DR47" i="4" a="1"/>
  <c r="DR47" i="4"/>
  <c r="DQ47" i="4" a="1"/>
  <c r="DQ47" i="4"/>
  <c r="DP47" i="4" a="1"/>
  <c r="DP47" i="4" s="1"/>
  <c r="DO47" i="4" a="1"/>
  <c r="DO47" i="4"/>
  <c r="DN47" i="4" a="1"/>
  <c r="DN47" i="4"/>
  <c r="DM47" i="4" a="1"/>
  <c r="DM47" i="4" s="1"/>
  <c r="DL47" i="4" a="1"/>
  <c r="DL47" i="4" s="1"/>
  <c r="DK47" i="4" a="1"/>
  <c r="DK47" i="4" s="1"/>
  <c r="DJ47" i="4" a="1"/>
  <c r="DJ47" i="4" s="1"/>
  <c r="DI47" i="4" a="1"/>
  <c r="DI47" i="4"/>
  <c r="DH47" i="4" a="1"/>
  <c r="DH47" i="4"/>
  <c r="DG47" i="4" a="1"/>
  <c r="DG47" i="4"/>
  <c r="DF47" i="4" a="1"/>
  <c r="DF47" i="4"/>
  <c r="DE47" i="4" a="1"/>
  <c r="DE47" i="4"/>
  <c r="DD47" i="4" a="1"/>
  <c r="DD47" i="4" s="1"/>
  <c r="DC47" i="4" a="1"/>
  <c r="DC47" i="4"/>
  <c r="DB47" i="4"/>
  <c r="DA47" i="4" a="1"/>
  <c r="DA47" i="4"/>
  <c r="CY47" i="4"/>
  <c r="CQ47" i="4"/>
  <c r="CP47" i="4"/>
  <c r="CN47" i="4"/>
  <c r="CM47" i="4"/>
  <c r="CK47" i="4"/>
  <c r="CJ47" i="4"/>
  <c r="CH47" i="4"/>
  <c r="CG47" i="4"/>
  <c r="D47" i="4" a="1"/>
  <c r="D47" i="4"/>
  <c r="EJ46" i="4" a="1"/>
  <c r="EJ46" i="4" s="1"/>
  <c r="EI46" i="4" a="1"/>
  <c r="EI46" i="4"/>
  <c r="EH46" i="4" a="1"/>
  <c r="EH46" i="4"/>
  <c r="EG46" i="4" a="1"/>
  <c r="EG46" i="4" s="1"/>
  <c r="EF46" i="4" a="1"/>
  <c r="EF46" i="4" s="1"/>
  <c r="EE46" i="4" a="1"/>
  <c r="EE46" i="4"/>
  <c r="ED46" i="4" a="1"/>
  <c r="ED46" i="4" s="1"/>
  <c r="EC46" i="4" a="1"/>
  <c r="EC46" i="4" s="1"/>
  <c r="EB46" i="4" a="1"/>
  <c r="EB46" i="4"/>
  <c r="EA46" i="4" a="1"/>
  <c r="EA46" i="4" s="1"/>
  <c r="DZ46" i="4" a="1"/>
  <c r="DZ46" i="4" s="1"/>
  <c r="DY46" i="4" a="1"/>
  <c r="DY46" i="4"/>
  <c r="DX46" i="4" a="1"/>
  <c r="DX46" i="4"/>
  <c r="DW46" i="4" a="1"/>
  <c r="DW46" i="4"/>
  <c r="DV46" i="4" a="1"/>
  <c r="DV46" i="4" s="1"/>
  <c r="DU46" i="4" a="1"/>
  <c r="DU46" i="4" s="1"/>
  <c r="DT46" i="4"/>
  <c r="DR46" i="4" a="1"/>
  <c r="DR46" i="4"/>
  <c r="DQ46" i="4" a="1"/>
  <c r="DQ46" i="4"/>
  <c r="DP46" i="4" a="1"/>
  <c r="DP46" i="4"/>
  <c r="DO46" i="4" a="1"/>
  <c r="DO46" i="4"/>
  <c r="DN46" i="4" a="1"/>
  <c r="DN46" i="4" s="1"/>
  <c r="DM46" i="4" a="1"/>
  <c r="DM46" i="4"/>
  <c r="DL46" i="4" a="1"/>
  <c r="DL46" i="4"/>
  <c r="DK46" i="4" a="1"/>
  <c r="DK46" i="4" s="1"/>
  <c r="DI46" i="4" a="1"/>
  <c r="DI46" i="4"/>
  <c r="DH46" i="4" a="1"/>
  <c r="DH46" i="4" s="1"/>
  <c r="DG46" i="4" a="1"/>
  <c r="DG46" i="4"/>
  <c r="DF46" i="4" a="1"/>
  <c r="DF46" i="4"/>
  <c r="DE46" i="4" a="1"/>
  <c r="DE46" i="4"/>
  <c r="DD46" i="4" a="1"/>
  <c r="DD46" i="4"/>
  <c r="DC46" i="4" a="1"/>
  <c r="DC46" i="4"/>
  <c r="DB46" i="4"/>
  <c r="DA46" i="4" a="1"/>
  <c r="DA46" i="4" s="1"/>
  <c r="CY46" i="4"/>
  <c r="CQ46" i="4"/>
  <c r="CP46" i="4"/>
  <c r="CN46" i="4"/>
  <c r="CK46" i="4"/>
  <c r="CH46" i="4"/>
  <c r="D46" i="4" a="1"/>
  <c r="D46" i="4"/>
  <c r="EJ45" i="4" a="1"/>
  <c r="EJ45" i="4" s="1"/>
  <c r="EI45" i="4" a="1"/>
  <c r="EI45" i="4"/>
  <c r="EH45" i="4" a="1"/>
  <c r="EH45" i="4"/>
  <c r="EG45" i="4" a="1"/>
  <c r="EG45" i="4" s="1"/>
  <c r="EF45" i="4" a="1"/>
  <c r="EF45" i="4" s="1"/>
  <c r="EE45" i="4" a="1"/>
  <c r="EE45" i="4" s="1"/>
  <c r="ED45" i="4" a="1"/>
  <c r="ED45" i="4" s="1"/>
  <c r="EC45" i="4" a="1"/>
  <c r="EC45" i="4"/>
  <c r="EB45" i="4" a="1"/>
  <c r="EB45" i="4" s="1"/>
  <c r="EA45" i="4" a="1"/>
  <c r="EA45" i="4"/>
  <c r="DZ45" i="4" a="1"/>
  <c r="DZ45" i="4"/>
  <c r="DY45" i="4" a="1"/>
  <c r="DY45" i="4" s="1"/>
  <c r="DX45" i="4" a="1"/>
  <c r="DX45" i="4" s="1"/>
  <c r="DW45" i="4" a="1"/>
  <c r="DW45" i="4"/>
  <c r="DV45" i="4" a="1"/>
  <c r="DV45" i="4" s="1"/>
  <c r="DU45" i="4" a="1"/>
  <c r="DU45" i="4" s="1"/>
  <c r="DT45" i="4"/>
  <c r="DR45" i="4" a="1"/>
  <c r="DR45" i="4" s="1"/>
  <c r="DQ45" i="4" a="1"/>
  <c r="DQ45" i="4"/>
  <c r="DP45" i="4" a="1"/>
  <c r="DP45" i="4"/>
  <c r="DO45" i="4" a="1"/>
  <c r="DO45" i="4" s="1"/>
  <c r="DN45" i="4" a="1"/>
  <c r="DN45" i="4"/>
  <c r="DM45" i="4" a="1"/>
  <c r="DM45" i="4"/>
  <c r="DL45" i="4" a="1"/>
  <c r="DL45" i="4"/>
  <c r="DK45" i="4" a="1"/>
  <c r="DK45" i="4"/>
  <c r="DJ45" i="4" a="1"/>
  <c r="DJ45" i="4"/>
  <c r="DI45" i="4" a="1"/>
  <c r="DI45" i="4" s="1"/>
  <c r="DH45" i="4" a="1"/>
  <c r="DH45" i="4"/>
  <c r="DG45" i="4" a="1"/>
  <c r="DG45" i="4"/>
  <c r="DF45" i="4" a="1"/>
  <c r="DF45" i="4" s="1"/>
  <c r="DE45" i="4" a="1"/>
  <c r="DE45" i="4"/>
  <c r="DD45" i="4" a="1"/>
  <c r="DD45" i="4"/>
  <c r="DB45" i="4"/>
  <c r="DA45" i="4" a="1"/>
  <c r="DA45" i="4" s="1"/>
  <c r="CY45" i="4"/>
  <c r="CQ45" i="4"/>
  <c r="CP45" i="4"/>
  <c r="CN45" i="4"/>
  <c r="CK45" i="4"/>
  <c r="CH45" i="4"/>
  <c r="D45" i="4" a="1"/>
  <c r="D45" i="4"/>
  <c r="EJ44" i="4" a="1"/>
  <c r="EJ44" i="4"/>
  <c r="EI44" i="4" a="1"/>
  <c r="EI44" i="4" s="1"/>
  <c r="EH44" i="4" a="1"/>
  <c r="EH44" i="4" s="1"/>
  <c r="EG44" i="4" a="1"/>
  <c r="EG44" i="4"/>
  <c r="EF44" i="4" a="1"/>
  <c r="EF44" i="4" s="1"/>
  <c r="EE44" i="4" a="1"/>
  <c r="EE44" i="4" s="1"/>
  <c r="ED44" i="4" a="1"/>
  <c r="ED44" i="4"/>
  <c r="EC44" i="4" a="1"/>
  <c r="EC44" i="4" s="1"/>
  <c r="EB44" i="4" a="1"/>
  <c r="EB44" i="4" s="1"/>
  <c r="EA44" i="4" a="1"/>
  <c r="EA44" i="4"/>
  <c r="DZ44" i="4" a="1"/>
  <c r="DZ44" i="4"/>
  <c r="DY44" i="4" a="1"/>
  <c r="DY44" i="4" s="1"/>
  <c r="DX44" i="4" a="1"/>
  <c r="DX44" i="4"/>
  <c r="DW44" i="4" a="1"/>
  <c r="DW44" i="4" s="1"/>
  <c r="DV44" i="4" a="1"/>
  <c r="DV44" i="4" s="1"/>
  <c r="DU44" i="4" a="1"/>
  <c r="DU44" i="4"/>
  <c r="DT44" i="4"/>
  <c r="DR44" i="4" a="1"/>
  <c r="DR44" i="4" s="1"/>
  <c r="DQ44" i="4" a="1"/>
  <c r="DQ44" i="4" s="1"/>
  <c r="DP44" i="4" a="1"/>
  <c r="DP44" i="4"/>
  <c r="DO44" i="4" a="1"/>
  <c r="DO44" i="4"/>
  <c r="DN44" i="4" a="1"/>
  <c r="DN44" i="4"/>
  <c r="DL44" i="4" a="1"/>
  <c r="DL44" i="4" s="1"/>
  <c r="DK44" i="4" a="1"/>
  <c r="DK44" i="4"/>
  <c r="DI44" i="4" a="1"/>
  <c r="DI44" i="4"/>
  <c r="DH44" i="4" a="1"/>
  <c r="DH44" i="4"/>
  <c r="DG44" i="4" a="1"/>
  <c r="DG44" i="4"/>
  <c r="DF44" i="4" a="1"/>
  <c r="DF44" i="4" s="1"/>
  <c r="DE44" i="4" a="1"/>
  <c r="DE44" i="4" s="1"/>
  <c r="DD44" i="4" a="1"/>
  <c r="DD44" i="4"/>
  <c r="DC44" i="4" a="1"/>
  <c r="DC44" i="4"/>
  <c r="DB44" i="4"/>
  <c r="DA44" i="4" a="1"/>
  <c r="DA44" i="4"/>
  <c r="CY44" i="4"/>
  <c r="CQ44" i="4"/>
  <c r="CP44" i="4"/>
  <c r="CN44" i="4"/>
  <c r="CK44" i="4"/>
  <c r="CH44" i="4"/>
  <c r="D44" i="4" a="1"/>
  <c r="D44" i="4"/>
  <c r="EJ43" i="4" a="1"/>
  <c r="EJ43" i="4" s="1"/>
  <c r="EI43" i="4" a="1"/>
  <c r="EI43" i="4"/>
  <c r="EH43" i="4" a="1"/>
  <c r="EH43" i="4"/>
  <c r="EG43" i="4" a="1"/>
  <c r="EG43" i="4" s="1"/>
  <c r="EF43" i="4" a="1"/>
  <c r="EF43" i="4" s="1"/>
  <c r="EE43" i="4" a="1"/>
  <c r="EE43" i="4"/>
  <c r="ED43" i="4" a="1"/>
  <c r="ED43" i="4"/>
  <c r="EC43" i="4" a="1"/>
  <c r="EC43" i="4" s="1"/>
  <c r="EB43" i="4" a="1"/>
  <c r="EB43" i="4"/>
  <c r="EA43" i="4" a="1"/>
  <c r="EA43" i="4" s="1"/>
  <c r="DZ43" i="4" a="1"/>
  <c r="DZ43" i="4" s="1"/>
  <c r="DY43" i="4" a="1"/>
  <c r="DY43" i="4"/>
  <c r="DX43" i="4" a="1"/>
  <c r="DX43" i="4" s="1"/>
  <c r="DW43" i="4" a="1"/>
  <c r="DW43" i="4"/>
  <c r="DV43" i="4" a="1"/>
  <c r="DV43" i="4" s="1"/>
  <c r="DU43" i="4" a="1"/>
  <c r="DU43" i="4" s="1"/>
  <c r="DT43" i="4"/>
  <c r="DR43" i="4" a="1"/>
  <c r="DR43" i="4"/>
  <c r="DQ43" i="4" a="1"/>
  <c r="DQ43" i="4"/>
  <c r="DP43" i="4" a="1"/>
  <c r="DP43" i="4"/>
  <c r="DO43" i="4" a="1"/>
  <c r="DO43" i="4"/>
  <c r="DN43" i="4" a="1"/>
  <c r="DN43" i="4" s="1"/>
  <c r="DL43" i="4" a="1"/>
  <c r="DL43" i="4"/>
  <c r="DK43" i="4" a="1"/>
  <c r="DK43" i="4"/>
  <c r="DJ43" i="4" a="1"/>
  <c r="DJ43" i="4" s="1"/>
  <c r="DI43" i="4" a="1"/>
  <c r="DI43" i="4" s="1"/>
  <c r="DH43" i="4" a="1"/>
  <c r="DH43" i="4"/>
  <c r="DG43" i="4" a="1"/>
  <c r="DG43" i="4"/>
  <c r="DF43" i="4" a="1"/>
  <c r="DF43" i="4"/>
  <c r="DE43" i="4" a="1"/>
  <c r="DE43" i="4"/>
  <c r="DD43" i="4" a="1"/>
  <c r="DD43" i="4" s="1"/>
  <c r="DC43" i="4" a="1"/>
  <c r="DC43" i="4"/>
  <c r="DB43" i="4"/>
  <c r="DA43" i="4" a="1"/>
  <c r="DA43" i="4" s="1"/>
  <c r="CY43" i="4"/>
  <c r="CQ43" i="4"/>
  <c r="CP43" i="4"/>
  <c r="CN43" i="4"/>
  <c r="CK43" i="4"/>
  <c r="CH43" i="4"/>
  <c r="D43" i="4" a="1"/>
  <c r="D43" i="4" s="1"/>
  <c r="EJ42" i="4" a="1"/>
  <c r="EJ42" i="4" s="1"/>
  <c r="EI42" i="4" a="1"/>
  <c r="EI42" i="4"/>
  <c r="EH42" i="4" a="1"/>
  <c r="EH42" i="4" s="1"/>
  <c r="EG42" i="4" a="1"/>
  <c r="EG42" i="4" s="1"/>
  <c r="EF42" i="4" a="1"/>
  <c r="EF42" i="4" s="1"/>
  <c r="EE42" i="4" a="1"/>
  <c r="EE42" i="4" s="1"/>
  <c r="ED42" i="4" a="1"/>
  <c r="ED42" i="4" s="1"/>
  <c r="EC42" i="4" a="1"/>
  <c r="EC42" i="4"/>
  <c r="EB42" i="4" a="1"/>
  <c r="EB42" i="4"/>
  <c r="EA42" i="4" a="1"/>
  <c r="EA42" i="4"/>
  <c r="DZ42" i="4" a="1"/>
  <c r="DZ42" i="4"/>
  <c r="DY42" i="4" a="1"/>
  <c r="DY42" i="4" s="1"/>
  <c r="DX42" i="4" a="1"/>
  <c r="DX42" i="4" s="1"/>
  <c r="DW42" i="4" a="1"/>
  <c r="DW42" i="4"/>
  <c r="DV42" i="4" a="1"/>
  <c r="DV42" i="4"/>
  <c r="DU42" i="4" a="1"/>
  <c r="DU42" i="4"/>
  <c r="DT42" i="4"/>
  <c r="DR42" i="4" a="1"/>
  <c r="DR42" i="4" s="1"/>
  <c r="DQ42" i="4" a="1"/>
  <c r="DQ42" i="4"/>
  <c r="DP42" i="4" a="1"/>
  <c r="DP42" i="4"/>
  <c r="DO42" i="4" a="1"/>
  <c r="DO42" i="4" s="1"/>
  <c r="DM42" i="4" a="1"/>
  <c r="DM42" i="4"/>
  <c r="DL42" i="4" a="1"/>
  <c r="DL42" i="4" s="1"/>
  <c r="DK42" i="4" a="1"/>
  <c r="DK42" i="4"/>
  <c r="DJ42" i="4" a="1"/>
  <c r="DJ42" i="4"/>
  <c r="DI42" i="4" a="1"/>
  <c r="DI42" i="4" s="1"/>
  <c r="DH42" i="4" a="1"/>
  <c r="DH42" i="4" s="1"/>
  <c r="DG42" i="4" a="1"/>
  <c r="DG42" i="4" s="1"/>
  <c r="DF42" i="4" a="1"/>
  <c r="DF42" i="4"/>
  <c r="DE42" i="4" a="1"/>
  <c r="DE42" i="4"/>
  <c r="DD42" i="4" a="1"/>
  <c r="DD42" i="4"/>
  <c r="DC42" i="4" a="1"/>
  <c r="DC42" i="4" s="1"/>
  <c r="DB42" i="4"/>
  <c r="DA42" i="4" a="1"/>
  <c r="DA42" i="4" s="1"/>
  <c r="CY42" i="4"/>
  <c r="CQ42" i="4"/>
  <c r="CP42" i="4"/>
  <c r="CN42" i="4"/>
  <c r="CK42" i="4"/>
  <c r="CH42" i="4"/>
  <c r="D42" i="4" a="1"/>
  <c r="D42" i="4"/>
  <c r="EJ41" i="4" a="1"/>
  <c r="EJ41" i="4" s="1"/>
  <c r="EI41" i="4" a="1"/>
  <c r="EI41" i="4" s="1"/>
  <c r="EH41" i="4" a="1"/>
  <c r="EH41" i="4" s="1"/>
  <c r="EG41" i="4"/>
  <c r="EF41" i="4" a="1"/>
  <c r="EF41" i="4" s="1"/>
  <c r="EE41" i="4" a="1"/>
  <c r="EE41" i="4" s="1"/>
  <c r="ED41" i="4" a="1"/>
  <c r="ED41" i="4" s="1"/>
  <c r="EC41" i="4" a="1"/>
  <c r="EC41" i="4" s="1"/>
  <c r="EB41" i="4" a="1"/>
  <c r="EB41" i="4" s="1"/>
  <c r="EA41" i="4" a="1"/>
  <c r="EA41" i="4"/>
  <c r="DZ41" i="4" a="1"/>
  <c r="DZ41" i="4"/>
  <c r="DY41" i="4" a="1"/>
  <c r="DY41" i="4" s="1"/>
  <c r="DX41" i="4" a="1"/>
  <c r="DX41" i="4" s="1"/>
  <c r="DW41" i="4" a="1"/>
  <c r="DW41" i="4" s="1"/>
  <c r="DV41" i="4" a="1"/>
  <c r="DV41" i="4" s="1"/>
  <c r="DU41" i="4" a="1"/>
  <c r="DU41" i="4"/>
  <c r="DT41" i="4"/>
  <c r="DR41" i="4" a="1"/>
  <c r="DR41" i="4" s="1"/>
  <c r="DQ41" i="4" a="1"/>
  <c r="DQ41" i="4" s="1"/>
  <c r="DP41" i="4" a="1"/>
  <c r="DP41" i="4"/>
  <c r="DO41" i="4" a="1"/>
  <c r="DO41" i="4"/>
  <c r="DN41" i="4" a="1"/>
  <c r="DN41" i="4"/>
  <c r="DM41" i="4" a="1"/>
  <c r="DM41" i="4"/>
  <c r="DL41" i="4" a="1"/>
  <c r="DL41" i="4" s="1"/>
  <c r="DK41" i="4" a="1"/>
  <c r="DK41" i="4"/>
  <c r="DJ41" i="4" a="1"/>
  <c r="DJ41" i="4"/>
  <c r="DI41" i="4" a="1"/>
  <c r="DI41" i="4"/>
  <c r="DH41" i="4" a="1"/>
  <c r="DH41" i="4"/>
  <c r="DG41" i="4" a="1"/>
  <c r="DG41" i="4" s="1"/>
  <c r="DF41" i="4" a="1"/>
  <c r="DF41" i="4" s="1"/>
  <c r="DE41" i="4" a="1"/>
  <c r="DE41" i="4"/>
  <c r="DD41" i="4" a="1"/>
  <c r="DD41" i="4"/>
  <c r="DC41" i="4" a="1"/>
  <c r="DC41" i="4"/>
  <c r="DB41" i="4"/>
  <c r="DA41" i="4" a="1"/>
  <c r="DA41" i="4"/>
  <c r="CY41" i="4"/>
  <c r="CQ41" i="4"/>
  <c r="CP41" i="4"/>
  <c r="CN41" i="4"/>
  <c r="CK41" i="4"/>
  <c r="CH41" i="4"/>
  <c r="D41" i="4" a="1"/>
  <c r="D41" i="4"/>
  <c r="EJ40" i="4" a="1"/>
  <c r="EJ40" i="4"/>
  <c r="EI40" i="4" a="1"/>
  <c r="EI40" i="4"/>
  <c r="EH40" i="4" a="1"/>
  <c r="EH40" i="4"/>
  <c r="EG40" i="4" a="1"/>
  <c r="EG40" i="4" s="1"/>
  <c r="EF40" i="4" a="1"/>
  <c r="EF40" i="4" s="1"/>
  <c r="EE40" i="4" a="1"/>
  <c r="EE40" i="4"/>
  <c r="ED40" i="4" a="1"/>
  <c r="ED40" i="4"/>
  <c r="EC40" i="4" a="1"/>
  <c r="EC40" i="4"/>
  <c r="EB40" i="4" a="1"/>
  <c r="EB40" i="4"/>
  <c r="EA40" i="4" a="1"/>
  <c r="EA40" i="4" s="1"/>
  <c r="DZ40" i="4" a="1"/>
  <c r="DZ40" i="4" s="1"/>
  <c r="DY40" i="4" a="1"/>
  <c r="DY40" i="4"/>
  <c r="DX40" i="4" a="1"/>
  <c r="DX40" i="4"/>
  <c r="DW40" i="4" a="1"/>
  <c r="DW40" i="4"/>
  <c r="DV40" i="4" a="1"/>
  <c r="DV40" i="4"/>
  <c r="DU40" i="4" a="1"/>
  <c r="DU40" i="4" s="1"/>
  <c r="DT40" i="4"/>
  <c r="DR40" i="4" a="1"/>
  <c r="DR40" i="4"/>
  <c r="DQ40" i="4" a="1"/>
  <c r="DQ40" i="4" s="1"/>
  <c r="DP40" i="4" a="1"/>
  <c r="DP40" i="4" s="1"/>
  <c r="DO40" i="4" a="1"/>
  <c r="DO40" i="4"/>
  <c r="DN40" i="4" a="1"/>
  <c r="DN40" i="4"/>
  <c r="DL40" i="4" a="1"/>
  <c r="DL40" i="4"/>
  <c r="DK40" i="4" a="1"/>
  <c r="DK40" i="4" s="1"/>
  <c r="DJ40" i="4" a="1"/>
  <c r="DJ40" i="4"/>
  <c r="DI40" i="4" a="1"/>
  <c r="DI40" i="4" s="1"/>
  <c r="DH40" i="4" a="1"/>
  <c r="DH40" i="4" s="1"/>
  <c r="DG40" i="4" a="1"/>
  <c r="DG40" i="4"/>
  <c r="DF40" i="4" a="1"/>
  <c r="DF40" i="4"/>
  <c r="DE40" i="4" a="1"/>
  <c r="DE40" i="4" s="1"/>
  <c r="DD40" i="4" a="1"/>
  <c r="DD40" i="4"/>
  <c r="DC40" i="4" a="1"/>
  <c r="DC40" i="4" s="1"/>
  <c r="DB40" i="4"/>
  <c r="DA40" i="4" a="1"/>
  <c r="DA40" i="4" s="1"/>
  <c r="CY40" i="4"/>
  <c r="CQ40" i="4"/>
  <c r="CP40" i="4"/>
  <c r="CN40" i="4"/>
  <c r="CK40" i="4"/>
  <c r="CH40" i="4"/>
  <c r="D40" i="4" a="1"/>
  <c r="D40" i="4"/>
  <c r="EJ39" i="4" a="1"/>
  <c r="EJ39" i="4" s="1"/>
  <c r="EI39" i="4" a="1"/>
  <c r="EI39" i="4"/>
  <c r="EH39" i="4" a="1"/>
  <c r="EH39" i="4"/>
  <c r="EG39" i="4" a="1"/>
  <c r="EG39" i="4" s="1"/>
  <c r="EF39" i="4" a="1"/>
  <c r="EF39" i="4"/>
  <c r="EE39" i="4" a="1"/>
  <c r="EE39" i="4" s="1"/>
  <c r="ED39" i="4" a="1"/>
  <c r="ED39" i="4" s="1"/>
  <c r="EC39" i="4" a="1"/>
  <c r="EC39" i="4"/>
  <c r="EB39" i="4" a="1"/>
  <c r="EB39" i="4"/>
  <c r="EA39" i="4" a="1"/>
  <c r="EA39" i="4"/>
  <c r="DZ39" i="4" a="1"/>
  <c r="DZ39" i="4" s="1"/>
  <c r="DY39" i="4" a="1"/>
  <c r="DY39" i="4" s="1"/>
  <c r="DX39" i="4" a="1"/>
  <c r="DX39" i="4" s="1"/>
  <c r="DW39" i="4" a="1"/>
  <c r="DW39" i="4"/>
  <c r="DV39" i="4" a="1"/>
  <c r="DV39" i="4" s="1"/>
  <c r="DU39" i="4" a="1"/>
  <c r="DU39" i="4" s="1"/>
  <c r="DT39" i="4"/>
  <c r="DR39" i="4" a="1"/>
  <c r="DR39" i="4" s="1"/>
  <c r="DQ39" i="4" a="1"/>
  <c r="DQ39" i="4"/>
  <c r="DP39" i="4" a="1"/>
  <c r="DP39" i="4"/>
  <c r="DO39" i="4" a="1"/>
  <c r="DO39" i="4"/>
  <c r="DN39" i="4" a="1"/>
  <c r="DN39" i="4"/>
  <c r="DL39" i="4" a="1"/>
  <c r="DL39" i="4"/>
  <c r="DK39" i="4" a="1"/>
  <c r="DK39" i="4"/>
  <c r="DJ39" i="4" a="1"/>
  <c r="DJ39" i="4"/>
  <c r="DI39" i="4" a="1"/>
  <c r="DI39" i="4"/>
  <c r="DH39" i="4" a="1"/>
  <c r="DH39" i="4" s="1"/>
  <c r="DG39" i="4" a="1"/>
  <c r="DG39" i="4" s="1"/>
  <c r="DF39" i="4" a="1"/>
  <c r="DF39" i="4"/>
  <c r="DE39" i="4" a="1"/>
  <c r="DE39" i="4"/>
  <c r="DD39" i="4" a="1"/>
  <c r="DD39" i="4"/>
  <c r="DC39" i="4" a="1"/>
  <c r="DC39" i="4" s="1"/>
  <c r="DB39" i="4"/>
  <c r="DA39" i="4" a="1"/>
  <c r="DA39" i="4" s="1"/>
  <c r="CY39" i="4"/>
  <c r="CQ39" i="4"/>
  <c r="CP39" i="4"/>
  <c r="CN39" i="4"/>
  <c r="CM39" i="4"/>
  <c r="CK39" i="4"/>
  <c r="CH39" i="4"/>
  <c r="D39" i="4" a="1"/>
  <c r="D39" i="4"/>
  <c r="EJ38" i="4" a="1"/>
  <c r="EJ38" i="4"/>
  <c r="EI38" i="4" a="1"/>
  <c r="EI38" i="4" s="1"/>
  <c r="EH38" i="4" a="1"/>
  <c r="EH38" i="4" s="1"/>
  <c r="EG38" i="4" a="1"/>
  <c r="EG38" i="4" s="1"/>
  <c r="EF38" i="4" a="1"/>
  <c r="EF38" i="4" s="1"/>
  <c r="EE38" i="4" a="1"/>
  <c r="EE38" i="4"/>
  <c r="ED38" i="4" a="1"/>
  <c r="ED38" i="4"/>
  <c r="EC38" i="4" a="1"/>
  <c r="EC38" i="4" s="1"/>
  <c r="EB38" i="4" a="1"/>
  <c r="EB38" i="4" s="1"/>
  <c r="EA38" i="4" a="1"/>
  <c r="EA38" i="4"/>
  <c r="DZ38" i="4" a="1"/>
  <c r="DZ38" i="4" s="1"/>
  <c r="DY38" i="4" a="1"/>
  <c r="DY38" i="4"/>
  <c r="DX38" i="4" a="1"/>
  <c r="DX38" i="4"/>
  <c r="DW38" i="4" a="1"/>
  <c r="DW38" i="4" s="1"/>
  <c r="DV38" i="4" a="1"/>
  <c r="DV38" i="4" s="1"/>
  <c r="DU38" i="4" a="1"/>
  <c r="DU38" i="4" s="1"/>
  <c r="DT38" i="4"/>
  <c r="DR38" i="4" a="1"/>
  <c r="DR38" i="4" s="1"/>
  <c r="DQ38" i="4" a="1"/>
  <c r="DQ38" i="4"/>
  <c r="DP38" i="4" a="1"/>
  <c r="DP38" i="4" s="1"/>
  <c r="DO38" i="4" a="1"/>
  <c r="DO38" i="4"/>
  <c r="DN38" i="4" a="1"/>
  <c r="DN38" i="4"/>
  <c r="DL38" i="4" a="1"/>
  <c r="DL38" i="4"/>
  <c r="DK38" i="4" a="1"/>
  <c r="DK38" i="4"/>
  <c r="DJ38" i="4" a="1"/>
  <c r="DJ38" i="4" s="1"/>
  <c r="DI38" i="4" a="1"/>
  <c r="DI38" i="4"/>
  <c r="DH38" i="4" a="1"/>
  <c r="DH38" i="4"/>
  <c r="DG38" i="4" a="1"/>
  <c r="DG38" i="4"/>
  <c r="DF38" i="4" a="1"/>
  <c r="DF38" i="4"/>
  <c r="DE38" i="4" a="1"/>
  <c r="DE38" i="4"/>
  <c r="DD38" i="4" a="1"/>
  <c r="DD38" i="4" s="1"/>
  <c r="DC38" i="4" a="1"/>
  <c r="DC38" i="4"/>
  <c r="DB38" i="4"/>
  <c r="DA38" i="4" a="1"/>
  <c r="DA38" i="4"/>
  <c r="CY38" i="4"/>
  <c r="CQ38" i="4"/>
  <c r="CP38" i="4"/>
  <c r="CN38" i="4"/>
  <c r="CK38" i="4"/>
  <c r="CH38" i="4"/>
  <c r="D38" i="4" a="1"/>
  <c r="D38" i="4"/>
  <c r="EJ37" i="4" a="1"/>
  <c r="EJ37" i="4" s="1"/>
  <c r="EI37" i="4" a="1"/>
  <c r="EI37" i="4"/>
  <c r="EH37" i="4" a="1"/>
  <c r="EH37" i="4"/>
  <c r="EG37" i="4" a="1"/>
  <c r="EG37" i="4" s="1"/>
  <c r="EF37" i="4" a="1"/>
  <c r="EF37" i="4" s="1"/>
  <c r="EE37" i="4" a="1"/>
  <c r="EE37" i="4" s="1"/>
  <c r="ED37" i="4" a="1"/>
  <c r="ED37" i="4"/>
  <c r="EC37" i="4" a="1"/>
  <c r="EC37" i="4"/>
  <c r="EB37" i="4" a="1"/>
  <c r="EB37" i="4"/>
  <c r="EA37" i="4" a="1"/>
  <c r="EA37" i="4" s="1"/>
  <c r="DZ37" i="4" a="1"/>
  <c r="DZ37" i="4" s="1"/>
  <c r="DY37" i="4" a="1"/>
  <c r="DY37" i="4"/>
  <c r="DX37" i="4" a="1"/>
  <c r="DX37" i="4" s="1"/>
  <c r="DW37" i="4" a="1"/>
  <c r="DW37" i="4"/>
  <c r="DV37" i="4" a="1"/>
  <c r="DV37" i="4"/>
  <c r="DU37" i="4" a="1"/>
  <c r="DU37" i="4" s="1"/>
  <c r="DT37" i="4"/>
  <c r="DR37" i="4" a="1"/>
  <c r="DR37" i="4"/>
  <c r="DQ37" i="4" a="1"/>
  <c r="DQ37" i="4"/>
  <c r="DP37" i="4" a="1"/>
  <c r="DP37" i="4" s="1"/>
  <c r="DO37" i="4" a="1"/>
  <c r="DO37" i="4" s="1"/>
  <c r="DN37" i="4" a="1"/>
  <c r="DN37" i="4"/>
  <c r="DM37" i="4" a="1"/>
  <c r="DM37" i="4"/>
  <c r="DL37" i="4" a="1"/>
  <c r="DL37" i="4"/>
  <c r="DK37" i="4" a="1"/>
  <c r="DK37" i="4"/>
  <c r="DI37" i="4" a="1"/>
  <c r="DI37" i="4"/>
  <c r="DH37" i="4" a="1"/>
  <c r="DH37" i="4"/>
  <c r="DG37" i="4" a="1"/>
  <c r="DG37" i="4"/>
  <c r="DF37" i="4" a="1"/>
  <c r="DF37" i="4"/>
  <c r="DE37" i="4" a="1"/>
  <c r="DE37" i="4"/>
  <c r="DD37" i="4" a="1"/>
  <c r="DD37" i="4" s="1"/>
  <c r="DC37" i="4" a="1"/>
  <c r="DC37" i="4" s="1"/>
  <c r="DB37" i="4"/>
  <c r="DA37" i="4" a="1"/>
  <c r="DA37" i="4" s="1"/>
  <c r="CY37" i="4"/>
  <c r="CQ37" i="4"/>
  <c r="CP37" i="4"/>
  <c r="CN37" i="4"/>
  <c r="CK37" i="4"/>
  <c r="CH37" i="4"/>
  <c r="D37" i="4" a="1"/>
  <c r="D37" i="4"/>
  <c r="EJ36" i="4" a="1"/>
  <c r="EJ36" i="4" s="1"/>
  <c r="EI36" i="4" a="1"/>
  <c r="EI36" i="4"/>
  <c r="EH36" i="4" a="1"/>
  <c r="EH36" i="4"/>
  <c r="EG36" i="4" a="1"/>
  <c r="EG36" i="4"/>
  <c r="EF36" i="4" a="1"/>
  <c r="EF36" i="4"/>
  <c r="EE36" i="4" a="1"/>
  <c r="EE36" i="4" s="1"/>
  <c r="ED36" i="4" a="1"/>
  <c r="ED36" i="4" s="1"/>
  <c r="EC36" i="4" a="1"/>
  <c r="EC36" i="4"/>
  <c r="EB36" i="4" a="1"/>
  <c r="EB36" i="4"/>
  <c r="EA36" i="4" a="1"/>
  <c r="EA36" i="4"/>
  <c r="DZ36" i="4" a="1"/>
  <c r="DZ36" i="4"/>
  <c r="DY36" i="4" a="1"/>
  <c r="DY36" i="4" s="1"/>
  <c r="DX36" i="4" a="1"/>
  <c r="DX36" i="4" s="1"/>
  <c r="DW36" i="4" a="1"/>
  <c r="DW36" i="4" s="1"/>
  <c r="DV36" i="4" a="1"/>
  <c r="DV36" i="4"/>
  <c r="DU36" i="4" a="1"/>
  <c r="DU36" i="4"/>
  <c r="DT36" i="4"/>
  <c r="DR36" i="4" a="1"/>
  <c r="DR36" i="4"/>
  <c r="DQ36" i="4" a="1"/>
  <c r="DQ36" i="4"/>
  <c r="DP36" i="4" a="1"/>
  <c r="DP36" i="4"/>
  <c r="DO36" i="4" a="1"/>
  <c r="DO36" i="4"/>
  <c r="DN36" i="4" a="1"/>
  <c r="DN36" i="4" s="1"/>
  <c r="DM36" i="4" a="1"/>
  <c r="DM36" i="4" s="1"/>
  <c r="DL36" i="4" a="1"/>
  <c r="DL36" i="4"/>
  <c r="DK36" i="4" a="1"/>
  <c r="DK36" i="4"/>
  <c r="DI36" i="4" a="1"/>
  <c r="DI36" i="4" s="1"/>
  <c r="DH36" i="4" a="1"/>
  <c r="DH36" i="4" s="1"/>
  <c r="DG36" i="4" a="1"/>
  <c r="DG36" i="4"/>
  <c r="DF36" i="4" a="1"/>
  <c r="DF36" i="4"/>
  <c r="DE36" i="4" a="1"/>
  <c r="DE36" i="4"/>
  <c r="DD36" i="4" a="1"/>
  <c r="DD36" i="4"/>
  <c r="DC36" i="4" a="1"/>
  <c r="DC36" i="4" s="1"/>
  <c r="DB36" i="4"/>
  <c r="CQ36" i="4"/>
  <c r="CP36" i="4"/>
  <c r="CN36" i="4"/>
  <c r="CK36" i="4"/>
  <c r="CH36" i="4"/>
  <c r="D36" i="4" a="1"/>
  <c r="D36" i="4"/>
  <c r="CV36" i="4" s="1"/>
  <c r="EJ35" i="4" a="1"/>
  <c r="EJ35" i="4" s="1"/>
  <c r="EI35" i="4" a="1"/>
  <c r="EI35" i="4" s="1"/>
  <c r="EH35" i="4" a="1"/>
  <c r="EH35" i="4" s="1"/>
  <c r="EG35" i="4" a="1"/>
  <c r="EG35" i="4"/>
  <c r="EF35" i="4" a="1"/>
  <c r="EF35" i="4"/>
  <c r="EE35" i="4" a="1"/>
  <c r="EE35" i="4"/>
  <c r="ED35" i="4" a="1"/>
  <c r="ED35" i="4"/>
  <c r="EC35" i="4" a="1"/>
  <c r="EC35" i="4" s="1"/>
  <c r="EB35" i="4" a="1"/>
  <c r="EB35" i="4" s="1"/>
  <c r="EA35" i="4" a="1"/>
  <c r="EA35" i="4" s="1"/>
  <c r="DZ35" i="4" a="1"/>
  <c r="DZ35" i="4"/>
  <c r="DY35" i="4" a="1"/>
  <c r="DY35" i="4"/>
  <c r="DX35" i="4" a="1"/>
  <c r="DX35" i="4"/>
  <c r="DW35" i="4" a="1"/>
  <c r="DW35" i="4" s="1"/>
  <c r="DV35" i="4" a="1"/>
  <c r="DV35" i="4" s="1"/>
  <c r="DU35" i="4" a="1"/>
  <c r="DU35" i="4" s="1"/>
  <c r="DT35" i="4"/>
  <c r="DR35" i="4" a="1"/>
  <c r="DR35" i="4" s="1"/>
  <c r="DQ35" i="4" a="1"/>
  <c r="DQ35" i="4"/>
  <c r="DP35" i="4" a="1"/>
  <c r="DP35" i="4"/>
  <c r="DO35" i="4" a="1"/>
  <c r="DO35" i="4"/>
  <c r="DN35" i="4" a="1"/>
  <c r="DN35" i="4"/>
  <c r="DM35" i="4" a="1"/>
  <c r="DM35" i="4"/>
  <c r="DL35" i="4" a="1"/>
  <c r="DL35" i="4" s="1"/>
  <c r="DK35" i="4" a="1"/>
  <c r="DK35" i="4" s="1"/>
  <c r="DI35" i="4" a="1"/>
  <c r="DI35" i="4"/>
  <c r="DH35" i="4" a="1"/>
  <c r="DH35" i="4"/>
  <c r="DG35" i="4" a="1"/>
  <c r="DG35" i="4"/>
  <c r="DF35" i="4" a="1"/>
  <c r="DF35" i="4" s="1"/>
  <c r="DE35" i="4" a="1"/>
  <c r="DE35" i="4"/>
  <c r="DD35" i="4" a="1"/>
  <c r="DD35" i="4"/>
  <c r="DC35" i="4" a="1"/>
  <c r="DC35" i="4"/>
  <c r="DB35" i="4"/>
  <c r="CQ35" i="4"/>
  <c r="CP35" i="4"/>
  <c r="CN35" i="4"/>
  <c r="CK35" i="4"/>
  <c r="CH35" i="4"/>
  <c r="D35" i="4" a="1"/>
  <c r="D35" i="4"/>
  <c r="EJ34" i="4" a="1"/>
  <c r="EJ34" i="4"/>
  <c r="EI34" i="4" a="1"/>
  <c r="EI34" i="4"/>
  <c r="EH34" i="4" a="1"/>
  <c r="EH34" i="4" s="1"/>
  <c r="EG34" i="4" a="1"/>
  <c r="EG34" i="4" s="1"/>
  <c r="EF34" i="4" a="1"/>
  <c r="EF34" i="4" s="1"/>
  <c r="EE34" i="4" a="1"/>
  <c r="EE34" i="4"/>
  <c r="ED34" i="4" a="1"/>
  <c r="ED34" i="4" s="1"/>
  <c r="EC34" i="4" a="1"/>
  <c r="EC34" i="4"/>
  <c r="EB34" i="4" a="1"/>
  <c r="EB34" i="4"/>
  <c r="EA34" i="4" a="1"/>
  <c r="EA34" i="4" s="1"/>
  <c r="DZ34" i="4" a="1"/>
  <c r="DZ34" i="4" s="1"/>
  <c r="DY34" i="4" a="1"/>
  <c r="DY34" i="4"/>
  <c r="DX34" i="4" a="1"/>
  <c r="DX34" i="4"/>
  <c r="DW34" i="4" a="1"/>
  <c r="DW34" i="4" s="1"/>
  <c r="DV34" i="4" a="1"/>
  <c r="DV34" i="4"/>
  <c r="DU34" i="4" a="1"/>
  <c r="DU34" i="4" s="1"/>
  <c r="DT34" i="4"/>
  <c r="DR34" i="4" a="1"/>
  <c r="DR34" i="4"/>
  <c r="DQ34" i="4" a="1"/>
  <c r="DQ34" i="4"/>
  <c r="DP34" i="4" a="1"/>
  <c r="DP34" i="4"/>
  <c r="DO34" i="4" a="1"/>
  <c r="DO34" i="4" s="1"/>
  <c r="DN34" i="4" a="1"/>
  <c r="DN34" i="4"/>
  <c r="DL34" i="4" a="1"/>
  <c r="DL34" i="4"/>
  <c r="DK34" i="4" a="1"/>
  <c r="DK34" i="4" s="1"/>
  <c r="DI34" i="4" a="1"/>
  <c r="DI34" i="4"/>
  <c r="DH34" i="4" a="1"/>
  <c r="DH34" i="4"/>
  <c r="DG34" i="4" a="1"/>
  <c r="DG34" i="4"/>
  <c r="DF34" i="4" a="1"/>
  <c r="DF34" i="4"/>
  <c r="DE34" i="4" a="1"/>
  <c r="DE34" i="4" s="1"/>
  <c r="DD34" i="4" a="1"/>
  <c r="DD34" i="4"/>
  <c r="DC34" i="4" a="1"/>
  <c r="DC34" i="4"/>
  <c r="DB34" i="4"/>
  <c r="CQ34" i="4"/>
  <c r="CP34" i="4"/>
  <c r="CN34" i="4"/>
  <c r="CK34" i="4"/>
  <c r="CH34" i="4"/>
  <c r="D34" i="4" a="1"/>
  <c r="D34" i="4" s="1"/>
  <c r="EJ33" i="4" a="1"/>
  <c r="EJ33" i="4" s="1"/>
  <c r="EI33" i="4" a="1"/>
  <c r="EI33" i="4" s="1"/>
  <c r="EH33" i="4" a="1"/>
  <c r="EH33" i="4"/>
  <c r="EG33" i="4" a="1"/>
  <c r="EG33" i="4"/>
  <c r="EF33" i="4" a="1"/>
  <c r="EF33" i="4"/>
  <c r="EE33" i="4" a="1"/>
  <c r="EE33" i="4" s="1"/>
  <c r="ED33" i="4" a="1"/>
  <c r="ED33" i="4" s="1"/>
  <c r="EC33" i="4" a="1"/>
  <c r="EC33" i="4" s="1"/>
  <c r="EB33" i="4" a="1"/>
  <c r="EB33" i="4" s="1"/>
  <c r="EA33" i="4" a="1"/>
  <c r="EA33" i="4"/>
  <c r="DZ33" i="4" a="1"/>
  <c r="DZ33" i="4"/>
  <c r="DY33" i="4" a="1"/>
  <c r="DY33" i="4" s="1"/>
  <c r="DX33" i="4" a="1"/>
  <c r="DX33" i="4" s="1"/>
  <c r="DW33" i="4" a="1"/>
  <c r="DW33" i="4"/>
  <c r="DV33" i="4" a="1"/>
  <c r="DV33" i="4" s="1"/>
  <c r="DU33" i="4" a="1"/>
  <c r="DU33" i="4" s="1"/>
  <c r="DT33" i="4"/>
  <c r="DR33" i="4" a="1"/>
  <c r="DR33" i="4" s="1"/>
  <c r="DQ33" i="4" a="1"/>
  <c r="DQ33" i="4"/>
  <c r="DP33" i="4" a="1"/>
  <c r="DP33" i="4"/>
  <c r="DO33" i="4" a="1"/>
  <c r="DO33" i="4" s="1"/>
  <c r="DN33" i="4" a="1"/>
  <c r="DN33" i="4" s="1"/>
  <c r="DM33" i="4" a="1"/>
  <c r="DM33" i="4" s="1"/>
  <c r="DL33" i="4" a="1"/>
  <c r="DL33" i="4" s="1"/>
  <c r="DI33" i="4" a="1"/>
  <c r="DI33" i="4"/>
  <c r="DH33" i="4" a="1"/>
  <c r="DH33" i="4"/>
  <c r="DG33" i="4" a="1"/>
  <c r="DG33" i="4" s="1"/>
  <c r="DF33" i="4" a="1"/>
  <c r="DF33" i="4" s="1"/>
  <c r="DE33" i="4" a="1"/>
  <c r="DE33" i="4"/>
  <c r="DD33" i="4" a="1"/>
  <c r="DD33" i="4"/>
  <c r="DC33" i="4" a="1"/>
  <c r="DC33" i="4"/>
  <c r="DB33" i="4"/>
  <c r="CQ33" i="4"/>
  <c r="CP33" i="4"/>
  <c r="CN33" i="4"/>
  <c r="CK33" i="4"/>
  <c r="CH33" i="4"/>
  <c r="D33" i="4" a="1"/>
  <c r="D33" i="4" s="1"/>
  <c r="EJ32" i="4" a="1"/>
  <c r="EJ32" i="4" s="1"/>
  <c r="EI32" i="4" a="1"/>
  <c r="EI32" i="4" s="1"/>
  <c r="EH32" i="4" a="1"/>
  <c r="EH32" i="4" s="1"/>
  <c r="EG32" i="4" a="1"/>
  <c r="EG32" i="4"/>
  <c r="EF32" i="4" a="1"/>
  <c r="EF32" i="4"/>
  <c r="EE32" i="4" a="1"/>
  <c r="EE32" i="4"/>
  <c r="ED32" i="4" a="1"/>
  <c r="ED32" i="4" s="1"/>
  <c r="EC32" i="4" a="1"/>
  <c r="EC32" i="4" s="1"/>
  <c r="EB32" i="4" a="1"/>
  <c r="EB32" i="4" s="1"/>
  <c r="EA32" i="4" a="1"/>
  <c r="EA32" i="4"/>
  <c r="DZ32" i="4" a="1"/>
  <c r="DZ32" i="4" s="1"/>
  <c r="DY32" i="4" a="1"/>
  <c r="DY32" i="4" s="1"/>
  <c r="DX32" i="4" a="1"/>
  <c r="DX32" i="4" s="1"/>
  <c r="DW32" i="4" a="1"/>
  <c r="DW32" i="4" s="1"/>
  <c r="DV32" i="4" a="1"/>
  <c r="DV32" i="4" s="1"/>
  <c r="DU32" i="4" a="1"/>
  <c r="DU32" i="4"/>
  <c r="DT32" i="4"/>
  <c r="DR32" i="4" a="1"/>
  <c r="DR32" i="4"/>
  <c r="DQ32" i="4" a="1"/>
  <c r="DQ32" i="4"/>
  <c r="DP32" i="4" a="1"/>
  <c r="DP32" i="4"/>
  <c r="DO32" i="4" a="1"/>
  <c r="DO32" i="4"/>
  <c r="DN32" i="4" a="1"/>
  <c r="DN32" i="4"/>
  <c r="DM32" i="4" a="1"/>
  <c r="DM32" i="4" s="1"/>
  <c r="DL32" i="4" a="1"/>
  <c r="DL32" i="4"/>
  <c r="DK32" i="4" a="1"/>
  <c r="DK32" i="4" s="1"/>
  <c r="DJ32" i="4" a="1"/>
  <c r="DJ32" i="4" s="1"/>
  <c r="DI32" i="4" a="1"/>
  <c r="DI32" i="4"/>
  <c r="DH32" i="4" a="1"/>
  <c r="DH32" i="4"/>
  <c r="DG32" i="4" a="1"/>
  <c r="DG32" i="4" s="1"/>
  <c r="DF32" i="4" a="1"/>
  <c r="DF32" i="4"/>
  <c r="DE32" i="4" a="1"/>
  <c r="DE32" i="4"/>
  <c r="DD32" i="4" a="1"/>
  <c r="DD32" i="4" s="1"/>
  <c r="DC32" i="4" a="1"/>
  <c r="DC32" i="4"/>
  <c r="DB32" i="4"/>
  <c r="CQ32" i="4"/>
  <c r="CP32" i="4"/>
  <c r="CN32" i="4"/>
  <c r="CK32" i="4"/>
  <c r="CH32" i="4"/>
  <c r="CG32" i="4"/>
  <c r="D32" i="4" a="1"/>
  <c r="D32" i="4"/>
  <c r="EJ31" i="4" a="1"/>
  <c r="EJ31" i="4"/>
  <c r="EI31" i="4" a="1"/>
  <c r="EI31" i="4"/>
  <c r="EH31" i="4" a="1"/>
  <c r="EH31" i="4"/>
  <c r="EG31" i="4" a="1"/>
  <c r="EG31" i="4" s="1"/>
  <c r="EF31" i="4" a="1"/>
  <c r="EF31" i="4" s="1"/>
  <c r="ED31" i="4" a="1"/>
  <c r="ED31" i="4"/>
  <c r="EC31" i="4" a="1"/>
  <c r="EC31" i="4"/>
  <c r="EB31" i="4" a="1"/>
  <c r="EB31" i="4"/>
  <c r="EA31" i="4" a="1"/>
  <c r="EA31" i="4" s="1"/>
  <c r="DZ31" i="4" a="1"/>
  <c r="DZ31" i="4" s="1"/>
  <c r="DY31" i="4" a="1"/>
  <c r="DY31" i="4" s="1"/>
  <c r="DX31" i="4" a="1"/>
  <c r="DX31" i="4" s="1"/>
  <c r="DW31" i="4" a="1"/>
  <c r="DW31" i="4"/>
  <c r="DV31" i="4" a="1"/>
  <c r="DV31" i="4"/>
  <c r="DU31" i="4" a="1"/>
  <c r="DU31" i="4" s="1"/>
  <c r="DT31" i="4"/>
  <c r="DR31" i="4" a="1"/>
  <c r="DR31" i="4"/>
  <c r="DQ31" i="4" a="1"/>
  <c r="DQ31" i="4" s="1"/>
  <c r="DP31" i="4" a="1"/>
  <c r="DP31" i="4" s="1"/>
  <c r="DO31" i="4" a="1"/>
  <c r="DO31" i="4"/>
  <c r="DN31" i="4" a="1"/>
  <c r="DN31" i="4"/>
  <c r="DM31" i="4" a="1"/>
  <c r="DM31" i="4"/>
  <c r="DL31" i="4" a="1"/>
  <c r="DL31" i="4"/>
  <c r="DK31" i="4" a="1"/>
  <c r="DK31" i="4" s="1"/>
  <c r="DI31" i="4" a="1"/>
  <c r="DI31" i="4"/>
  <c r="DH31" i="4" a="1"/>
  <c r="DH31" i="4"/>
  <c r="DG31" i="4" a="1"/>
  <c r="DG31" i="4"/>
  <c r="DF31" i="4" a="1"/>
  <c r="DF31" i="4"/>
  <c r="DE31" i="4" a="1"/>
  <c r="DE31" i="4" s="1"/>
  <c r="DD31" i="4" a="1"/>
  <c r="DD31" i="4" s="1"/>
  <c r="DC31" i="4" a="1"/>
  <c r="DC31" i="4"/>
  <c r="DB31" i="4"/>
  <c r="CQ31" i="4"/>
  <c r="CP31" i="4"/>
  <c r="CN31" i="4"/>
  <c r="CK31" i="4"/>
  <c r="CH31" i="4"/>
  <c r="D31" i="4" a="1"/>
  <c r="D31" i="4"/>
  <c r="CV31" i="4" s="1"/>
  <c r="EJ30" i="4" a="1"/>
  <c r="EJ30" i="4" s="1"/>
  <c r="EI30" i="4" a="1"/>
  <c r="EI30" i="4"/>
  <c r="EH30" i="4" a="1"/>
  <c r="EH30" i="4" s="1"/>
  <c r="EG30" i="4" a="1"/>
  <c r="EG30" i="4" s="1"/>
  <c r="EF30" i="4" a="1"/>
  <c r="EF30" i="4" s="1"/>
  <c r="EE30" i="4" a="1"/>
  <c r="EE30" i="4" s="1"/>
  <c r="ED30" i="4" a="1"/>
  <c r="ED30" i="4" s="1"/>
  <c r="EC30" i="4" a="1"/>
  <c r="EC30" i="4"/>
  <c r="EA30" i="4" a="1"/>
  <c r="EA30" i="4" s="1"/>
  <c r="DZ30" i="4" a="1"/>
  <c r="DZ30" i="4" s="1"/>
  <c r="DY30" i="4" a="1"/>
  <c r="DY30" i="4" s="1"/>
  <c r="DX30" i="4" a="1"/>
  <c r="DX30" i="4" s="1"/>
  <c r="DW30" i="4" a="1"/>
  <c r="DW30" i="4"/>
  <c r="DV30" i="4" a="1"/>
  <c r="DV30" i="4"/>
  <c r="DU30" i="4" a="1"/>
  <c r="DU30" i="4"/>
  <c r="DT30" i="4"/>
  <c r="DR30" i="4" a="1"/>
  <c r="DR30" i="4"/>
  <c r="DQ30" i="4" a="1"/>
  <c r="DQ30" i="4"/>
  <c r="DP30" i="4" a="1"/>
  <c r="DP30" i="4"/>
  <c r="DO30" i="4" a="1"/>
  <c r="DO30" i="4" s="1"/>
  <c r="DM30" i="4" a="1"/>
  <c r="DM30" i="4"/>
  <c r="DL30" i="4" a="1"/>
  <c r="DL30" i="4"/>
  <c r="DK30" i="4" a="1"/>
  <c r="DK30" i="4"/>
  <c r="DJ30" i="4" a="1"/>
  <c r="DJ30" i="4"/>
  <c r="DI30" i="4" a="1"/>
  <c r="DI30" i="4" s="1"/>
  <c r="DH30" i="4" a="1"/>
  <c r="DH30" i="4"/>
  <c r="DG30" i="4" a="1"/>
  <c r="DG30" i="4" s="1"/>
  <c r="DF30" i="4" a="1"/>
  <c r="DF30" i="4"/>
  <c r="DE30" i="4" a="1"/>
  <c r="DE30" i="4"/>
  <c r="DD30" i="4" a="1"/>
  <c r="DD30" i="4"/>
  <c r="DC30" i="4" a="1"/>
  <c r="DC30" i="4" s="1"/>
  <c r="DB30" i="4"/>
  <c r="CQ30" i="4"/>
  <c r="CP30" i="4"/>
  <c r="CN30" i="4"/>
  <c r="CK30" i="4"/>
  <c r="CH30" i="4"/>
  <c r="D30" i="4" a="1"/>
  <c r="D30" i="4" s="1"/>
  <c r="EJ29" i="4" a="1"/>
  <c r="EJ29" i="4" s="1"/>
  <c r="EI29" i="4" a="1"/>
  <c r="EI29" i="4" s="1"/>
  <c r="EH29" i="4" a="1"/>
  <c r="EH29" i="4" s="1"/>
  <c r="EG29" i="4" a="1"/>
  <c r="EG29" i="4"/>
  <c r="EF29" i="4" a="1"/>
  <c r="EF29" i="4"/>
  <c r="EE29" i="4" a="1"/>
  <c r="EE29" i="4" s="1"/>
  <c r="ED29" i="4" a="1"/>
  <c r="ED29" i="4" s="1"/>
  <c r="EC29" i="4" a="1"/>
  <c r="EC29" i="4" s="1"/>
  <c r="EA29" i="4" a="1"/>
  <c r="EA29" i="4" s="1"/>
  <c r="DZ29" i="4" a="1"/>
  <c r="DZ29" i="4"/>
  <c r="DY29" i="4" a="1"/>
  <c r="DY29" i="4"/>
  <c r="DX29" i="4" a="1"/>
  <c r="DX29" i="4" s="1"/>
  <c r="DW29" i="4" a="1"/>
  <c r="DW29" i="4" s="1"/>
  <c r="DV29" i="4" a="1"/>
  <c r="DV29" i="4" s="1"/>
  <c r="DU29" i="4" a="1"/>
  <c r="DU29" i="4" s="1"/>
  <c r="DT29" i="4"/>
  <c r="DR29" i="4" a="1"/>
  <c r="DR29" i="4"/>
  <c r="DQ29" i="4" a="1"/>
  <c r="DQ29" i="4" s="1"/>
  <c r="DP29" i="4" a="1"/>
  <c r="DP29" i="4" s="1"/>
  <c r="DO29" i="4" a="1"/>
  <c r="DO29" i="4"/>
  <c r="DN29" i="4" a="1"/>
  <c r="DN29" i="4"/>
  <c r="DM29" i="4" a="1"/>
  <c r="DM29" i="4" s="1"/>
  <c r="DL29" i="4" a="1"/>
  <c r="DL29" i="4" s="1"/>
  <c r="DK29" i="4" a="1"/>
  <c r="DK29" i="4" s="1"/>
  <c r="DJ29" i="4" a="1"/>
  <c r="DJ29" i="4" s="1"/>
  <c r="DI29" i="4" a="1"/>
  <c r="DI29" i="4"/>
  <c r="DH29" i="4" a="1"/>
  <c r="DH29" i="4"/>
  <c r="DG29" i="4" a="1"/>
  <c r="DG29" i="4" s="1"/>
  <c r="DF29" i="4" a="1"/>
  <c r="DF29" i="4"/>
  <c r="DE29" i="4" a="1"/>
  <c r="DE29" i="4" s="1"/>
  <c r="DD29" i="4" a="1"/>
  <c r="DD29" i="4"/>
  <c r="DC29" i="4" a="1"/>
  <c r="DC29" i="4"/>
  <c r="DB29" i="4"/>
  <c r="CQ29" i="4"/>
  <c r="CP29" i="4"/>
  <c r="CN29" i="4"/>
  <c r="CK29" i="4"/>
  <c r="CH29" i="4"/>
  <c r="D29" i="4" a="1"/>
  <c r="D29" i="4"/>
  <c r="EJ28" i="4" a="1"/>
  <c r="EJ28" i="4" s="1"/>
  <c r="EI28" i="4" a="1"/>
  <c r="EI28" i="4" s="1"/>
  <c r="EH28" i="4" a="1"/>
  <c r="EH28" i="4" s="1"/>
  <c r="EG28" i="4" a="1"/>
  <c r="EG28" i="4" s="1"/>
  <c r="EF28" i="4" a="1"/>
  <c r="EF28" i="4" s="1"/>
  <c r="EE28" i="4" a="1"/>
  <c r="EE28" i="4"/>
  <c r="ED28" i="4" a="1"/>
  <c r="ED28" i="4"/>
  <c r="EC28" i="4" a="1"/>
  <c r="EC28" i="4" s="1"/>
  <c r="EA28" i="4" a="1"/>
  <c r="EA28" i="4" s="1"/>
  <c r="DZ28" i="4" a="1"/>
  <c r="DZ28" i="4" s="1"/>
  <c r="DY28" i="4" a="1"/>
  <c r="DY28" i="4" s="1"/>
  <c r="DX28" i="4" a="1"/>
  <c r="DX28" i="4" s="1"/>
  <c r="DW28" i="4" a="1"/>
  <c r="DW28" i="4" s="1"/>
  <c r="DV28" i="4" a="1"/>
  <c r="DV28" i="4"/>
  <c r="DU28" i="4" a="1"/>
  <c r="DU28" i="4" s="1"/>
  <c r="DT28" i="4"/>
  <c r="DR28" i="4" a="1"/>
  <c r="DR28" i="4"/>
  <c r="DQ28" i="4" a="1"/>
  <c r="DQ28" i="4" s="1"/>
  <c r="DP28" i="4" a="1"/>
  <c r="DP28" i="4" s="1"/>
  <c r="DO28" i="4" a="1"/>
  <c r="DO28" i="4"/>
  <c r="DN28" i="4" a="1"/>
  <c r="DN28" i="4"/>
  <c r="DL28" i="4" a="1"/>
  <c r="DL28" i="4"/>
  <c r="DK28" i="4" a="1"/>
  <c r="DK28" i="4"/>
  <c r="DJ28" i="4" a="1"/>
  <c r="DJ28" i="4"/>
  <c r="DI28" i="4" a="1"/>
  <c r="DI28" i="4" s="1"/>
  <c r="DH28" i="4" a="1"/>
  <c r="DH28" i="4" s="1"/>
  <c r="DG28" i="4" a="1"/>
  <c r="DG28" i="4"/>
  <c r="DF28" i="4" a="1"/>
  <c r="DF28" i="4"/>
  <c r="DE28" i="4" a="1"/>
  <c r="DE28" i="4"/>
  <c r="DD28" i="4" a="1"/>
  <c r="DD28" i="4"/>
  <c r="DC28" i="4" a="1"/>
  <c r="DC28" i="4" s="1"/>
  <c r="DB28" i="4"/>
  <c r="CQ28" i="4"/>
  <c r="CP28" i="4"/>
  <c r="CN28" i="4"/>
  <c r="CK28" i="4"/>
  <c r="CH28" i="4"/>
  <c r="D28" i="4" a="1"/>
  <c r="D28" i="4" s="1"/>
  <c r="EJ27" i="4" a="1"/>
  <c r="EJ27" i="4" s="1"/>
  <c r="EI27" i="4" a="1"/>
  <c r="EI27" i="4" s="1"/>
  <c r="EH27" i="4" a="1"/>
  <c r="EH27" i="4" s="1"/>
  <c r="EG27" i="4" a="1"/>
  <c r="EG27" i="4" s="1"/>
  <c r="EF27" i="4" a="1"/>
  <c r="EF27" i="4"/>
  <c r="EE27" i="4" a="1"/>
  <c r="EE27" i="4" s="1"/>
  <c r="ED27" i="4" a="1"/>
  <c r="ED27" i="4" s="1"/>
  <c r="EC27" i="4" a="1"/>
  <c r="EC27" i="4" s="1"/>
  <c r="EB27" i="4" a="1"/>
  <c r="EB27" i="4" s="1"/>
  <c r="EA27" i="4" a="1"/>
  <c r="EA27" i="4"/>
  <c r="DZ27" i="4" a="1"/>
  <c r="DZ27" i="4"/>
  <c r="DY27" i="4" a="1"/>
  <c r="DY27" i="4" s="1"/>
  <c r="DX27" i="4" a="1"/>
  <c r="DX27" i="4" s="1"/>
  <c r="DW27" i="4" a="1"/>
  <c r="DW27" i="4" s="1"/>
  <c r="DV27" i="4" a="1"/>
  <c r="DV27" i="4" s="1"/>
  <c r="DU27" i="4" a="1"/>
  <c r="DU27" i="4"/>
  <c r="DT27" i="4"/>
  <c r="DR27" i="4" a="1"/>
  <c r="DR27" i="4"/>
  <c r="DQ27" i="4" a="1"/>
  <c r="DQ27" i="4"/>
  <c r="DP27" i="4" a="1"/>
  <c r="DP27" i="4"/>
  <c r="DO27" i="4" a="1"/>
  <c r="DO27" i="4" s="1"/>
  <c r="DN27" i="4" a="1"/>
  <c r="DN27" i="4"/>
  <c r="DM27" i="4" a="1"/>
  <c r="DM27" i="4" s="1"/>
  <c r="DL27" i="4" a="1"/>
  <c r="DL27" i="4"/>
  <c r="DK27" i="4" a="1"/>
  <c r="DK27" i="4"/>
  <c r="DI27" i="4" a="1"/>
  <c r="DI27" i="4" s="1"/>
  <c r="DH27" i="4" a="1"/>
  <c r="DH27" i="4" s="1"/>
  <c r="DG27" i="4" a="1"/>
  <c r="DG27" i="4"/>
  <c r="DF27" i="4" a="1"/>
  <c r="DF27" i="4"/>
  <c r="DE27" i="4" a="1"/>
  <c r="DE27" i="4"/>
  <c r="DD27" i="4" a="1"/>
  <c r="DD27" i="4"/>
  <c r="DC27" i="4" a="1"/>
  <c r="DC27" i="4"/>
  <c r="DB27" i="4"/>
  <c r="CQ27" i="4"/>
  <c r="CP27" i="4"/>
  <c r="CN27" i="4"/>
  <c r="CK27" i="4"/>
  <c r="CH27" i="4"/>
  <c r="D27" i="4" a="1"/>
  <c r="D27" i="4"/>
  <c r="EJ26" i="4" a="1"/>
  <c r="EJ26" i="4"/>
  <c r="EI26" i="4" a="1"/>
  <c r="EI26" i="4" s="1"/>
  <c r="EH26" i="4" a="1"/>
  <c r="EH26" i="4"/>
  <c r="EG26" i="4" a="1"/>
  <c r="EG26" i="4"/>
  <c r="EF26" i="4" a="1"/>
  <c r="EF26" i="4" s="1"/>
  <c r="EE26" i="4" a="1"/>
  <c r="EE26" i="4"/>
  <c r="ED26" i="4" a="1"/>
  <c r="ED26" i="4"/>
  <c r="EC26" i="4" a="1"/>
  <c r="EC26" i="4" s="1"/>
  <c r="EB26" i="4" a="1"/>
  <c r="EB26" i="4"/>
  <c r="EA26" i="4" a="1"/>
  <c r="EA26" i="4"/>
  <c r="DZ26" i="4" a="1"/>
  <c r="DZ26" i="4" s="1"/>
  <c r="DY26" i="4" a="1"/>
  <c r="DY26" i="4"/>
  <c r="DX26" i="4" a="1"/>
  <c r="DX26" i="4"/>
  <c r="DW26" i="4" a="1"/>
  <c r="DW26" i="4" s="1"/>
  <c r="DV26" i="4" a="1"/>
  <c r="DV26" i="4"/>
  <c r="DU26" i="4" a="1"/>
  <c r="DU26" i="4"/>
  <c r="DT26" i="4"/>
  <c r="DR26" i="4" a="1"/>
  <c r="DR26" i="4"/>
  <c r="DQ26" i="4" a="1"/>
  <c r="DQ26" i="4" s="1"/>
  <c r="DP26" i="4" a="1"/>
  <c r="DP26" i="4" s="1"/>
  <c r="DO26" i="4" a="1"/>
  <c r="DO26" i="4" s="1"/>
  <c r="DN26" i="4" a="1"/>
  <c r="DN26" i="4" s="1"/>
  <c r="DM26" i="4" a="1"/>
  <c r="DM26" i="4" s="1"/>
  <c r="DL26" i="4" a="1"/>
  <c r="DL26" i="4" s="1"/>
  <c r="DK26" i="4" a="1"/>
  <c r="DK26" i="4"/>
  <c r="DJ26" i="4" a="1"/>
  <c r="DJ26" i="4"/>
  <c r="DI26" i="4" a="1"/>
  <c r="DI26" i="4" s="1"/>
  <c r="DH26" i="4" a="1"/>
  <c r="DH26" i="4" s="1"/>
  <c r="DG26" i="4" a="1"/>
  <c r="DG26" i="4" s="1"/>
  <c r="DF26" i="4" a="1"/>
  <c r="DF26" i="4" s="1"/>
  <c r="DE26" i="4" a="1"/>
  <c r="DE26" i="4"/>
  <c r="DD26" i="4" a="1"/>
  <c r="DD26" i="4"/>
  <c r="DC26" i="4" a="1"/>
  <c r="DC26" i="4" s="1"/>
  <c r="DB26" i="4"/>
  <c r="CQ26" i="4"/>
  <c r="CP26" i="4"/>
  <c r="CN26" i="4"/>
  <c r="CK26" i="4"/>
  <c r="CH26" i="4"/>
  <c r="D26" i="4" a="1"/>
  <c r="D26" i="4" s="1"/>
  <c r="EJ25" i="4" a="1"/>
  <c r="EJ25" i="4" s="1"/>
  <c r="EI25" i="4" a="1"/>
  <c r="EI25" i="4" s="1"/>
  <c r="EH25" i="4" a="1"/>
  <c r="EH25" i="4" s="1"/>
  <c r="EG25" i="4" a="1"/>
  <c r="EG25" i="4"/>
  <c r="EF25" i="4" a="1"/>
  <c r="EF25" i="4"/>
  <c r="EE25" i="4" a="1"/>
  <c r="EE25" i="4" s="1"/>
  <c r="ED25" i="4" a="1"/>
  <c r="ED25" i="4" s="1"/>
  <c r="EC25" i="4" a="1"/>
  <c r="EC25" i="4" s="1"/>
  <c r="EA25" i="4" a="1"/>
  <c r="EA25" i="4"/>
  <c r="DZ25" i="4" a="1"/>
  <c r="DZ25" i="4"/>
  <c r="DY25" i="4" a="1"/>
  <c r="DY25" i="4" s="1"/>
  <c r="DX25" i="4" a="1"/>
  <c r="DX25" i="4" s="1"/>
  <c r="DW25" i="4" a="1"/>
  <c r="DW25" i="4" s="1"/>
  <c r="DV25" i="4" a="1"/>
  <c r="DV25" i="4" s="1"/>
  <c r="DU25" i="4" a="1"/>
  <c r="DU25" i="4"/>
  <c r="DT25" i="4"/>
  <c r="DR25" i="4" a="1"/>
  <c r="DR25" i="4"/>
  <c r="DQ25" i="4" a="1"/>
  <c r="DQ25" i="4"/>
  <c r="DP25" i="4" a="1"/>
  <c r="DP25" i="4"/>
  <c r="DO25" i="4" a="1"/>
  <c r="DO25" i="4" s="1"/>
  <c r="DM25" i="4" a="1"/>
  <c r="DM25" i="4"/>
  <c r="DL25" i="4" a="1"/>
  <c r="DL25" i="4" s="1"/>
  <c r="DK25" i="4" a="1"/>
  <c r="DK25" i="4"/>
  <c r="DJ25" i="4" a="1"/>
  <c r="DJ25" i="4"/>
  <c r="DI25" i="4" a="1"/>
  <c r="DI25" i="4" s="1"/>
  <c r="DH25" i="4" a="1"/>
  <c r="DH25" i="4"/>
  <c r="DG25" i="4" a="1"/>
  <c r="DG25" i="4" s="1"/>
  <c r="DF25" i="4" a="1"/>
  <c r="DF25" i="4" s="1"/>
  <c r="DE25" i="4" a="1"/>
  <c r="DE25" i="4"/>
  <c r="DD25" i="4" a="1"/>
  <c r="DD25" i="4"/>
  <c r="DC25" i="4" a="1"/>
  <c r="DC25" i="4"/>
  <c r="DB25" i="4"/>
  <c r="CQ25" i="4"/>
  <c r="CP25" i="4"/>
  <c r="CN25" i="4"/>
  <c r="CM25" i="4"/>
  <c r="CK25" i="4"/>
  <c r="CH25" i="4"/>
  <c r="D25" i="4" a="1"/>
  <c r="D25" i="4"/>
  <c r="CV25" i="4" s="1"/>
  <c r="EJ24" i="4" a="1"/>
  <c r="EJ24" i="4"/>
  <c r="EI24" i="4" a="1"/>
  <c r="EI24" i="4" s="1"/>
  <c r="EH24" i="4" a="1"/>
  <c r="EH24" i="4" s="1"/>
  <c r="EG24" i="4" a="1"/>
  <c r="EG24" i="4" s="1"/>
  <c r="EF24" i="4" a="1"/>
  <c r="EF24" i="4" s="1"/>
  <c r="EE24" i="4" a="1"/>
  <c r="EE24" i="4" s="1"/>
  <c r="ED24" i="4" a="1"/>
  <c r="ED24" i="4" s="1"/>
  <c r="EC24" i="4" a="1"/>
  <c r="EC24" i="4" s="1"/>
  <c r="EB24" i="4" a="1"/>
  <c r="EB24" i="4" s="1"/>
  <c r="EA24" i="4" a="1"/>
  <c r="EA24" i="4"/>
  <c r="DZ24" i="4" a="1"/>
  <c r="DZ24" i="4" s="1"/>
  <c r="DY24" i="4" a="1"/>
  <c r="DY24" i="4" s="1"/>
  <c r="DX24" i="4" a="1"/>
  <c r="DX24" i="4" s="1"/>
  <c r="DW24" i="4" a="1"/>
  <c r="DW24" i="4" s="1"/>
  <c r="DV24" i="4" a="1"/>
  <c r="DV24" i="4" s="1"/>
  <c r="DU24" i="4" a="1"/>
  <c r="DU24" i="4"/>
  <c r="DT24" i="4"/>
  <c r="DR24" i="4" a="1"/>
  <c r="DR24" i="4" s="1"/>
  <c r="DQ24" i="4" a="1"/>
  <c r="DQ24" i="4"/>
  <c r="DP24" i="4" a="1"/>
  <c r="DP24" i="4"/>
  <c r="DO24" i="4" a="1"/>
  <c r="DO24" i="4"/>
  <c r="DN24" i="4" a="1"/>
  <c r="DN24" i="4"/>
  <c r="DM24" i="4" a="1"/>
  <c r="DM24" i="4" s="1"/>
  <c r="DL24" i="4" a="1"/>
  <c r="DL24" i="4" s="1"/>
  <c r="DK24" i="4" a="1"/>
  <c r="DK24" i="4"/>
  <c r="DI24" i="4" a="1"/>
  <c r="DI24" i="4"/>
  <c r="DH24" i="4" a="1"/>
  <c r="DH24" i="4"/>
  <c r="DG24" i="4" a="1"/>
  <c r="DG24" i="4"/>
  <c r="DF24" i="4" a="1"/>
  <c r="DF24" i="4"/>
  <c r="DE24" i="4" a="1"/>
  <c r="DE24" i="4"/>
  <c r="DD24" i="4" a="1"/>
  <c r="DD24" i="4"/>
  <c r="DC24" i="4" a="1"/>
  <c r="DC24" i="4"/>
  <c r="DB24" i="4"/>
  <c r="CQ24" i="4"/>
  <c r="CP24" i="4"/>
  <c r="CN24" i="4"/>
  <c r="CM24" i="4"/>
  <c r="CK24" i="4"/>
  <c r="CJ24" i="4"/>
  <c r="CH24" i="4"/>
  <c r="D24" i="4" a="1"/>
  <c r="D24" i="4"/>
  <c r="EJ23" i="4" a="1"/>
  <c r="EJ23" i="4" s="1"/>
  <c r="EI23" i="4" a="1"/>
  <c r="EI23" i="4" s="1"/>
  <c r="EH23" i="4" a="1"/>
  <c r="EH23" i="4"/>
  <c r="EG23" i="4" a="1"/>
  <c r="EG23" i="4"/>
  <c r="EF23" i="4" a="1"/>
  <c r="EF23" i="4" s="1"/>
  <c r="EE23" i="4" a="1"/>
  <c r="EE23" i="4" s="1"/>
  <c r="ED23" i="4" a="1"/>
  <c r="ED23" i="4" s="1"/>
  <c r="EC23" i="4" a="1"/>
  <c r="EC23" i="4" s="1"/>
  <c r="EA23" i="4" a="1"/>
  <c r="EA23" i="4" s="1"/>
  <c r="DZ23" i="4" a="1"/>
  <c r="DZ23" i="4" s="1"/>
  <c r="DY23" i="4" a="1"/>
  <c r="DY23" i="4" s="1"/>
  <c r="DX23" i="4" a="1"/>
  <c r="DX23" i="4"/>
  <c r="DW23" i="4" a="1"/>
  <c r="DW23" i="4" s="1"/>
  <c r="DV23" i="4" a="1"/>
  <c r="DV23" i="4" s="1"/>
  <c r="DU23" i="4" a="1"/>
  <c r="DU23" i="4"/>
  <c r="DT23" i="4"/>
  <c r="DR23" i="4" a="1"/>
  <c r="DR23" i="4"/>
  <c r="DQ23" i="4" a="1"/>
  <c r="DQ23" i="4"/>
  <c r="DP23" i="4" a="1"/>
  <c r="DP23" i="4" s="1"/>
  <c r="DO23" i="4" a="1"/>
  <c r="DO23" i="4"/>
  <c r="DN23" i="4" a="1"/>
  <c r="DN23" i="4"/>
  <c r="DM23" i="4" a="1"/>
  <c r="DM23" i="4" s="1"/>
  <c r="DL23" i="4" a="1"/>
  <c r="DL23" i="4"/>
  <c r="DK23" i="4" a="1"/>
  <c r="DK23" i="4"/>
  <c r="DJ23" i="4" a="1"/>
  <c r="DJ23" i="4" s="1"/>
  <c r="DI23" i="4" a="1"/>
  <c r="DI23" i="4"/>
  <c r="DH23" i="4" a="1"/>
  <c r="DH23" i="4"/>
  <c r="DG23" i="4" a="1"/>
  <c r="DG23" i="4" s="1"/>
  <c r="DF23" i="4" a="1"/>
  <c r="DF23" i="4"/>
  <c r="DE23" i="4" a="1"/>
  <c r="DE23" i="4"/>
  <c r="DD23" i="4" a="1"/>
  <c r="DD23" i="4" s="1"/>
  <c r="DC23" i="4" a="1"/>
  <c r="DC23" i="4"/>
  <c r="DB23" i="4"/>
  <c r="CZ23" i="4"/>
  <c r="CQ23" i="4"/>
  <c r="CP23" i="4"/>
  <c r="CN23" i="4"/>
  <c r="CK23" i="4"/>
  <c r="CH23" i="4"/>
  <c r="D23" i="4" a="1"/>
  <c r="D23" i="4"/>
  <c r="EJ22" i="4" a="1"/>
  <c r="EJ22" i="4"/>
  <c r="EI22" i="4" a="1"/>
  <c r="EI22" i="4" s="1"/>
  <c r="EH22" i="4" a="1"/>
  <c r="EH22" i="4" s="1"/>
  <c r="EG22" i="4" a="1"/>
  <c r="EG22" i="4"/>
  <c r="EF22" i="4" a="1"/>
  <c r="EF22" i="4"/>
  <c r="EE22" i="4" a="1"/>
  <c r="EE22" i="4" s="1"/>
  <c r="ED22" i="4" a="1"/>
  <c r="ED22" i="4" s="1"/>
  <c r="EC22" i="4" a="1"/>
  <c r="EC22" i="4" s="1"/>
  <c r="EB22" i="4" a="1"/>
  <c r="EB22" i="4" s="1"/>
  <c r="EA22" i="4" a="1"/>
  <c r="EA22" i="4"/>
  <c r="DZ22" i="4" a="1"/>
  <c r="DZ22" i="4"/>
  <c r="DY22" i="4" a="1"/>
  <c r="DY22" i="4"/>
  <c r="DX22" i="4" a="1"/>
  <c r="DX22" i="4" s="1"/>
  <c r="DW22" i="4" a="1"/>
  <c r="DW22" i="4" s="1"/>
  <c r="DV22" i="4" a="1"/>
  <c r="DV22" i="4" s="1"/>
  <c r="DU22" i="4" a="1"/>
  <c r="DU22" i="4"/>
  <c r="DT22" i="4"/>
  <c r="DR22" i="4" a="1"/>
  <c r="DR22" i="4" s="1"/>
  <c r="DQ22" i="4" a="1"/>
  <c r="DQ22" i="4" s="1"/>
  <c r="DP22" i="4" a="1"/>
  <c r="DP22" i="4"/>
  <c r="DO22" i="4" a="1"/>
  <c r="DO22" i="4"/>
  <c r="DN22" i="4" a="1"/>
  <c r="DN22" i="4"/>
  <c r="DM22" i="4" a="1"/>
  <c r="DM22" i="4" s="1"/>
  <c r="DL22" i="4" a="1"/>
  <c r="DL22" i="4" s="1"/>
  <c r="DK22" i="4" a="1"/>
  <c r="DK22" i="4"/>
  <c r="DI22" i="4" a="1"/>
  <c r="DI22" i="4"/>
  <c r="DH22" i="4" a="1"/>
  <c r="DH22" i="4"/>
  <c r="DG22" i="4" a="1"/>
  <c r="DG22" i="4" s="1"/>
  <c r="DF22" i="4" a="1"/>
  <c r="DF22" i="4" s="1"/>
  <c r="DE22" i="4" a="1"/>
  <c r="DE22" i="4"/>
  <c r="DD22" i="4" a="1"/>
  <c r="DD22" i="4"/>
  <c r="DC22" i="4" a="1"/>
  <c r="DC22" i="4"/>
  <c r="DB22" i="4"/>
  <c r="CZ22" i="4"/>
  <c r="CQ22" i="4"/>
  <c r="CP22" i="4"/>
  <c r="CN22" i="4"/>
  <c r="CM22" i="4"/>
  <c r="CK22" i="4"/>
  <c r="CH22" i="4"/>
  <c r="D22" i="4" a="1"/>
  <c r="D22" i="4"/>
  <c r="EJ21" i="4" a="1"/>
  <c r="EJ21" i="4" s="1"/>
  <c r="EI21" i="4" a="1"/>
  <c r="EI21" i="4"/>
  <c r="EH21" i="4" a="1"/>
  <c r="EH21" i="4"/>
  <c r="EG21" i="4" a="1"/>
  <c r="EG21" i="4"/>
  <c r="EF21" i="4" a="1"/>
  <c r="EF21" i="4" s="1"/>
  <c r="EE21" i="4" a="1"/>
  <c r="EE21" i="4" s="1"/>
  <c r="ED21" i="4" a="1"/>
  <c r="ED21" i="4" s="1"/>
  <c r="EC21" i="4" a="1"/>
  <c r="EC21" i="4" s="1"/>
  <c r="EA21" i="4" a="1"/>
  <c r="EA21" i="4"/>
  <c r="DZ21" i="4" a="1"/>
  <c r="DZ21" i="4" s="1"/>
  <c r="DY21" i="4" a="1"/>
  <c r="DY21" i="4" s="1"/>
  <c r="DX21" i="4" a="1"/>
  <c r="DX21" i="4"/>
  <c r="DW21" i="4" a="1"/>
  <c r="DW21" i="4" s="1"/>
  <c r="DV21" i="4" a="1"/>
  <c r="DV21" i="4" s="1"/>
  <c r="DU21" i="4" a="1"/>
  <c r="DU21" i="4"/>
  <c r="DT21" i="4"/>
  <c r="DR21" i="4" a="1"/>
  <c r="DR21" i="4"/>
  <c r="DQ21" i="4" a="1"/>
  <c r="DQ21" i="4"/>
  <c r="DP21" i="4" a="1"/>
  <c r="DP21" i="4" s="1"/>
  <c r="DO21" i="4" a="1"/>
  <c r="DO21" i="4"/>
  <c r="DM21" i="4" a="1"/>
  <c r="DM21" i="4" s="1"/>
  <c r="DL21" i="4" a="1"/>
  <c r="DL21" i="4"/>
  <c r="DK21" i="4" a="1"/>
  <c r="DK21" i="4"/>
  <c r="DJ21" i="4" a="1"/>
  <c r="DJ21" i="4"/>
  <c r="DI21" i="4" a="1"/>
  <c r="DI21" i="4"/>
  <c r="DH21" i="4" a="1"/>
  <c r="DH21" i="4"/>
  <c r="DG21" i="4" a="1"/>
  <c r="DG21" i="4" s="1"/>
  <c r="DF21" i="4" a="1"/>
  <c r="DF21" i="4"/>
  <c r="DE21" i="4" a="1"/>
  <c r="DE21" i="4"/>
  <c r="DD21" i="4" a="1"/>
  <c r="DD21" i="4" s="1"/>
  <c r="DC21" i="4" a="1"/>
  <c r="DC21" i="4"/>
  <c r="DB21" i="4"/>
  <c r="CZ21" i="4"/>
  <c r="CQ21" i="4"/>
  <c r="CP21" i="4"/>
  <c r="CN21" i="4"/>
  <c r="CK21" i="4"/>
  <c r="CH21" i="4"/>
  <c r="CG21" i="4"/>
  <c r="D21" i="4" a="1"/>
  <c r="D21" i="4"/>
  <c r="EJ20" i="4" a="1"/>
  <c r="EJ20" i="4"/>
  <c r="EI20" i="4" a="1"/>
  <c r="EI20" i="4" s="1"/>
  <c r="EH20" i="4" a="1"/>
  <c r="EH20" i="4" s="1"/>
  <c r="EG20" i="4" a="1"/>
  <c r="EG20" i="4" s="1"/>
  <c r="EF20" i="4" a="1"/>
  <c r="EF20" i="4"/>
  <c r="EE20" i="4" a="1"/>
  <c r="EE20" i="4" s="1"/>
  <c r="ED20" i="4" a="1"/>
  <c r="ED20" i="4" s="1"/>
  <c r="EC20" i="4" a="1"/>
  <c r="EC20" i="4" s="1"/>
  <c r="EB20" i="4" a="1"/>
  <c r="EB20" i="4" s="1"/>
  <c r="EA20" i="4" a="1"/>
  <c r="EA20" i="4"/>
  <c r="DZ20" i="4" a="1"/>
  <c r="DZ20" i="4"/>
  <c r="DY20" i="4" a="1"/>
  <c r="DY20" i="4" s="1"/>
  <c r="DX20" i="4" a="1"/>
  <c r="DX20" i="4" s="1"/>
  <c r="DW20" i="4" a="1"/>
  <c r="DW20" i="4" s="1"/>
  <c r="DV20" i="4" a="1"/>
  <c r="DV20" i="4" s="1"/>
  <c r="DU20" i="4" a="1"/>
  <c r="DU20" i="4"/>
  <c r="DT20" i="4"/>
  <c r="DR20" i="4" a="1"/>
  <c r="DR20" i="4"/>
  <c r="DQ20" i="4" a="1"/>
  <c r="DQ20" i="4"/>
  <c r="DP20" i="4" a="1"/>
  <c r="DP20" i="4" s="1"/>
  <c r="DO20" i="4" a="1"/>
  <c r="DO20" i="4"/>
  <c r="DN20" i="4" a="1"/>
  <c r="DN20" i="4"/>
  <c r="DM20" i="4" a="1"/>
  <c r="DM20" i="4" s="1"/>
  <c r="DL20" i="4" a="1"/>
  <c r="DL20" i="4"/>
  <c r="DK20" i="4" a="1"/>
  <c r="DK20" i="4"/>
  <c r="DI20" i="4" a="1"/>
  <c r="DI20" i="4"/>
  <c r="DH20" i="4" a="1"/>
  <c r="DH20" i="4"/>
  <c r="DG20" i="4" a="1"/>
  <c r="DG20" i="4" s="1"/>
  <c r="DF20" i="4" a="1"/>
  <c r="DF20" i="4"/>
  <c r="DE20" i="4" a="1"/>
  <c r="DE20" i="4"/>
  <c r="DD20" i="4" a="1"/>
  <c r="DD20" i="4"/>
  <c r="DC20" i="4" a="1"/>
  <c r="DC20" i="4"/>
  <c r="DB20" i="4"/>
  <c r="CZ20" i="4"/>
  <c r="EG41" i="4" s="1" a="1"/>
  <c r="CQ20" i="4"/>
  <c r="CP20" i="4"/>
  <c r="CN20" i="4"/>
  <c r="CK20" i="4"/>
  <c r="CI20" i="4"/>
  <c r="CH20" i="4"/>
  <c r="CG20" i="4"/>
  <c r="CR20" i="4" s="1"/>
  <c r="D20" i="4" a="1"/>
  <c r="D20" i="4"/>
  <c r="CV20" i="4" s="1"/>
  <c r="EJ19" i="4" a="1"/>
  <c r="EJ19" i="4" s="1"/>
  <c r="EI19" i="4" a="1"/>
  <c r="EI19" i="4" s="1"/>
  <c r="EH19" i="4" a="1"/>
  <c r="EH19" i="4" s="1"/>
  <c r="EG19" i="4" a="1"/>
  <c r="EG19" i="4" s="1"/>
  <c r="EF19" i="4" a="1"/>
  <c r="EF19" i="4" s="1"/>
  <c r="EE19" i="4" a="1"/>
  <c r="EE19" i="4" s="1"/>
  <c r="ED19" i="4" a="1"/>
  <c r="ED19" i="4"/>
  <c r="EC19" i="4" a="1"/>
  <c r="EC19" i="4" s="1"/>
  <c r="EA19" i="4" a="1"/>
  <c r="EA19" i="4"/>
  <c r="DZ19" i="4" a="1"/>
  <c r="DZ19" i="4" s="1"/>
  <c r="DY19" i="4" a="1"/>
  <c r="DY19" i="4" s="1"/>
  <c r="DX19" i="4" a="1"/>
  <c r="DX19" i="4" s="1"/>
  <c r="DW19" i="4" a="1"/>
  <c r="DW19" i="4"/>
  <c r="DV19" i="4" a="1"/>
  <c r="DV19" i="4" s="1"/>
  <c r="DU19" i="4" a="1"/>
  <c r="DU19" i="4" s="1"/>
  <c r="DT19" i="4"/>
  <c r="DR19" i="4" a="1"/>
  <c r="DR19" i="4"/>
  <c r="DQ19" i="4" a="1"/>
  <c r="DQ19" i="4"/>
  <c r="DP19" i="4" a="1"/>
  <c r="DP19" i="4"/>
  <c r="DO19" i="4" a="1"/>
  <c r="DO19" i="4"/>
  <c r="DN19" i="4" a="1"/>
  <c r="DN19" i="4"/>
  <c r="DM19" i="4" a="1"/>
  <c r="DM19" i="4"/>
  <c r="DL19" i="4" a="1"/>
  <c r="DL19" i="4"/>
  <c r="DK19" i="4" a="1"/>
  <c r="DK19" i="4"/>
  <c r="DJ19" i="4" a="1"/>
  <c r="DJ19" i="4"/>
  <c r="DI19" i="4" a="1"/>
  <c r="DI19" i="4"/>
  <c r="DH19" i="4" a="1"/>
  <c r="DH19" i="4"/>
  <c r="DG19" i="4" a="1"/>
  <c r="DG19" i="4"/>
  <c r="DF19" i="4" a="1"/>
  <c r="DF19" i="4"/>
  <c r="DE19" i="4" a="1"/>
  <c r="DE19" i="4"/>
  <c r="DD19" i="4" a="1"/>
  <c r="DD19" i="4"/>
  <c r="DC19" i="4" a="1"/>
  <c r="DC19" i="4"/>
  <c r="DB19" i="4"/>
  <c r="CZ19" i="4"/>
  <c r="CQ19" i="4"/>
  <c r="CP19" i="4"/>
  <c r="CN19" i="4"/>
  <c r="CK19" i="4"/>
  <c r="CH19" i="4"/>
  <c r="D19" i="4" a="1"/>
  <c r="D19" i="4"/>
  <c r="CV19" i="4" s="1"/>
  <c r="EJ18" i="4" a="1"/>
  <c r="EJ18" i="4" s="1"/>
  <c r="EI18" i="4" a="1"/>
  <c r="EI18" i="4" s="1"/>
  <c r="EH18" i="4" a="1"/>
  <c r="EH18" i="4" s="1"/>
  <c r="EG18" i="4" a="1"/>
  <c r="EG18" i="4"/>
  <c r="EF18" i="4" a="1"/>
  <c r="EF18" i="4"/>
  <c r="EE18" i="4" a="1"/>
  <c r="EE18" i="4" s="1"/>
  <c r="ED18" i="4" a="1"/>
  <c r="ED18" i="4"/>
  <c r="EC18" i="4" a="1"/>
  <c r="EC18" i="4" s="1"/>
  <c r="EA18" i="4" a="1"/>
  <c r="EA18" i="4"/>
  <c r="DZ18" i="4" a="1"/>
  <c r="DZ18" i="4"/>
  <c r="DY18" i="4" a="1"/>
  <c r="DY18" i="4"/>
  <c r="DX18" i="4" a="1"/>
  <c r="DX18" i="4" s="1"/>
  <c r="DW18" i="4" a="1"/>
  <c r="DW18" i="4" s="1"/>
  <c r="DV18" i="4" a="1"/>
  <c r="DV18" i="4" s="1"/>
  <c r="DU18" i="4" a="1"/>
  <c r="DU18" i="4"/>
  <c r="DT18" i="4"/>
  <c r="DR18" i="4" a="1"/>
  <c r="DR18" i="4" s="1"/>
  <c r="DQ18" i="4" a="1"/>
  <c r="DQ18" i="4" s="1"/>
  <c r="DP18" i="4" a="1"/>
  <c r="DP18" i="4" s="1"/>
  <c r="DO18" i="4" a="1"/>
  <c r="DO18" i="4"/>
  <c r="DN18" i="4" a="1"/>
  <c r="DN18" i="4"/>
  <c r="DM18" i="4" a="1"/>
  <c r="DM18" i="4" s="1"/>
  <c r="DL18" i="4" a="1"/>
  <c r="DL18" i="4" s="1"/>
  <c r="DK18" i="4" a="1"/>
  <c r="DK18" i="4" s="1"/>
  <c r="DJ18" i="4" a="1"/>
  <c r="DJ18" i="4" s="1"/>
  <c r="DI18" i="4" a="1"/>
  <c r="DI18" i="4"/>
  <c r="DH18" i="4" a="1"/>
  <c r="DH18" i="4"/>
  <c r="DG18" i="4" a="1"/>
  <c r="DG18" i="4"/>
  <c r="DF18" i="4" a="1"/>
  <c r="DF18" i="4" s="1"/>
  <c r="DE18" i="4" a="1"/>
  <c r="DE18" i="4" s="1"/>
  <c r="DD18" i="4" a="1"/>
  <c r="DD18" i="4"/>
  <c r="DC18" i="4" a="1"/>
  <c r="DC18" i="4"/>
  <c r="DB18" i="4"/>
  <c r="CZ18" i="4"/>
  <c r="CQ18" i="4"/>
  <c r="CP18" i="4"/>
  <c r="CN18" i="4"/>
  <c r="CM18" i="4"/>
  <c r="CK18" i="4"/>
  <c r="CH18" i="4"/>
  <c r="CG18" i="4"/>
  <c r="D18" i="4" a="1"/>
  <c r="D18" i="4"/>
  <c r="EJ17" i="4" a="1"/>
  <c r="EJ17" i="4"/>
  <c r="EI17" i="4" a="1"/>
  <c r="EI17" i="4" s="1"/>
  <c r="EH17" i="4" a="1"/>
  <c r="EH17" i="4"/>
  <c r="EG17" i="4" a="1"/>
  <c r="EG17" i="4"/>
  <c r="EF17" i="4" a="1"/>
  <c r="EF17" i="4" s="1"/>
  <c r="EE17" i="4" a="1"/>
  <c r="EE17" i="4" s="1"/>
  <c r="ED17" i="4" a="1"/>
  <c r="ED17" i="4"/>
  <c r="EC17" i="4" a="1"/>
  <c r="EC17" i="4"/>
  <c r="EA17" i="4" a="1"/>
  <c r="EA17" i="4"/>
  <c r="DZ17" i="4" a="1"/>
  <c r="DZ17" i="4" s="1"/>
  <c r="DY17" i="4" a="1"/>
  <c r="DY17" i="4" s="1"/>
  <c r="DX17" i="4" a="1"/>
  <c r="DX17" i="4"/>
  <c r="DW17" i="4" a="1"/>
  <c r="DW17" i="4"/>
  <c r="DV17" i="4" a="1"/>
  <c r="DV17" i="4"/>
  <c r="DU17" i="4" a="1"/>
  <c r="DU17" i="4" s="1"/>
  <c r="DT17" i="4"/>
  <c r="DR17" i="4" a="1"/>
  <c r="DR17" i="4"/>
  <c r="DQ17" i="4" a="1"/>
  <c r="DQ17" i="4"/>
  <c r="DP17" i="4" a="1"/>
  <c r="DP17" i="4" s="1"/>
  <c r="DO17" i="4" a="1"/>
  <c r="DO17" i="4" s="1"/>
  <c r="DN17" i="4" a="1"/>
  <c r="DN17" i="4" s="1"/>
  <c r="DM17" i="4" a="1"/>
  <c r="DM17" i="4"/>
  <c r="DL17" i="4" a="1"/>
  <c r="DL17" i="4"/>
  <c r="DK17" i="4" a="1"/>
  <c r="DK17" i="4"/>
  <c r="DJ17" i="4" a="1"/>
  <c r="DJ17" i="4" s="1"/>
  <c r="DI17" i="4" a="1"/>
  <c r="DI17" i="4"/>
  <c r="DH17" i="4" a="1"/>
  <c r="DH17" i="4"/>
  <c r="DG17" i="4" a="1"/>
  <c r="DG17" i="4"/>
  <c r="DF17" i="4" a="1"/>
  <c r="DF17" i="4"/>
  <c r="DE17" i="4" a="1"/>
  <c r="DE17" i="4"/>
  <c r="DD17" i="4" a="1"/>
  <c r="DD17" i="4" s="1"/>
  <c r="DC17" i="4" a="1"/>
  <c r="DC17" i="4"/>
  <c r="DB17" i="4"/>
  <c r="CZ17" i="4"/>
  <c r="CQ17" i="4"/>
  <c r="CP17" i="4"/>
  <c r="CN17" i="4"/>
  <c r="CK17" i="4"/>
  <c r="CH17" i="4"/>
  <c r="D17" i="4" a="1"/>
  <c r="D17" i="4" s="1"/>
  <c r="EJ16" i="4" a="1"/>
  <c r="EJ16" i="4" s="1"/>
  <c r="EI16" i="4" a="1"/>
  <c r="EI16" i="4" s="1"/>
  <c r="EH16" i="4" a="1"/>
  <c r="EH16" i="4"/>
  <c r="EG16" i="4" a="1"/>
  <c r="EG16" i="4" s="1"/>
  <c r="EF16" i="4" a="1"/>
  <c r="EF16" i="4" s="1"/>
  <c r="EE16" i="4" a="1"/>
  <c r="EE16" i="4" s="1"/>
  <c r="ED16" i="4" a="1"/>
  <c r="ED16" i="4"/>
  <c r="EC16" i="4" a="1"/>
  <c r="EC16" i="4" s="1"/>
  <c r="EA16" i="4" a="1"/>
  <c r="EA16" i="4" s="1"/>
  <c r="DZ16" i="4" a="1"/>
  <c r="DZ16" i="4"/>
  <c r="DY16" i="4" a="1"/>
  <c r="DY16" i="4"/>
  <c r="DX16" i="4" a="1"/>
  <c r="DX16" i="4"/>
  <c r="DW16" i="4" a="1"/>
  <c r="DW16" i="4" s="1"/>
  <c r="DV16" i="4" a="1"/>
  <c r="DV16" i="4" s="1"/>
  <c r="DU16" i="4" a="1"/>
  <c r="DU16" i="4"/>
  <c r="DT16" i="4"/>
  <c r="DR16" i="4" a="1"/>
  <c r="DR16" i="4"/>
  <c r="DQ16" i="4" a="1"/>
  <c r="DQ16" i="4"/>
  <c r="DP16" i="4" a="1"/>
  <c r="DP16" i="4"/>
  <c r="DO16" i="4" a="1"/>
  <c r="DO16" i="4"/>
  <c r="DN16" i="4" a="1"/>
  <c r="DN16" i="4" s="1"/>
  <c r="DM16" i="4" a="1"/>
  <c r="DM16" i="4" s="1"/>
  <c r="DL16" i="4" a="1"/>
  <c r="DL16" i="4"/>
  <c r="DK16" i="4" a="1"/>
  <c r="DK16" i="4"/>
  <c r="DJ16" i="4" a="1"/>
  <c r="DJ16" i="4"/>
  <c r="DI16" i="4" a="1"/>
  <c r="DI16" i="4"/>
  <c r="DH16" i="4" a="1"/>
  <c r="DH16" i="4" s="1"/>
  <c r="DG16" i="4" a="1"/>
  <c r="DG16" i="4" s="1"/>
  <c r="DF16" i="4" a="1"/>
  <c r="DF16" i="4"/>
  <c r="DE16" i="4" a="1"/>
  <c r="DE16" i="4"/>
  <c r="DD16" i="4" a="1"/>
  <c r="DD16" i="4"/>
  <c r="DC16" i="4" a="1"/>
  <c r="DC16" i="4"/>
  <c r="DB16" i="4"/>
  <c r="CZ16" i="4"/>
  <c r="DK33" i="4" s="1" a="1"/>
  <c r="DK33" i="4" s="1"/>
  <c r="CQ16" i="4"/>
  <c r="CP16" i="4"/>
  <c r="CN16" i="4"/>
  <c r="CK16" i="4"/>
  <c r="CH16" i="4"/>
  <c r="D16" i="4" a="1"/>
  <c r="D16" i="4"/>
  <c r="EJ15" i="4" a="1"/>
  <c r="EJ15" i="4" s="1"/>
  <c r="EI15" i="4" a="1"/>
  <c r="EI15" i="4"/>
  <c r="EH15" i="4" a="1"/>
  <c r="EH15" i="4" s="1"/>
  <c r="EG15" i="4" a="1"/>
  <c r="EG15" i="4"/>
  <c r="EF15" i="4" a="1"/>
  <c r="EF15" i="4" s="1"/>
  <c r="EE15" i="4" a="1"/>
  <c r="EE15" i="4"/>
  <c r="ED15" i="4" a="1"/>
  <c r="ED15" i="4"/>
  <c r="EC15" i="4" a="1"/>
  <c r="EC15" i="4"/>
  <c r="EB15" i="4" a="1"/>
  <c r="EB15" i="4"/>
  <c r="EA15" i="4" a="1"/>
  <c r="EA15" i="4" s="1"/>
  <c r="DZ15" i="4" a="1"/>
  <c r="DZ15" i="4" s="1"/>
  <c r="DY15" i="4" a="1"/>
  <c r="DY15" i="4"/>
  <c r="DX15" i="4" a="1"/>
  <c r="DX15" i="4"/>
  <c r="DW15" i="4" a="1"/>
  <c r="DW15" i="4"/>
  <c r="DV15" i="4" a="1"/>
  <c r="DV15" i="4"/>
  <c r="DU15" i="4" a="1"/>
  <c r="DU15" i="4"/>
  <c r="DT15" i="4"/>
  <c r="DR15" i="4" a="1"/>
  <c r="DR15" i="4"/>
  <c r="DQ15" i="4" a="1"/>
  <c r="DQ15" i="4"/>
  <c r="DP15" i="4" a="1"/>
  <c r="DP15" i="4" s="1"/>
  <c r="DO15" i="4" a="1"/>
  <c r="DO15" i="4"/>
  <c r="DN15" i="4" a="1"/>
  <c r="DN15" i="4"/>
  <c r="DM15" i="4" a="1"/>
  <c r="DM15" i="4" s="1"/>
  <c r="DL15" i="4" a="1"/>
  <c r="DL15" i="4"/>
  <c r="DK15" i="4" a="1"/>
  <c r="DK15" i="4" s="1"/>
  <c r="DJ15" i="4" a="1"/>
  <c r="DJ15" i="4"/>
  <c r="DI15" i="4" a="1"/>
  <c r="DI15" i="4"/>
  <c r="DH15" i="4" a="1"/>
  <c r="DH15" i="4"/>
  <c r="DG15" i="4" a="1"/>
  <c r="DG15" i="4" s="1"/>
  <c r="DF15" i="4" a="1"/>
  <c r="DF15" i="4"/>
  <c r="DE15" i="4" a="1"/>
  <c r="DE15" i="4"/>
  <c r="DC15" i="4" a="1"/>
  <c r="DC15" i="4" s="1"/>
  <c r="DB15" i="4"/>
  <c r="CZ15" i="4"/>
  <c r="CQ15" i="4"/>
  <c r="CP15" i="4"/>
  <c r="CN15" i="4"/>
  <c r="CK15" i="4"/>
  <c r="CH15" i="4"/>
  <c r="CG15" i="4"/>
  <c r="D15" i="4" a="1"/>
  <c r="D15" i="4"/>
  <c r="EJ14" i="4" a="1"/>
  <c r="EJ14" i="4"/>
  <c r="EI14" i="4" a="1"/>
  <c r="EI14" i="4" s="1"/>
  <c r="EH14" i="4" a="1"/>
  <c r="EH14" i="4" s="1"/>
  <c r="EG14" i="4" a="1"/>
  <c r="EG14" i="4" s="1"/>
  <c r="EF14" i="4" a="1"/>
  <c r="EF14" i="4"/>
  <c r="EE14" i="4" a="1"/>
  <c r="EE14" i="4"/>
  <c r="ED14" i="4" a="1"/>
  <c r="ED14" i="4"/>
  <c r="EC14" i="4" a="1"/>
  <c r="EC14" i="4" s="1"/>
  <c r="EA14" i="4" a="1"/>
  <c r="EA14" i="4"/>
  <c r="DZ14" i="4" a="1"/>
  <c r="DZ14" i="4"/>
  <c r="DY14" i="4" a="1"/>
  <c r="DY14" i="4" s="1"/>
  <c r="DX14" i="4" a="1"/>
  <c r="DX14" i="4" s="1"/>
  <c r="DW14" i="4" a="1"/>
  <c r="DW14" i="4" s="1"/>
  <c r="DV14" i="4" a="1"/>
  <c r="DV14" i="4" s="1"/>
  <c r="DU14" i="4" a="1"/>
  <c r="DU14" i="4" s="1"/>
  <c r="DT14" i="4"/>
  <c r="DR14" i="4" a="1"/>
  <c r="DR14" i="4"/>
  <c r="DQ14" i="4" a="1"/>
  <c r="DQ14" i="4"/>
  <c r="DP14" i="4" a="1"/>
  <c r="DP14" i="4" s="1"/>
  <c r="DO14" i="4" a="1"/>
  <c r="DO14" i="4"/>
  <c r="DN14" i="4" a="1"/>
  <c r="DN14" i="4" s="1"/>
  <c r="DL14" i="4" a="1"/>
  <c r="DL14" i="4"/>
  <c r="DK14" i="4" a="1"/>
  <c r="DK14" i="4" s="1"/>
  <c r="DJ14" i="4" a="1"/>
  <c r="DJ14" i="4" s="1"/>
  <c r="DI14" i="4" a="1"/>
  <c r="DI14" i="4"/>
  <c r="DH14" i="4" a="1"/>
  <c r="DH14" i="4" s="1"/>
  <c r="DG14" i="4" a="1"/>
  <c r="DG14" i="4"/>
  <c r="DF14" i="4" a="1"/>
  <c r="DF14" i="4"/>
  <c r="DE14" i="4" a="1"/>
  <c r="DE14" i="4" s="1"/>
  <c r="DD14" i="4" a="1"/>
  <c r="DD14" i="4"/>
  <c r="DC14" i="4" a="1"/>
  <c r="DC14" i="4"/>
  <c r="DB14" i="4"/>
  <c r="CZ14" i="4"/>
  <c r="CQ14" i="4"/>
  <c r="CP14" i="4"/>
  <c r="CN14" i="4"/>
  <c r="CM14" i="4"/>
  <c r="CK14" i="4"/>
  <c r="CH14" i="4"/>
  <c r="D14" i="4" a="1"/>
  <c r="D14" i="4"/>
  <c r="EJ13" i="4" a="1"/>
  <c r="EJ13" i="4"/>
  <c r="EI13" i="4" a="1"/>
  <c r="EI13" i="4"/>
  <c r="EH13" i="4" a="1"/>
  <c r="EH13" i="4"/>
  <c r="EG13" i="4" a="1"/>
  <c r="EG13" i="4" s="1"/>
  <c r="EF13" i="4" a="1"/>
  <c r="EF13" i="4" s="1"/>
  <c r="EE13" i="4" a="1"/>
  <c r="EE13" i="4"/>
  <c r="ED13" i="4" a="1"/>
  <c r="ED13" i="4" s="1"/>
  <c r="EC13" i="4" a="1"/>
  <c r="EC13" i="4" s="1"/>
  <c r="EA13" i="4" a="1"/>
  <c r="EA13" i="4" s="1"/>
  <c r="DZ13" i="4" a="1"/>
  <c r="DZ13" i="4" s="1"/>
  <c r="DY13" i="4" a="1"/>
  <c r="DY13" i="4" s="1"/>
  <c r="DX13" i="4" a="1"/>
  <c r="DX13" i="4" s="1"/>
  <c r="DW13" i="4" a="1"/>
  <c r="DW13" i="4"/>
  <c r="DV13" i="4" a="1"/>
  <c r="DV13" i="4"/>
  <c r="DU13" i="4" a="1"/>
  <c r="DU13" i="4"/>
  <c r="DT13" i="4"/>
  <c r="DR13" i="4" a="1"/>
  <c r="DR13" i="4"/>
  <c r="DQ13" i="4" a="1"/>
  <c r="DQ13" i="4"/>
  <c r="DP13" i="4" a="1"/>
  <c r="DP13" i="4"/>
  <c r="DO13" i="4" a="1"/>
  <c r="DO13" i="4" s="1"/>
  <c r="DN13" i="4" a="1"/>
  <c r="DN13" i="4" s="1"/>
  <c r="DM13" i="4" a="1"/>
  <c r="DM13" i="4" s="1"/>
  <c r="DL13" i="4" a="1"/>
  <c r="DL13" i="4"/>
  <c r="DK13" i="4" a="1"/>
  <c r="DK13" i="4" s="1"/>
  <c r="DJ13" i="4" a="1"/>
  <c r="DJ13" i="4"/>
  <c r="DI13" i="4" a="1"/>
  <c r="DI13" i="4" s="1"/>
  <c r="DH13" i="4" a="1"/>
  <c r="DH13" i="4" s="1"/>
  <c r="DG13" i="4" a="1"/>
  <c r="DG13" i="4" s="1"/>
  <c r="DF13" i="4" a="1"/>
  <c r="DF13" i="4"/>
  <c r="DE13" i="4" a="1"/>
  <c r="DE13" i="4"/>
  <c r="DD13" i="4" a="1"/>
  <c r="DD13" i="4"/>
  <c r="DC13" i="4" a="1"/>
  <c r="DC13" i="4" s="1"/>
  <c r="DB13" i="4"/>
  <c r="CZ13" i="4"/>
  <c r="CQ13" i="4"/>
  <c r="CP13" i="4"/>
  <c r="CN13" i="4"/>
  <c r="CK13" i="4"/>
  <c r="CH13" i="4"/>
  <c r="D13" i="4" a="1"/>
  <c r="D13" i="4"/>
  <c r="EJ12" i="4" a="1"/>
  <c r="EJ12" i="4"/>
  <c r="EI12" i="4" a="1"/>
  <c r="EI12" i="4" s="1"/>
  <c r="EH12" i="4" a="1"/>
  <c r="EH12" i="4" s="1"/>
  <c r="EG12" i="4" a="1"/>
  <c r="EG12" i="4" s="1"/>
  <c r="EF12" i="4" a="1"/>
  <c r="EF12" i="4"/>
  <c r="EE12" i="4" a="1"/>
  <c r="EE12" i="4"/>
  <c r="ED12" i="4" a="1"/>
  <c r="ED12" i="4" s="1"/>
  <c r="EC12" i="4" a="1"/>
  <c r="EC12" i="4" s="1"/>
  <c r="EA12" i="4" a="1"/>
  <c r="EA12" i="4" s="1"/>
  <c r="DZ12" i="4" a="1"/>
  <c r="DZ12" i="4"/>
  <c r="DY12" i="4" a="1"/>
  <c r="DY12" i="4"/>
  <c r="DX12" i="4" a="1"/>
  <c r="DX12" i="4" s="1"/>
  <c r="DW12" i="4" a="1"/>
  <c r="DW12" i="4" s="1"/>
  <c r="DV12" i="4" a="1"/>
  <c r="DV12" i="4" s="1"/>
  <c r="DU12" i="4" a="1"/>
  <c r="DU12" i="4"/>
  <c r="DT12" i="4"/>
  <c r="DR12" i="4" a="1"/>
  <c r="DR12" i="4" s="1"/>
  <c r="DQ12" i="4" a="1"/>
  <c r="DQ12" i="4" s="1"/>
  <c r="DP12" i="4" a="1"/>
  <c r="DP12" i="4"/>
  <c r="DO12" i="4" a="1"/>
  <c r="DO12" i="4"/>
  <c r="DN12" i="4" a="1"/>
  <c r="DN12" i="4"/>
  <c r="DM12" i="4" a="1"/>
  <c r="DM12" i="4" s="1"/>
  <c r="DL12" i="4" a="1"/>
  <c r="DL12" i="4" s="1"/>
  <c r="DK12" i="4" a="1"/>
  <c r="DK12" i="4" s="1"/>
  <c r="DJ12" i="4" a="1"/>
  <c r="DJ12" i="4"/>
  <c r="DI12" i="4" a="1"/>
  <c r="DI12" i="4"/>
  <c r="DH12" i="4" a="1"/>
  <c r="DH12" i="4"/>
  <c r="DG12" i="4" a="1"/>
  <c r="DG12" i="4" s="1"/>
  <c r="DF12" i="4" a="1"/>
  <c r="DF12" i="4" s="1"/>
  <c r="DE12" i="4" a="1"/>
  <c r="DE12" i="4" s="1"/>
  <c r="DD12" i="4" a="1"/>
  <c r="DD12" i="4"/>
  <c r="DC12" i="4" a="1"/>
  <c r="DC12" i="4"/>
  <c r="DB12" i="4"/>
  <c r="CZ12" i="4"/>
  <c r="CQ12" i="4"/>
  <c r="CP12" i="4"/>
  <c r="CN12" i="4"/>
  <c r="CK12" i="4"/>
  <c r="CJ12" i="4"/>
  <c r="CH12" i="4"/>
  <c r="CG12" i="4"/>
  <c r="D12" i="4" a="1"/>
  <c r="D12" i="4"/>
  <c r="EJ11" i="4" a="1"/>
  <c r="EJ11" i="4"/>
  <c r="EI11" i="4" a="1"/>
  <c r="EI11" i="4" s="1"/>
  <c r="EH11" i="4" a="1"/>
  <c r="EH11" i="4" s="1"/>
  <c r="EG11" i="4" a="1"/>
  <c r="EG11" i="4" s="1"/>
  <c r="EF11" i="4" a="1"/>
  <c r="EF11" i="4" s="1"/>
  <c r="EE11" i="4" a="1"/>
  <c r="EE11" i="4" s="1"/>
  <c r="ED11" i="4" a="1"/>
  <c r="ED11" i="4" s="1"/>
  <c r="EC11" i="4" a="1"/>
  <c r="EC11" i="4"/>
  <c r="EB11" i="4" a="1"/>
  <c r="EB11" i="4"/>
  <c r="EA11" i="4" a="1"/>
  <c r="EA11" i="4"/>
  <c r="DZ11" i="4" a="1"/>
  <c r="DZ11" i="4"/>
  <c r="DY11" i="4" a="1"/>
  <c r="DY11" i="4" s="1"/>
  <c r="DX11" i="4" a="1"/>
  <c r="DX11" i="4" s="1"/>
  <c r="DW11" i="4" a="1"/>
  <c r="DW11" i="4" s="1"/>
  <c r="DV11" i="4" a="1"/>
  <c r="DV11" i="4"/>
  <c r="DU11" i="4" a="1"/>
  <c r="DU11" i="4"/>
  <c r="DT11" i="4"/>
  <c r="DR11" i="4" a="1"/>
  <c r="DR11" i="4"/>
  <c r="DQ11" i="4" a="1"/>
  <c r="DQ11" i="4"/>
  <c r="DP11" i="4" a="1"/>
  <c r="DP11" i="4"/>
  <c r="DO11" i="4" a="1"/>
  <c r="DO11" i="4"/>
  <c r="DN11" i="4" a="1"/>
  <c r="DN11" i="4" s="1"/>
  <c r="DM11" i="4" a="1"/>
  <c r="DM11" i="4" s="1"/>
  <c r="DL11" i="4" a="1"/>
  <c r="DL11" i="4" s="1"/>
  <c r="DK11" i="4" a="1"/>
  <c r="DK11" i="4"/>
  <c r="DJ11" i="4" a="1"/>
  <c r="DJ11" i="4"/>
  <c r="DI11" i="4" a="1"/>
  <c r="DI11" i="4"/>
  <c r="DH11" i="4" a="1"/>
  <c r="DH11" i="4" s="1"/>
  <c r="DG11" i="4" a="1"/>
  <c r="DG11" i="4"/>
  <c r="DF11" i="4" a="1"/>
  <c r="DF11" i="4" s="1"/>
  <c r="DE11" i="4" a="1"/>
  <c r="DE11" i="4"/>
  <c r="DC11" i="4" a="1"/>
  <c r="DC11" i="4" s="1"/>
  <c r="DB11" i="4"/>
  <c r="CZ11" i="4"/>
  <c r="CQ11" i="4"/>
  <c r="CP11" i="4"/>
  <c r="CN11" i="4"/>
  <c r="CK11" i="4"/>
  <c r="CJ11" i="4"/>
  <c r="CH11" i="4"/>
  <c r="CG11" i="4"/>
  <c r="D11" i="4" a="1"/>
  <c r="D11" i="4" s="1"/>
  <c r="EJ10" i="4" a="1"/>
  <c r="EJ10" i="4" s="1"/>
  <c r="EI10" i="4" a="1"/>
  <c r="EI10" i="4" s="1"/>
  <c r="EH10" i="4" a="1"/>
  <c r="EH10" i="4" s="1"/>
  <c r="EG10" i="4" a="1"/>
  <c r="EG10" i="4" s="1"/>
  <c r="EF10" i="4" a="1"/>
  <c r="EF10" i="4"/>
  <c r="EE10" i="4" a="1"/>
  <c r="EE10" i="4"/>
  <c r="ED10" i="4" a="1"/>
  <c r="ED10" i="4"/>
  <c r="EC10" i="4" a="1"/>
  <c r="EC10" i="4" s="1"/>
  <c r="EA10" i="4" a="1"/>
  <c r="EA10" i="4" s="1"/>
  <c r="DZ10" i="4" a="1"/>
  <c r="DZ10" i="4"/>
  <c r="DY10" i="4" a="1"/>
  <c r="DY10" i="4"/>
  <c r="DX10" i="4" a="1"/>
  <c r="DX10" i="4"/>
  <c r="DW10" i="4" a="1"/>
  <c r="DW10" i="4"/>
  <c r="DV10" i="4" a="1"/>
  <c r="DV10" i="4" s="1"/>
  <c r="DU10" i="4" a="1"/>
  <c r="DU10" i="4" s="1"/>
  <c r="DT10" i="4"/>
  <c r="DR10" i="4" a="1"/>
  <c r="DR10" i="4"/>
  <c r="DQ10" i="4" a="1"/>
  <c r="DQ10" i="4" s="1"/>
  <c r="DP10" i="4" a="1"/>
  <c r="DP10" i="4"/>
  <c r="DO10" i="4" a="1"/>
  <c r="DO10" i="4"/>
  <c r="DN10" i="4" a="1"/>
  <c r="DN10" i="4"/>
  <c r="DM10" i="4" a="1"/>
  <c r="DM10" i="4"/>
  <c r="DL10" i="4" a="1"/>
  <c r="DL10" i="4"/>
  <c r="DK10" i="4" a="1"/>
  <c r="DK10" i="4" s="1"/>
  <c r="DJ10" i="4" a="1"/>
  <c r="DJ10" i="4" s="1"/>
  <c r="DI10" i="4" a="1"/>
  <c r="DI10" i="4" s="1"/>
  <c r="DH10" i="4" a="1"/>
  <c r="DH10" i="4"/>
  <c r="DG10" i="4" a="1"/>
  <c r="DG10" i="4"/>
  <c r="DF10" i="4" a="1"/>
  <c r="DF10" i="4"/>
  <c r="DE10" i="4" a="1"/>
  <c r="DE10" i="4" s="1"/>
  <c r="DD10" i="4" a="1"/>
  <c r="DD10" i="4"/>
  <c r="DC10" i="4" a="1"/>
  <c r="DC10" i="4"/>
  <c r="DB10" i="4"/>
  <c r="CZ10" i="4"/>
  <c r="CQ10" i="4"/>
  <c r="CP10" i="4"/>
  <c r="CN10" i="4"/>
  <c r="CM10" i="4"/>
  <c r="CK10" i="4"/>
  <c r="CH10" i="4"/>
  <c r="D10" i="4" a="1"/>
  <c r="D10" i="4"/>
  <c r="EJ9" i="4" a="1"/>
  <c r="EJ9" i="4" s="1"/>
  <c r="EI9" i="4" a="1"/>
  <c r="EI9" i="4"/>
  <c r="EH9" i="4" a="1"/>
  <c r="EH9" i="4"/>
  <c r="EG9" i="4" a="1"/>
  <c r="EG9" i="4"/>
  <c r="EF9" i="4" a="1"/>
  <c r="EF9" i="4"/>
  <c r="EE9" i="4" a="1"/>
  <c r="EE9" i="4" s="1"/>
  <c r="ED9" i="4" a="1"/>
  <c r="ED9" i="4" s="1"/>
  <c r="EC9" i="4" a="1"/>
  <c r="EC9" i="4" s="1"/>
  <c r="EA9" i="4" a="1"/>
  <c r="EA9" i="4" s="1"/>
  <c r="DZ9" i="4" a="1"/>
  <c r="DZ9" i="4" s="1"/>
  <c r="DY9" i="4" a="1"/>
  <c r="DY9" i="4" s="1"/>
  <c r="DX9" i="4" a="1"/>
  <c r="DX9" i="4" s="1"/>
  <c r="DW9" i="4" a="1"/>
  <c r="DW9" i="4"/>
  <c r="DV9" i="4" a="1"/>
  <c r="DV9" i="4" s="1"/>
  <c r="DU9" i="4" a="1"/>
  <c r="DU9" i="4"/>
  <c r="DT9" i="4"/>
  <c r="DR9" i="4" a="1"/>
  <c r="DR9" i="4" s="1"/>
  <c r="DQ9" i="4" a="1"/>
  <c r="DQ9" i="4"/>
  <c r="DP9" i="4" a="1"/>
  <c r="DP9" i="4"/>
  <c r="DO9" i="4" a="1"/>
  <c r="DO9" i="4"/>
  <c r="DN9" i="4" a="1"/>
  <c r="DN9" i="4"/>
  <c r="DM9" i="4" a="1"/>
  <c r="DM9" i="4" s="1"/>
  <c r="DL9" i="4" a="1"/>
  <c r="DL9" i="4" s="1"/>
  <c r="DK9" i="4" a="1"/>
  <c r="DK9" i="4"/>
  <c r="DJ9" i="4" a="1"/>
  <c r="DJ9" i="4"/>
  <c r="DI9" i="4" a="1"/>
  <c r="DI9" i="4"/>
  <c r="DH9" i="4" a="1"/>
  <c r="DH9" i="4"/>
  <c r="DG9" i="4" a="1"/>
  <c r="DG9" i="4" s="1"/>
  <c r="DF9" i="4" a="1"/>
  <c r="DF9" i="4" s="1"/>
  <c r="DE9" i="4" a="1"/>
  <c r="DE9" i="4"/>
  <c r="DD9" i="4" a="1"/>
  <c r="DD9" i="4"/>
  <c r="DC9" i="4" a="1"/>
  <c r="DC9" i="4"/>
  <c r="DB9" i="4"/>
  <c r="CZ9" i="4"/>
  <c r="CQ9" i="4"/>
  <c r="CP9" i="4"/>
  <c r="CN9" i="4"/>
  <c r="CK9" i="4"/>
  <c r="CJ9" i="4"/>
  <c r="CI9" i="4"/>
  <c r="CH9" i="4"/>
  <c r="CG9" i="4"/>
  <c r="D9" i="4" a="1"/>
  <c r="D9" i="4"/>
  <c r="B9" i="4"/>
  <c r="EJ8" i="4" a="1"/>
  <c r="EJ8" i="4" s="1"/>
  <c r="EI8" i="4" a="1"/>
  <c r="EI8" i="4"/>
  <c r="EH8" i="4" a="1"/>
  <c r="EH8" i="4" s="1"/>
  <c r="EG8" i="4" a="1"/>
  <c r="EG8" i="4" s="1"/>
  <c r="EF8" i="4" a="1"/>
  <c r="EF8" i="4" s="1"/>
  <c r="EE8" i="4" a="1"/>
  <c r="EE8" i="4" s="1"/>
  <c r="ED8" i="4" a="1"/>
  <c r="ED8" i="4" s="1"/>
  <c r="EC8" i="4" a="1"/>
  <c r="EC8" i="4" s="1"/>
  <c r="EA8" i="4" a="1"/>
  <c r="EA8" i="4" s="1"/>
  <c r="DZ8" i="4" a="1"/>
  <c r="DZ8" i="4"/>
  <c r="DY8" i="4" a="1"/>
  <c r="DY8" i="4"/>
  <c r="DX8" i="4" a="1"/>
  <c r="DX8" i="4"/>
  <c r="DW8" i="4" a="1"/>
  <c r="DW8" i="4" s="1"/>
  <c r="DV8" i="4" a="1"/>
  <c r="DV8" i="4" s="1"/>
  <c r="DU8" i="4" a="1"/>
  <c r="DU8" i="4" s="1"/>
  <c r="DT8" i="4"/>
  <c r="DR8" i="4" a="1"/>
  <c r="DR8" i="4" s="1"/>
  <c r="DQ8" i="4" a="1"/>
  <c r="DQ8" i="4" s="1"/>
  <c r="DP8" i="4" a="1"/>
  <c r="DP8" i="4" s="1"/>
  <c r="DO8" i="4" a="1"/>
  <c r="DO8" i="4" s="1"/>
  <c r="DM8" i="4" a="1"/>
  <c r="DM8" i="4"/>
  <c r="DL8" i="4" a="1"/>
  <c r="DL8" i="4"/>
  <c r="DK8" i="4" a="1"/>
  <c r="DK8" i="4"/>
  <c r="DJ8" i="4" a="1"/>
  <c r="DJ8" i="4" s="1"/>
  <c r="DI8" i="4" a="1"/>
  <c r="DI8" i="4" s="1"/>
  <c r="DH8" i="4" a="1"/>
  <c r="DH8" i="4"/>
  <c r="DG8" i="4" a="1"/>
  <c r="DG8" i="4"/>
  <c r="DF8" i="4" a="1"/>
  <c r="DF8" i="4"/>
  <c r="DE8" i="4" a="1"/>
  <c r="DE8" i="4"/>
  <c r="DD8" i="4" a="1"/>
  <c r="DD8" i="4" s="1"/>
  <c r="DC8" i="4" a="1"/>
  <c r="DC8" i="4" s="1"/>
  <c r="DB8" i="4"/>
  <c r="CZ8" i="4"/>
  <c r="DC45" i="4" s="1" a="1"/>
  <c r="DC45" i="4" s="1"/>
  <c r="CQ8" i="4"/>
  <c r="CP8" i="4"/>
  <c r="CN8" i="4"/>
  <c r="CM8" i="4"/>
  <c r="CK8" i="4"/>
  <c r="CH8" i="4"/>
  <c r="D8" i="4" a="1"/>
  <c r="D8" i="4" s="1"/>
  <c r="B8" i="4"/>
  <c r="B6" i="4"/>
  <c r="BG94" i="4" s="1" a="1"/>
  <c r="BG94" i="4" s="1"/>
  <c r="CF5" i="4"/>
  <c r="CE5" i="4"/>
  <c r="CA5" i="4"/>
  <c r="BZ5" i="4"/>
  <c r="BV5" i="4"/>
  <c r="BU5" i="4"/>
  <c r="BQ5" i="4"/>
  <c r="BP5" i="4"/>
  <c r="BL5" i="4"/>
  <c r="BK5" i="4"/>
  <c r="BG5" i="4"/>
  <c r="BF5" i="4"/>
  <c r="BB5" i="4"/>
  <c r="BA5" i="4"/>
  <c r="AW5" i="4"/>
  <c r="AV5" i="4"/>
  <c r="AR5" i="4"/>
  <c r="AQ5" i="4"/>
  <c r="AM5" i="4"/>
  <c r="AL5" i="4"/>
  <c r="AH5" i="4"/>
  <c r="AG5" i="4"/>
  <c r="AC5" i="4"/>
  <c r="AB5" i="4"/>
  <c r="X5" i="4"/>
  <c r="W5" i="4"/>
  <c r="S5" i="4"/>
  <c r="R5" i="4"/>
  <c r="N5" i="4"/>
  <c r="M5" i="4"/>
  <c r="I5" i="4"/>
  <c r="H5" i="4"/>
  <c r="C5" i="4"/>
  <c r="B5" i="4" s="1"/>
  <c r="AY95" i="2" s="1" a="1"/>
  <c r="AY95" i="2" s="1"/>
  <c r="J4" i="4"/>
  <c r="E4" i="4"/>
  <c r="B4" i="4"/>
  <c r="CM21" i="4" s="1"/>
  <c r="O3" i="4"/>
  <c r="CV12" i="4" s="1"/>
  <c r="D3" i="4"/>
  <c r="B90" i="3"/>
  <c r="B91" i="3" s="1"/>
  <c r="B92" i="3" s="1"/>
  <c r="B93" i="3" s="1"/>
  <c r="B94" i="3" s="1"/>
  <c r="B95" i="3" s="1"/>
  <c r="B96" i="3" s="1"/>
  <c r="I88" i="3"/>
  <c r="I89" i="3" s="1"/>
  <c r="I90" i="3" s="1"/>
  <c r="I91" i="3" s="1"/>
  <c r="I92" i="3" s="1"/>
  <c r="I93" i="3" s="1"/>
  <c r="I94" i="3" s="1"/>
  <c r="I95" i="3" s="1"/>
  <c r="I96" i="3" s="1"/>
  <c r="B88" i="3"/>
  <c r="B89" i="3" s="1"/>
  <c r="I87" i="3"/>
  <c r="B87" i="3"/>
  <c r="D82" i="3"/>
  <c r="K82" i="3" s="1"/>
  <c r="K81" i="3"/>
  <c r="D81" i="3"/>
  <c r="D80" i="3"/>
  <c r="K80" i="3" s="1"/>
  <c r="M79" i="3"/>
  <c r="N79" i="3" s="1"/>
  <c r="C79" i="3"/>
  <c r="D79" i="3" s="1"/>
  <c r="K79" i="3" s="1"/>
  <c r="D76" i="3"/>
  <c r="D75" i="3"/>
  <c r="D74" i="3"/>
  <c r="C73" i="3"/>
  <c r="D73" i="3" s="1"/>
  <c r="D72" i="3"/>
  <c r="K72" i="3" s="1"/>
  <c r="C72" i="3"/>
  <c r="K70" i="3"/>
  <c r="D70" i="3"/>
  <c r="C70" i="3"/>
  <c r="C69" i="3"/>
  <c r="C67" i="3"/>
  <c r="K67" i="3" s="1"/>
  <c r="K66" i="3"/>
  <c r="D66" i="3"/>
  <c r="C66" i="3"/>
  <c r="K64" i="3"/>
  <c r="D64" i="3"/>
  <c r="C64" i="3"/>
  <c r="D63" i="3"/>
  <c r="C63" i="3"/>
  <c r="K63" i="3" s="1"/>
  <c r="C61" i="3"/>
  <c r="L56" i="3"/>
  <c r="D84" i="3" s="1"/>
  <c r="N84" i="3" s="1"/>
  <c r="B16" i="3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7" i="3"/>
  <c r="B8" i="3" s="1"/>
  <c r="B9" i="3" s="1"/>
  <c r="B10" i="3" s="1"/>
  <c r="B11" i="3" s="1"/>
  <c r="B12" i="3" s="1"/>
  <c r="B13" i="3" s="1"/>
  <c r="B14" i="3" s="1"/>
  <c r="B15" i="3" s="1"/>
  <c r="B6" i="3"/>
  <c r="B3" i="3"/>
  <c r="EG147" i="2"/>
  <c r="EG146" i="2"/>
  <c r="EG145" i="2"/>
  <c r="EG144" i="2"/>
  <c r="EG143" i="2"/>
  <c r="EG142" i="2"/>
  <c r="EG141" i="2"/>
  <c r="EG140" i="2"/>
  <c r="EG139" i="2"/>
  <c r="EG138" i="2"/>
  <c r="EG137" i="2"/>
  <c r="EG136" i="2"/>
  <c r="EG135" i="2"/>
  <c r="EG134" i="2"/>
  <c r="EG133" i="2"/>
  <c r="EG132" i="2"/>
  <c r="EG131" i="2"/>
  <c r="EG130" i="2"/>
  <c r="EG129" i="2"/>
  <c r="D129" i="2"/>
  <c r="EG128" i="2"/>
  <c r="D128" i="2"/>
  <c r="EG127" i="2"/>
  <c r="D127" i="2"/>
  <c r="EG126" i="2"/>
  <c r="D126" i="2"/>
  <c r="EG125" i="2"/>
  <c r="D125" i="2"/>
  <c r="EG124" i="2"/>
  <c r="D124" i="2"/>
  <c r="EG123" i="2"/>
  <c r="D123" i="2"/>
  <c r="EG122" i="2"/>
  <c r="D122" i="2"/>
  <c r="EG121" i="2"/>
  <c r="D121" i="2"/>
  <c r="EG120" i="2"/>
  <c r="D120" i="2"/>
  <c r="EG119" i="2"/>
  <c r="D119" i="2"/>
  <c r="EG118" i="2"/>
  <c r="D118" i="2"/>
  <c r="EG117" i="2"/>
  <c r="D117" i="2"/>
  <c r="EG116" i="2"/>
  <c r="D116" i="2"/>
  <c r="B116" i="2"/>
  <c r="EG115" i="2"/>
  <c r="D115" i="2"/>
  <c r="EG114" i="2"/>
  <c r="B114" i="2"/>
  <c r="EG113" i="2"/>
  <c r="B113" i="2"/>
  <c r="EG112" i="2"/>
  <c r="D112" i="2"/>
  <c r="EG111" i="2"/>
  <c r="B111" i="2"/>
  <c r="EG110" i="2"/>
  <c r="B110" i="2"/>
  <c r="EG109" i="2"/>
  <c r="D109" i="2"/>
  <c r="B109" i="2"/>
  <c r="EG108" i="2"/>
  <c r="D108" i="2"/>
  <c r="B108" i="2"/>
  <c r="EG107" i="2"/>
  <c r="D107" i="2"/>
  <c r="EG106" i="2"/>
  <c r="D106" i="2"/>
  <c r="C106" i="2"/>
  <c r="B106" i="2"/>
  <c r="EG105" i="2"/>
  <c r="C105" i="2"/>
  <c r="B105" i="2"/>
  <c r="EG104" i="2"/>
  <c r="C104" i="2"/>
  <c r="B104" i="2"/>
  <c r="EG103" i="2"/>
  <c r="D103" i="2"/>
  <c r="C103" i="2"/>
  <c r="B103" i="2"/>
  <c r="EG102" i="2"/>
  <c r="C102" i="2"/>
  <c r="B102" i="2"/>
  <c r="D102" i="6" s="1"/>
  <c r="EG101" i="2"/>
  <c r="EG100" i="2"/>
  <c r="EG99" i="2"/>
  <c r="EG98" i="2"/>
  <c r="BH98" i="2" a="1"/>
  <c r="BH98" i="2" s="1"/>
  <c r="X98" i="2" a="1"/>
  <c r="X98" i="2"/>
  <c r="B98" i="2" a="1"/>
  <c r="B98" i="2" s="1"/>
  <c r="EG97" i="2"/>
  <c r="BH97" i="2" a="1"/>
  <c r="BH97" i="2" s="1"/>
  <c r="EG96" i="2"/>
  <c r="BH96" i="2" a="1"/>
  <c r="BH96" i="2" s="1"/>
  <c r="AG96" i="2" a="1"/>
  <c r="AG96" i="2" s="1"/>
  <c r="EG95" i="2"/>
  <c r="X95" i="2" a="1"/>
  <c r="X95" i="2" s="1"/>
  <c r="EG94" i="2"/>
  <c r="BH94" i="2" a="1"/>
  <c r="BH94" i="2" s="1"/>
  <c r="AG94" i="2" a="1"/>
  <c r="AG94" i="2"/>
  <c r="X94" i="2" a="1"/>
  <c r="X94" i="2" s="1"/>
  <c r="B94" i="2" a="1"/>
  <c r="B94" i="2" s="1"/>
  <c r="EG93" i="2"/>
  <c r="AG93" i="2" a="1"/>
  <c r="AG93" i="2"/>
  <c r="EG92" i="2"/>
  <c r="EG91" i="2"/>
  <c r="EG90" i="2"/>
  <c r="BH90" i="2"/>
  <c r="AY90" i="2"/>
  <c r="AP90" i="2"/>
  <c r="AG90" i="2"/>
  <c r="X90" i="2"/>
  <c r="O90" i="2"/>
  <c r="N90" i="2"/>
  <c r="F90" i="2"/>
  <c r="B90" i="2"/>
  <c r="EG89" i="2"/>
  <c r="BH89" i="2"/>
  <c r="AY89" i="2"/>
  <c r="AP89" i="2"/>
  <c r="AG89" i="2"/>
  <c r="X89" i="2"/>
  <c r="O89" i="2"/>
  <c r="F89" i="2"/>
  <c r="B89" i="2"/>
  <c r="EG88" i="2"/>
  <c r="BH88" i="2"/>
  <c r="AY88" i="2"/>
  <c r="AP88" i="2"/>
  <c r="AG88" i="2"/>
  <c r="X88" i="2"/>
  <c r="O88" i="2"/>
  <c r="F88" i="2"/>
  <c r="B88" i="2"/>
  <c r="EG87" i="2"/>
  <c r="BH87" i="2"/>
  <c r="AY87" i="2"/>
  <c r="AP87" i="2"/>
  <c r="AG87" i="2"/>
  <c r="X87" i="2"/>
  <c r="O87" i="2"/>
  <c r="F87" i="2"/>
  <c r="B87" i="2"/>
  <c r="EG86" i="2"/>
  <c r="BP86" i="2"/>
  <c r="BH86" i="2"/>
  <c r="AY86" i="2"/>
  <c r="AP86" i="2"/>
  <c r="AG86" i="2"/>
  <c r="X86" i="2"/>
  <c r="W86" i="2"/>
  <c r="O86" i="2"/>
  <c r="N86" i="2"/>
  <c r="F86" i="2"/>
  <c r="B86" i="2"/>
  <c r="EG85" i="2"/>
  <c r="BH85" i="2"/>
  <c r="AY85" i="2"/>
  <c r="AP85" i="2"/>
  <c r="AG85" i="2"/>
  <c r="X85" i="2"/>
  <c r="O85" i="2"/>
  <c r="F85" i="2"/>
  <c r="B85" i="2"/>
  <c r="EG84" i="2"/>
  <c r="EG83" i="2"/>
  <c r="EG82" i="2"/>
  <c r="DO82" i="2"/>
  <c r="EG81" i="2"/>
  <c r="DO81" i="2"/>
  <c r="EG80" i="2"/>
  <c r="DO80" i="2"/>
  <c r="EG79" i="2"/>
  <c r="DO79" i="2"/>
  <c r="CE79" i="2"/>
  <c r="CF79" i="2" s="1"/>
  <c r="CD79" i="2"/>
  <c r="CC79" i="2"/>
  <c r="CA79" i="2"/>
  <c r="BZ79" i="2"/>
  <c r="BY79" i="2"/>
  <c r="BX79" i="2"/>
  <c r="BV79" i="2"/>
  <c r="BU79" i="2"/>
  <c r="BT79" i="2"/>
  <c r="BS79" i="2"/>
  <c r="BP79" i="2"/>
  <c r="BQ79" i="2" s="1"/>
  <c r="BO79" i="2"/>
  <c r="BN79" i="2"/>
  <c r="BL79" i="2"/>
  <c r="BK79" i="2"/>
  <c r="BJ79" i="2"/>
  <c r="BI79" i="2"/>
  <c r="BG79" i="2"/>
  <c r="BF79" i="2"/>
  <c r="BE79" i="2"/>
  <c r="BD79" i="2"/>
  <c r="BA79" i="2"/>
  <c r="BB79" i="2" s="1"/>
  <c r="AZ79" i="2"/>
  <c r="AY79" i="2"/>
  <c r="AW79" i="2"/>
  <c r="AV79" i="2"/>
  <c r="AU79" i="2"/>
  <c r="AT79" i="2"/>
  <c r="AR79" i="2"/>
  <c r="AQ79" i="2"/>
  <c r="AP79" i="2"/>
  <c r="AO79" i="2"/>
  <c r="AL79" i="2"/>
  <c r="AM79" i="2" s="1"/>
  <c r="AK79" i="2"/>
  <c r="AJ79" i="2"/>
  <c r="AH79" i="2"/>
  <c r="AG79" i="2"/>
  <c r="AF79" i="2"/>
  <c r="AE79" i="2"/>
  <c r="AC79" i="2"/>
  <c r="AB79" i="2"/>
  <c r="AA79" i="2"/>
  <c r="Z79" i="2"/>
  <c r="W79" i="2"/>
  <c r="X79" i="2" s="1"/>
  <c r="V79" i="2"/>
  <c r="U79" i="2"/>
  <c r="S79" i="2"/>
  <c r="R79" i="2"/>
  <c r="Q79" i="2"/>
  <c r="P79" i="2"/>
  <c r="N79" i="2"/>
  <c r="M79" i="2"/>
  <c r="L79" i="2"/>
  <c r="K79" i="2"/>
  <c r="H79" i="2"/>
  <c r="I79" i="2" s="1"/>
  <c r="G79" i="2"/>
  <c r="F79" i="2"/>
  <c r="EG78" i="2"/>
  <c r="DO78" i="2"/>
  <c r="CF78" i="2"/>
  <c r="CE78" i="2"/>
  <c r="CD78" i="2"/>
  <c r="CC78" i="2"/>
  <c r="BZ78" i="2"/>
  <c r="BY78" i="2"/>
  <c r="BX78" i="2"/>
  <c r="BU78" i="2"/>
  <c r="BT78" i="2"/>
  <c r="BS78" i="2"/>
  <c r="BQ78" i="2"/>
  <c r="BP78" i="2"/>
  <c r="BO78" i="2"/>
  <c r="BN78" i="2"/>
  <c r="BK78" i="2"/>
  <c r="BJ78" i="2"/>
  <c r="BI78" i="2"/>
  <c r="BL78" i="2" s="1"/>
  <c r="BF78" i="2"/>
  <c r="BE78" i="2"/>
  <c r="BD78" i="2"/>
  <c r="BA78" i="2"/>
  <c r="AZ78" i="2"/>
  <c r="BB78" i="2" s="1"/>
  <c r="AY78" i="2"/>
  <c r="AV78" i="2"/>
  <c r="AU78" i="2"/>
  <c r="AT78" i="2"/>
  <c r="AW78" i="2" s="1"/>
  <c r="AQ78" i="2"/>
  <c r="AP78" i="2"/>
  <c r="AR78" i="2" s="1"/>
  <c r="AO78" i="2"/>
  <c r="AL78" i="2"/>
  <c r="AK78" i="2"/>
  <c r="AM78" i="2" s="1"/>
  <c r="AJ78" i="2"/>
  <c r="AG78" i="2"/>
  <c r="AF78" i="2"/>
  <c r="AE78" i="2"/>
  <c r="AH78" i="2" s="1"/>
  <c r="AB78" i="2"/>
  <c r="AA78" i="2"/>
  <c r="AC78" i="2" s="1"/>
  <c r="Z78" i="2"/>
  <c r="W78" i="2"/>
  <c r="X78" i="2" s="1"/>
  <c r="V78" i="2"/>
  <c r="U78" i="2"/>
  <c r="R78" i="2"/>
  <c r="Q78" i="2"/>
  <c r="P78" i="2"/>
  <c r="S78" i="2" s="1"/>
  <c r="M78" i="2"/>
  <c r="L78" i="2"/>
  <c r="N78" i="2" s="1"/>
  <c r="K78" i="2"/>
  <c r="H78" i="2"/>
  <c r="G78" i="2"/>
  <c r="I78" i="2" s="1"/>
  <c r="F78" i="2"/>
  <c r="EG77" i="2"/>
  <c r="DO77" i="2"/>
  <c r="CF77" i="2"/>
  <c r="CE77" i="2"/>
  <c r="CD77" i="2"/>
  <c r="CC77" i="2"/>
  <c r="CA77" i="2"/>
  <c r="BZ77" i="2"/>
  <c r="BY77" i="2"/>
  <c r="BX77" i="2"/>
  <c r="BV77" i="2"/>
  <c r="BU77" i="2"/>
  <c r="BT77" i="2"/>
  <c r="BS77" i="2"/>
  <c r="BQ77" i="2"/>
  <c r="BP77" i="2"/>
  <c r="BO77" i="2"/>
  <c r="BN77" i="2"/>
  <c r="BL77" i="2"/>
  <c r="BK77" i="2"/>
  <c r="BJ77" i="2"/>
  <c r="BI77" i="2"/>
  <c r="BG77" i="2"/>
  <c r="BF77" i="2"/>
  <c r="BE77" i="2"/>
  <c r="BD77" i="2"/>
  <c r="BB77" i="2"/>
  <c r="BA77" i="2"/>
  <c r="AZ77" i="2"/>
  <c r="AY77" i="2"/>
  <c r="AW77" i="2"/>
  <c r="AV77" i="2"/>
  <c r="AU77" i="2"/>
  <c r="AT77" i="2"/>
  <c r="AR77" i="2"/>
  <c r="AQ77" i="2"/>
  <c r="AP77" i="2"/>
  <c r="AO77" i="2"/>
  <c r="AM77" i="2"/>
  <c r="AL77" i="2"/>
  <c r="AK77" i="2"/>
  <c r="AJ77" i="2"/>
  <c r="AH77" i="2"/>
  <c r="AG77" i="2"/>
  <c r="AF77" i="2"/>
  <c r="AE77" i="2"/>
  <c r="AC77" i="2"/>
  <c r="AB77" i="2"/>
  <c r="AA77" i="2"/>
  <c r="Z77" i="2"/>
  <c r="X77" i="2"/>
  <c r="W77" i="2"/>
  <c r="V77" i="2"/>
  <c r="U77" i="2"/>
  <c r="S77" i="2"/>
  <c r="R77" i="2"/>
  <c r="Q77" i="2"/>
  <c r="P77" i="2"/>
  <c r="N77" i="2"/>
  <c r="M77" i="2"/>
  <c r="L77" i="2"/>
  <c r="K77" i="2"/>
  <c r="I77" i="2"/>
  <c r="H77" i="2"/>
  <c r="G77" i="2"/>
  <c r="F77" i="2"/>
  <c r="EG76" i="2"/>
  <c r="DO76" i="2"/>
  <c r="CE76" i="2"/>
  <c r="CD76" i="2"/>
  <c r="CF76" i="2" s="1"/>
  <c r="CC76" i="2"/>
  <c r="BZ76" i="2"/>
  <c r="BY76" i="2"/>
  <c r="BX76" i="2"/>
  <c r="BU76" i="2"/>
  <c r="BT76" i="2"/>
  <c r="BV76" i="2" s="1"/>
  <c r="BS76" i="2"/>
  <c r="BQ76" i="2"/>
  <c r="BP76" i="2"/>
  <c r="BO76" i="2"/>
  <c r="BN76" i="2"/>
  <c r="BK76" i="2"/>
  <c r="BJ76" i="2"/>
  <c r="BI76" i="2"/>
  <c r="BL76" i="2" s="1"/>
  <c r="BF76" i="2"/>
  <c r="BE76" i="2"/>
  <c r="BD76" i="2"/>
  <c r="BB76" i="2"/>
  <c r="BA76" i="2"/>
  <c r="AZ76" i="2"/>
  <c r="AY76" i="2"/>
  <c r="AV76" i="2"/>
  <c r="AU76" i="2"/>
  <c r="AT76" i="2"/>
  <c r="AW76" i="2" s="1"/>
  <c r="AQ76" i="2"/>
  <c r="AP76" i="2"/>
  <c r="AR76" i="2" s="1"/>
  <c r="AO76" i="2"/>
  <c r="AL76" i="2"/>
  <c r="AK76" i="2"/>
  <c r="AM76" i="2" s="1"/>
  <c r="AJ76" i="2"/>
  <c r="AG76" i="2"/>
  <c r="AF76" i="2"/>
  <c r="AE76" i="2"/>
  <c r="AH76" i="2" s="1"/>
  <c r="AB76" i="2"/>
  <c r="AA76" i="2"/>
  <c r="AC76" i="2" s="1"/>
  <c r="Z76" i="2"/>
  <c r="W76" i="2"/>
  <c r="X76" i="2" s="1"/>
  <c r="V76" i="2"/>
  <c r="U76" i="2"/>
  <c r="R76" i="2"/>
  <c r="Q76" i="2"/>
  <c r="P76" i="2"/>
  <c r="S76" i="2" s="1"/>
  <c r="M76" i="2"/>
  <c r="L76" i="2"/>
  <c r="N76" i="2" s="1"/>
  <c r="K76" i="2"/>
  <c r="H76" i="2"/>
  <c r="G76" i="2"/>
  <c r="I76" i="2" s="1"/>
  <c r="F76" i="2"/>
  <c r="EG75" i="2"/>
  <c r="DO75" i="2"/>
  <c r="CF75" i="2"/>
  <c r="CE75" i="2"/>
  <c r="CD75" i="2"/>
  <c r="CC75" i="2"/>
  <c r="BZ75" i="2"/>
  <c r="BY75" i="2"/>
  <c r="BX75" i="2"/>
  <c r="BV75" i="2"/>
  <c r="BU75" i="2"/>
  <c r="BT75" i="2"/>
  <c r="BS75" i="2"/>
  <c r="BQ75" i="2"/>
  <c r="BP75" i="2"/>
  <c r="BO75" i="2"/>
  <c r="BN75" i="2"/>
  <c r="BK75" i="2"/>
  <c r="BJ75" i="2"/>
  <c r="BI75" i="2"/>
  <c r="BG75" i="2"/>
  <c r="BF75" i="2"/>
  <c r="BE75" i="2"/>
  <c r="BD75" i="2"/>
  <c r="BB75" i="2"/>
  <c r="BA75" i="2"/>
  <c r="AZ75" i="2"/>
  <c r="AY75" i="2"/>
  <c r="AV75" i="2"/>
  <c r="AU75" i="2"/>
  <c r="AT75" i="2"/>
  <c r="AW75" i="2" s="1"/>
  <c r="AR75" i="2"/>
  <c r="AQ75" i="2"/>
  <c r="AP75" i="2"/>
  <c r="AO75" i="2"/>
  <c r="AM75" i="2"/>
  <c r="AL75" i="2"/>
  <c r="AK75" i="2"/>
  <c r="AJ75" i="2"/>
  <c r="AG75" i="2"/>
  <c r="AF75" i="2"/>
  <c r="AE75" i="2"/>
  <c r="AC75" i="2"/>
  <c r="AB75" i="2"/>
  <c r="AA75" i="2"/>
  <c r="Z75" i="2"/>
  <c r="X75" i="2"/>
  <c r="W75" i="2"/>
  <c r="V75" i="2"/>
  <c r="U75" i="2"/>
  <c r="R75" i="2"/>
  <c r="Q75" i="2"/>
  <c r="P75" i="2"/>
  <c r="S75" i="2" s="1"/>
  <c r="N75" i="2"/>
  <c r="M75" i="2"/>
  <c r="L75" i="2"/>
  <c r="K75" i="2"/>
  <c r="I75" i="2"/>
  <c r="H75" i="2"/>
  <c r="G75" i="2"/>
  <c r="F75" i="2"/>
  <c r="EG74" i="2"/>
  <c r="DO74" i="2"/>
  <c r="CE74" i="2"/>
  <c r="CD74" i="2"/>
  <c r="CC74" i="2"/>
  <c r="BZ74" i="2"/>
  <c r="BY74" i="2"/>
  <c r="BX74" i="2"/>
  <c r="CA74" i="2" s="1"/>
  <c r="BU74" i="2"/>
  <c r="BT74" i="2"/>
  <c r="BV74" i="2" s="1"/>
  <c r="BS74" i="2"/>
  <c r="BP74" i="2"/>
  <c r="BO74" i="2"/>
  <c r="BQ74" i="2" s="1"/>
  <c r="BN74" i="2"/>
  <c r="BK74" i="2"/>
  <c r="BJ74" i="2"/>
  <c r="BI74" i="2"/>
  <c r="BL74" i="2" s="1"/>
  <c r="BF74" i="2"/>
  <c r="BE74" i="2"/>
  <c r="BG74" i="2" s="1"/>
  <c r="BD74" i="2"/>
  <c r="BB74" i="2"/>
  <c r="BA74" i="2"/>
  <c r="AZ74" i="2"/>
  <c r="AY74" i="2"/>
  <c r="AV74" i="2"/>
  <c r="AU74" i="2"/>
  <c r="AT74" i="2"/>
  <c r="AW74" i="2" s="1"/>
  <c r="AQ74" i="2"/>
  <c r="AP74" i="2"/>
  <c r="AR74" i="2" s="1"/>
  <c r="AO74" i="2"/>
  <c r="AM74" i="2"/>
  <c r="AL74" i="2"/>
  <c r="AK74" i="2"/>
  <c r="AJ74" i="2"/>
  <c r="AG74" i="2"/>
  <c r="AF74" i="2"/>
  <c r="AE74" i="2"/>
  <c r="AH74" i="2" s="1"/>
  <c r="AB74" i="2"/>
  <c r="AA74" i="2"/>
  <c r="Z74" i="2"/>
  <c r="X74" i="2"/>
  <c r="W74" i="2"/>
  <c r="V74" i="2"/>
  <c r="U74" i="2"/>
  <c r="R74" i="2"/>
  <c r="Q74" i="2"/>
  <c r="P74" i="2"/>
  <c r="S74" i="2" s="1"/>
  <c r="M74" i="2"/>
  <c r="L74" i="2"/>
  <c r="K74" i="2"/>
  <c r="H74" i="2"/>
  <c r="G74" i="2"/>
  <c r="I74" i="2" s="1"/>
  <c r="F74" i="2"/>
  <c r="EG73" i="2"/>
  <c r="DO73" i="2"/>
  <c r="CF73" i="2"/>
  <c r="CE73" i="2"/>
  <c r="CD73" i="2"/>
  <c r="CC73" i="2"/>
  <c r="BZ73" i="2"/>
  <c r="BY73" i="2"/>
  <c r="BX73" i="2"/>
  <c r="CA73" i="2" s="1"/>
  <c r="BV73" i="2"/>
  <c r="BU73" i="2"/>
  <c r="BT73" i="2"/>
  <c r="BS73" i="2"/>
  <c r="BQ73" i="2"/>
  <c r="BP73" i="2"/>
  <c r="BO73" i="2"/>
  <c r="BN73" i="2"/>
  <c r="BK73" i="2"/>
  <c r="BJ73" i="2"/>
  <c r="BI73" i="2"/>
  <c r="BG73" i="2"/>
  <c r="BF73" i="2"/>
  <c r="BE73" i="2"/>
  <c r="BD73" i="2"/>
  <c r="BB73" i="2"/>
  <c r="BA73" i="2"/>
  <c r="AZ73" i="2"/>
  <c r="AY73" i="2"/>
  <c r="AV73" i="2"/>
  <c r="AU73" i="2"/>
  <c r="AT73" i="2"/>
  <c r="AW73" i="2" s="1"/>
  <c r="AR73" i="2"/>
  <c r="AQ73" i="2"/>
  <c r="AP73" i="2"/>
  <c r="AO73" i="2"/>
  <c r="AM73" i="2"/>
  <c r="AL73" i="2"/>
  <c r="AK73" i="2"/>
  <c r="AJ73" i="2"/>
  <c r="AG73" i="2"/>
  <c r="AF73" i="2"/>
  <c r="AE73" i="2"/>
  <c r="AH73" i="2" s="1"/>
  <c r="AC73" i="2"/>
  <c r="AB73" i="2"/>
  <c r="AA73" i="2"/>
  <c r="Z73" i="2"/>
  <c r="X73" i="2"/>
  <c r="W73" i="2"/>
  <c r="V73" i="2"/>
  <c r="U73" i="2"/>
  <c r="R73" i="2"/>
  <c r="Q73" i="2"/>
  <c r="P73" i="2"/>
  <c r="N73" i="2"/>
  <c r="M73" i="2"/>
  <c r="L73" i="2"/>
  <c r="K73" i="2"/>
  <c r="I73" i="2"/>
  <c r="H73" i="2"/>
  <c r="G73" i="2"/>
  <c r="F73" i="2"/>
  <c r="EG72" i="2"/>
  <c r="DO72" i="2"/>
  <c r="CF72" i="2"/>
  <c r="CE72" i="2"/>
  <c r="CD72" i="2"/>
  <c r="CC72" i="2"/>
  <c r="BZ72" i="2"/>
  <c r="BY72" i="2"/>
  <c r="BX72" i="2"/>
  <c r="CA72" i="2" s="1"/>
  <c r="BU72" i="2"/>
  <c r="BT72" i="2"/>
  <c r="BS72" i="2"/>
  <c r="BP72" i="2"/>
  <c r="BO72" i="2"/>
  <c r="BQ72" i="2" s="1"/>
  <c r="BN72" i="2"/>
  <c r="BK72" i="2"/>
  <c r="BJ72" i="2"/>
  <c r="BI72" i="2"/>
  <c r="BL72" i="2" s="1"/>
  <c r="BF72" i="2"/>
  <c r="BE72" i="2"/>
  <c r="BD72" i="2"/>
  <c r="BA72" i="2"/>
  <c r="AZ72" i="2"/>
  <c r="BB72" i="2" s="1"/>
  <c r="AY72" i="2"/>
  <c r="AV72" i="2"/>
  <c r="AU72" i="2"/>
  <c r="AT72" i="2"/>
  <c r="AQ72" i="2"/>
  <c r="AP72" i="2"/>
  <c r="AO72" i="2"/>
  <c r="AM72" i="2"/>
  <c r="AL72" i="2"/>
  <c r="AK72" i="2"/>
  <c r="AJ72" i="2"/>
  <c r="AG72" i="2"/>
  <c r="AF72" i="2"/>
  <c r="AE72" i="2"/>
  <c r="AB72" i="2"/>
  <c r="AA72" i="2"/>
  <c r="Z72" i="2"/>
  <c r="X72" i="2"/>
  <c r="W72" i="2"/>
  <c r="V72" i="2"/>
  <c r="U72" i="2"/>
  <c r="R72" i="2"/>
  <c r="Q72" i="2"/>
  <c r="P72" i="2"/>
  <c r="S72" i="2" s="1"/>
  <c r="M72" i="2"/>
  <c r="L72" i="2"/>
  <c r="K72" i="2"/>
  <c r="N72" i="2" s="1"/>
  <c r="H72" i="2"/>
  <c r="G72" i="2"/>
  <c r="I72" i="2" s="1"/>
  <c r="F72" i="2"/>
  <c r="EG71" i="2"/>
  <c r="DO71" i="2"/>
  <c r="CE71" i="2"/>
  <c r="CD71" i="2"/>
  <c r="CC71" i="2"/>
  <c r="CF71" i="2" s="1"/>
  <c r="BZ71" i="2"/>
  <c r="BY71" i="2"/>
  <c r="CA71" i="2" s="1"/>
  <c r="BX71" i="2"/>
  <c r="BV71" i="2"/>
  <c r="BP98" i="2" s="1" a="1"/>
  <c r="BP98" i="2" s="1"/>
  <c r="BU71" i="2"/>
  <c r="BT71" i="2"/>
  <c r="BS71" i="2"/>
  <c r="BP71" i="2"/>
  <c r="BO71" i="2"/>
  <c r="BN71" i="2"/>
  <c r="BQ71" i="2" s="1"/>
  <c r="BL71" i="2"/>
  <c r="BK71" i="2"/>
  <c r="BJ71" i="2"/>
  <c r="BI71" i="2"/>
  <c r="BG71" i="2"/>
  <c r="BF71" i="2"/>
  <c r="BE71" i="2"/>
  <c r="BD71" i="2"/>
  <c r="BA71" i="2"/>
  <c r="AZ71" i="2"/>
  <c r="AY71" i="2"/>
  <c r="BB71" i="2" s="1"/>
  <c r="W98" i="2" s="1" a="1"/>
  <c r="W98" i="2" s="1"/>
  <c r="AV71" i="2"/>
  <c r="AU71" i="2"/>
  <c r="AW71" i="2" s="1"/>
  <c r="AT71" i="2"/>
  <c r="AR71" i="2"/>
  <c r="BP90" i="2" s="1"/>
  <c r="AQ71" i="2"/>
  <c r="AP71" i="2"/>
  <c r="AO71" i="2"/>
  <c r="AL71" i="2"/>
  <c r="AK71" i="2"/>
  <c r="AJ71" i="2"/>
  <c r="AM71" i="2" s="1"/>
  <c r="BG90" i="2" s="1"/>
  <c r="AH71" i="2"/>
  <c r="AX90" i="2" s="1"/>
  <c r="AG71" i="2"/>
  <c r="AF71" i="2"/>
  <c r="AE71" i="2"/>
  <c r="AC71" i="2"/>
  <c r="AO90" i="2" s="1"/>
  <c r="AB71" i="2"/>
  <c r="AA71" i="2"/>
  <c r="Z71" i="2"/>
  <c r="W71" i="2"/>
  <c r="V71" i="2"/>
  <c r="U71" i="2"/>
  <c r="X71" i="2" s="1"/>
  <c r="AF90" i="2" s="1"/>
  <c r="R71" i="2"/>
  <c r="S71" i="2" s="1"/>
  <c r="W90" i="2" s="1"/>
  <c r="Q71" i="2"/>
  <c r="P71" i="2"/>
  <c r="N71" i="2"/>
  <c r="M71" i="2"/>
  <c r="L71" i="2"/>
  <c r="K71" i="2"/>
  <c r="H71" i="2"/>
  <c r="G71" i="2"/>
  <c r="F71" i="2"/>
  <c r="I71" i="2" s="1"/>
  <c r="E90" i="2" s="1"/>
  <c r="EG70" i="2"/>
  <c r="DO70" i="2"/>
  <c r="CF70" i="2"/>
  <c r="CE70" i="2"/>
  <c r="CD70" i="2"/>
  <c r="CC70" i="2"/>
  <c r="BZ70" i="2"/>
  <c r="BY70" i="2"/>
  <c r="BX70" i="2"/>
  <c r="CA70" i="2" s="1"/>
  <c r="BU70" i="2"/>
  <c r="BT70" i="2"/>
  <c r="BS70" i="2"/>
  <c r="BP70" i="2"/>
  <c r="BO70" i="2"/>
  <c r="BQ70" i="2" s="1"/>
  <c r="BN70" i="2"/>
  <c r="BK70" i="2"/>
  <c r="BJ70" i="2"/>
  <c r="BI70" i="2"/>
  <c r="BL70" i="2" s="1"/>
  <c r="BF70" i="2"/>
  <c r="BE70" i="2"/>
  <c r="BD70" i="2"/>
  <c r="BB70" i="2"/>
  <c r="BA70" i="2"/>
  <c r="AZ70" i="2"/>
  <c r="AY70" i="2"/>
  <c r="AV70" i="2"/>
  <c r="AU70" i="2"/>
  <c r="AT70" i="2"/>
  <c r="AW70" i="2" s="1"/>
  <c r="AQ70" i="2"/>
  <c r="AP70" i="2"/>
  <c r="AO70" i="2"/>
  <c r="AL70" i="2"/>
  <c r="AK70" i="2"/>
  <c r="AM70" i="2" s="1"/>
  <c r="BG89" i="2" s="1"/>
  <c r="AJ70" i="2"/>
  <c r="AG70" i="2"/>
  <c r="AF70" i="2"/>
  <c r="AE70" i="2"/>
  <c r="AH70" i="2" s="1"/>
  <c r="AX89" i="2" s="1"/>
  <c r="AB70" i="2"/>
  <c r="AA70" i="2"/>
  <c r="Z70" i="2"/>
  <c r="X70" i="2"/>
  <c r="AF89" i="2" s="1"/>
  <c r="W70" i="2"/>
  <c r="V70" i="2"/>
  <c r="U70" i="2"/>
  <c r="R70" i="2"/>
  <c r="Q70" i="2"/>
  <c r="P70" i="2"/>
  <c r="M70" i="2"/>
  <c r="L70" i="2"/>
  <c r="K70" i="2"/>
  <c r="I70" i="2"/>
  <c r="E89" i="2" s="1"/>
  <c r="H70" i="2"/>
  <c r="G70" i="2"/>
  <c r="F70" i="2"/>
  <c r="EG69" i="2"/>
  <c r="DO69" i="2"/>
  <c r="CE69" i="2"/>
  <c r="CF69" i="2" s="1"/>
  <c r="CD69" i="2"/>
  <c r="CC69" i="2"/>
  <c r="CA69" i="2"/>
  <c r="BZ69" i="2"/>
  <c r="BY69" i="2"/>
  <c r="BX69" i="2"/>
  <c r="BV69" i="2"/>
  <c r="BU69" i="2"/>
  <c r="BT69" i="2"/>
  <c r="BS69" i="2"/>
  <c r="BP69" i="2"/>
  <c r="BQ69" i="2" s="1"/>
  <c r="BO69" i="2"/>
  <c r="BN69" i="2"/>
  <c r="BL69" i="2"/>
  <c r="BK69" i="2"/>
  <c r="BJ69" i="2"/>
  <c r="BI69" i="2"/>
  <c r="BG69" i="2"/>
  <c r="BF69" i="2"/>
  <c r="BE69" i="2"/>
  <c r="BD69" i="2"/>
  <c r="BA69" i="2"/>
  <c r="BB69" i="2" s="1"/>
  <c r="W96" i="2" s="1" a="1"/>
  <c r="W96" i="2" s="1"/>
  <c r="AZ69" i="2"/>
  <c r="AY69" i="2"/>
  <c r="AW69" i="2"/>
  <c r="AV69" i="2"/>
  <c r="AU69" i="2"/>
  <c r="AT69" i="2"/>
  <c r="AR69" i="2"/>
  <c r="BP88" i="2" s="1"/>
  <c r="AQ69" i="2"/>
  <c r="AP69" i="2"/>
  <c r="AO69" i="2"/>
  <c r="AL69" i="2"/>
  <c r="AM69" i="2" s="1"/>
  <c r="BG88" i="2" s="1"/>
  <c r="AK69" i="2"/>
  <c r="AJ69" i="2"/>
  <c r="AH69" i="2"/>
  <c r="AX88" i="2" s="1"/>
  <c r="AG69" i="2"/>
  <c r="AF69" i="2"/>
  <c r="AE69" i="2"/>
  <c r="AC69" i="2"/>
  <c r="AO88" i="2" s="1"/>
  <c r="AB69" i="2"/>
  <c r="AA69" i="2"/>
  <c r="Z69" i="2"/>
  <c r="W69" i="2"/>
  <c r="X69" i="2" s="1"/>
  <c r="AF88" i="2" s="1"/>
  <c r="V69" i="2"/>
  <c r="U69" i="2"/>
  <c r="S69" i="2"/>
  <c r="W88" i="2" s="1"/>
  <c r="R69" i="2"/>
  <c r="Q69" i="2"/>
  <c r="P69" i="2"/>
  <c r="N69" i="2"/>
  <c r="N88" i="2" s="1"/>
  <c r="M69" i="2"/>
  <c r="L69" i="2"/>
  <c r="K69" i="2"/>
  <c r="H69" i="2"/>
  <c r="I69" i="2" s="1"/>
  <c r="E88" i="2" s="1"/>
  <c r="G69" i="2"/>
  <c r="F69" i="2"/>
  <c r="EG68" i="2"/>
  <c r="DO68" i="2"/>
  <c r="CF68" i="2"/>
  <c r="CE68" i="2"/>
  <c r="CD68" i="2"/>
  <c r="CC68" i="2"/>
  <c r="BZ68" i="2"/>
  <c r="BY68" i="2"/>
  <c r="BX68" i="2"/>
  <c r="CA68" i="2" s="1"/>
  <c r="BU68" i="2"/>
  <c r="BT68" i="2"/>
  <c r="BS68" i="2"/>
  <c r="BQ68" i="2"/>
  <c r="BP68" i="2"/>
  <c r="BO68" i="2"/>
  <c r="BN68" i="2"/>
  <c r="BK68" i="2"/>
  <c r="BJ68" i="2"/>
  <c r="BI68" i="2"/>
  <c r="BL68" i="2" s="1"/>
  <c r="BF68" i="2"/>
  <c r="BE68" i="2"/>
  <c r="BD68" i="2"/>
  <c r="BG68" i="2" s="1"/>
  <c r="BA68" i="2"/>
  <c r="AZ68" i="2"/>
  <c r="AY68" i="2"/>
  <c r="AV68" i="2"/>
  <c r="AU68" i="2"/>
  <c r="AT68" i="2"/>
  <c r="AW68" i="2" s="1"/>
  <c r="AQ68" i="2"/>
  <c r="AP68" i="2"/>
  <c r="AO68" i="2"/>
  <c r="AL68" i="2"/>
  <c r="AM68" i="2" s="1"/>
  <c r="BG87" i="2" s="1"/>
  <c r="AK68" i="2"/>
  <c r="AJ68" i="2"/>
  <c r="AG68" i="2"/>
  <c r="AF68" i="2"/>
  <c r="AE68" i="2"/>
  <c r="AH68" i="2" s="1"/>
  <c r="AX87" i="2" s="1"/>
  <c r="AB68" i="2"/>
  <c r="AA68" i="2"/>
  <c r="Z68" i="2"/>
  <c r="W68" i="2"/>
  <c r="V68" i="2"/>
  <c r="X68" i="2" s="1"/>
  <c r="AF87" i="2" s="1"/>
  <c r="U68" i="2"/>
  <c r="R68" i="2"/>
  <c r="Q68" i="2"/>
  <c r="P68" i="2"/>
  <c r="S68" i="2" s="1"/>
  <c r="W87" i="2" s="1"/>
  <c r="M68" i="2"/>
  <c r="L68" i="2"/>
  <c r="K68" i="2"/>
  <c r="I68" i="2"/>
  <c r="E87" i="2" s="1"/>
  <c r="H68" i="2"/>
  <c r="G68" i="2"/>
  <c r="F68" i="2"/>
  <c r="EG67" i="2"/>
  <c r="DO67" i="2"/>
  <c r="CF67" i="2"/>
  <c r="CE67" i="2"/>
  <c r="CD67" i="2"/>
  <c r="CC67" i="2"/>
  <c r="CA67" i="2"/>
  <c r="BZ67" i="2"/>
  <c r="BY67" i="2"/>
  <c r="BX67" i="2"/>
  <c r="BV67" i="2"/>
  <c r="BU67" i="2"/>
  <c r="BT67" i="2"/>
  <c r="BS67" i="2"/>
  <c r="BQ67" i="2"/>
  <c r="BP67" i="2"/>
  <c r="BO67" i="2"/>
  <c r="BN67" i="2"/>
  <c r="BL67" i="2"/>
  <c r="BK67" i="2"/>
  <c r="BJ67" i="2"/>
  <c r="BI67" i="2"/>
  <c r="BG67" i="2"/>
  <c r="BF67" i="2"/>
  <c r="BE67" i="2"/>
  <c r="BD67" i="2"/>
  <c r="BB67" i="2"/>
  <c r="BA67" i="2"/>
  <c r="AZ67" i="2"/>
  <c r="AY67" i="2"/>
  <c r="AW67" i="2"/>
  <c r="AV67" i="2"/>
  <c r="AU67" i="2"/>
  <c r="AT67" i="2"/>
  <c r="AR67" i="2"/>
  <c r="AQ67" i="2"/>
  <c r="AP67" i="2"/>
  <c r="AO67" i="2"/>
  <c r="AM67" i="2"/>
  <c r="BG86" i="2" s="1"/>
  <c r="AL67" i="2"/>
  <c r="AK67" i="2"/>
  <c r="AJ67" i="2"/>
  <c r="AH67" i="2"/>
  <c r="AX86" i="2" s="1"/>
  <c r="AG67" i="2"/>
  <c r="AF67" i="2"/>
  <c r="AE67" i="2"/>
  <c r="AC67" i="2"/>
  <c r="AO86" i="2" s="1"/>
  <c r="AB67" i="2"/>
  <c r="AA67" i="2"/>
  <c r="Z67" i="2"/>
  <c r="X67" i="2"/>
  <c r="AF86" i="2" s="1"/>
  <c r="W67" i="2"/>
  <c r="V67" i="2"/>
  <c r="U67" i="2"/>
  <c r="S67" i="2"/>
  <c r="R67" i="2"/>
  <c r="Q67" i="2"/>
  <c r="P67" i="2"/>
  <c r="N67" i="2"/>
  <c r="M67" i="2"/>
  <c r="L67" i="2"/>
  <c r="K67" i="2"/>
  <c r="I67" i="2"/>
  <c r="E86" i="2" s="1"/>
  <c r="H67" i="2"/>
  <c r="G67" i="2"/>
  <c r="F67" i="2"/>
  <c r="EG66" i="2"/>
  <c r="DO66" i="2"/>
  <c r="CF66" i="2"/>
  <c r="CE66" i="2"/>
  <c r="CD66" i="2"/>
  <c r="CC66" i="2"/>
  <c r="BZ66" i="2"/>
  <c r="BY66" i="2"/>
  <c r="BX66" i="2"/>
  <c r="CA66" i="2" s="1"/>
  <c r="BU66" i="2"/>
  <c r="BT66" i="2"/>
  <c r="BS66" i="2"/>
  <c r="BQ66" i="2"/>
  <c r="BP66" i="2"/>
  <c r="BO66" i="2"/>
  <c r="BN66" i="2"/>
  <c r="BK66" i="2"/>
  <c r="BJ66" i="2"/>
  <c r="BI66" i="2"/>
  <c r="BL66" i="2" s="1"/>
  <c r="BF66" i="2"/>
  <c r="BE66" i="2"/>
  <c r="BD66" i="2"/>
  <c r="BB66" i="2"/>
  <c r="BA66" i="2"/>
  <c r="AZ66" i="2"/>
  <c r="AY66" i="2"/>
  <c r="AV66" i="2"/>
  <c r="AU66" i="2"/>
  <c r="AT66" i="2"/>
  <c r="AW66" i="2" s="1"/>
  <c r="AQ66" i="2"/>
  <c r="AP66" i="2"/>
  <c r="AO66" i="2"/>
  <c r="AR66" i="2" s="1"/>
  <c r="BP85" i="2" s="1"/>
  <c r="AL66" i="2"/>
  <c r="AK66" i="2"/>
  <c r="AM66" i="2" s="1"/>
  <c r="BG85" i="2" s="1"/>
  <c r="AJ66" i="2"/>
  <c r="AG66" i="2"/>
  <c r="AF66" i="2"/>
  <c r="AE66" i="2"/>
  <c r="AH66" i="2" s="1"/>
  <c r="AX85" i="2" s="1"/>
  <c r="AB66" i="2"/>
  <c r="AA66" i="2"/>
  <c r="Z66" i="2"/>
  <c r="W66" i="2"/>
  <c r="V66" i="2"/>
  <c r="U66" i="2"/>
  <c r="R66" i="2"/>
  <c r="Q66" i="2"/>
  <c r="P66" i="2"/>
  <c r="S66" i="2" s="1"/>
  <c r="W85" i="2" s="1"/>
  <c r="M66" i="2"/>
  <c r="L66" i="2"/>
  <c r="K66" i="2"/>
  <c r="H66" i="2"/>
  <c r="G66" i="2"/>
  <c r="I66" i="2" s="1"/>
  <c r="E85" i="2" s="1"/>
  <c r="F66" i="2"/>
  <c r="EG65" i="2"/>
  <c r="DO65" i="2"/>
  <c r="DA65" i="2" a="1"/>
  <c r="DA65" i="2" s="1"/>
  <c r="EG64" i="2"/>
  <c r="DO64" i="2"/>
  <c r="DA64" i="2" a="1"/>
  <c r="DA64" i="2" s="1"/>
  <c r="EG63" i="2"/>
  <c r="DA63" i="2" a="1"/>
  <c r="DA63" i="2"/>
  <c r="DA61" i="2" a="1"/>
  <c r="DA61" i="2"/>
  <c r="CY61" i="2"/>
  <c r="DA60" i="2" a="1"/>
  <c r="DA60" i="2" s="1"/>
  <c r="CY60" i="2"/>
  <c r="DA59" i="2" a="1"/>
  <c r="DA59" i="2"/>
  <c r="CY59" i="2"/>
  <c r="U59" i="2"/>
  <c r="DA58" i="2" a="1"/>
  <c r="DA58" i="2"/>
  <c r="CY58" i="2"/>
  <c r="EJ57" i="2" a="1"/>
  <c r="EJ57" i="2" s="1"/>
  <c r="EI57" i="2" a="1"/>
  <c r="EI57" i="2" s="1"/>
  <c r="EH57" i="2" a="1"/>
  <c r="EH57" i="2" s="1"/>
  <c r="EG57" i="2" a="1"/>
  <c r="EG57" i="2" s="1"/>
  <c r="EF57" i="2" a="1"/>
  <c r="EF57" i="2" s="1"/>
  <c r="EE57" i="2" a="1"/>
  <c r="EE57" i="2"/>
  <c r="ED57" i="2" a="1"/>
  <c r="ED57" i="2" s="1"/>
  <c r="EC57" i="2" a="1"/>
  <c r="EC57" i="2" s="1"/>
  <c r="EB57" i="2" a="1"/>
  <c r="EB57" i="2" s="1"/>
  <c r="EA57" i="2" a="1"/>
  <c r="EA57" i="2" s="1"/>
  <c r="DZ57" i="2" a="1"/>
  <c r="DZ57" i="2" s="1"/>
  <c r="DY57" i="2" a="1"/>
  <c r="DY57" i="2"/>
  <c r="DX57" i="2" a="1"/>
  <c r="DX57" i="2"/>
  <c r="DW57" i="2" a="1"/>
  <c r="DW57" i="2"/>
  <c r="DV57" i="2" a="1"/>
  <c r="DV57" i="2" s="1"/>
  <c r="DU57" i="2" a="1"/>
  <c r="DU57" i="2" s="1"/>
  <c r="DT57" i="2"/>
  <c r="DR57" i="2" a="1"/>
  <c r="DR57" i="2" s="1"/>
  <c r="DQ57" i="2" a="1"/>
  <c r="DQ57" i="2" s="1"/>
  <c r="DP57" i="2" a="1"/>
  <c r="DP57" i="2" s="1"/>
  <c r="DO57" i="2" a="1"/>
  <c r="DO57" i="2" s="1"/>
  <c r="DN57" i="2" a="1"/>
  <c r="DN57" i="2"/>
  <c r="DM57" i="2" a="1"/>
  <c r="DM57" i="2"/>
  <c r="DL57" i="2" a="1"/>
  <c r="DL57" i="2" s="1"/>
  <c r="DK57" i="2" a="1"/>
  <c r="DK57" i="2"/>
  <c r="DJ57" i="2" a="1"/>
  <c r="DJ57" i="2"/>
  <c r="DI57" i="2" a="1"/>
  <c r="DI57" i="2"/>
  <c r="DH57" i="2" a="1"/>
  <c r="DH57" i="2"/>
  <c r="DG57" i="2" a="1"/>
  <c r="DG57" i="2"/>
  <c r="DF57" i="2" a="1"/>
  <c r="DF57" i="2" s="1"/>
  <c r="DE57" i="2" a="1"/>
  <c r="DE57" i="2" s="1"/>
  <c r="DD57" i="2" a="1"/>
  <c r="DD57" i="2" s="1"/>
  <c r="DC57" i="2" a="1"/>
  <c r="DC57" i="2" s="1"/>
  <c r="DB57" i="2"/>
  <c r="DA57" i="2" a="1"/>
  <c r="DA57" i="2" s="1"/>
  <c r="CY57" i="2"/>
  <c r="CQ57" i="2"/>
  <c r="CP57" i="2"/>
  <c r="CN57" i="2"/>
  <c r="CM57" i="2"/>
  <c r="CK57" i="2"/>
  <c r="CJ57" i="2"/>
  <c r="CH57" i="2"/>
  <c r="CG57" i="2"/>
  <c r="D57" i="2" a="1"/>
  <c r="D57" i="2" s="1"/>
  <c r="CV57" i="2" s="1"/>
  <c r="EJ56" i="2" a="1"/>
  <c r="EJ56" i="2"/>
  <c r="EI56" i="2" a="1"/>
  <c r="EI56" i="2" s="1"/>
  <c r="EH56" i="2" a="1"/>
  <c r="EH56" i="2" s="1"/>
  <c r="EG56" i="2" a="1"/>
  <c r="EG56" i="2" s="1"/>
  <c r="EF56" i="2" a="1"/>
  <c r="EF56" i="2"/>
  <c r="EE56" i="2" a="1"/>
  <c r="EE56" i="2"/>
  <c r="ED56" i="2" a="1"/>
  <c r="ED56" i="2"/>
  <c r="EC56" i="2" a="1"/>
  <c r="EC56" i="2" s="1"/>
  <c r="EB56" i="2" a="1"/>
  <c r="EB56" i="2"/>
  <c r="EA56" i="2" a="1"/>
  <c r="EA56" i="2"/>
  <c r="DZ56" i="2" a="1"/>
  <c r="DZ56" i="2"/>
  <c r="DY56" i="2" a="1"/>
  <c r="DY56" i="2"/>
  <c r="DX56" i="2" a="1"/>
  <c r="DX56" i="2"/>
  <c r="DW56" i="2" a="1"/>
  <c r="DW56" i="2" s="1"/>
  <c r="DV56" i="2" a="1"/>
  <c r="DV56" i="2" s="1"/>
  <c r="DU56" i="2" a="1"/>
  <c r="DU56" i="2" s="1"/>
  <c r="DT56" i="2"/>
  <c r="DR56" i="2" a="1"/>
  <c r="DR56" i="2" s="1"/>
  <c r="DQ56" i="2" a="1"/>
  <c r="DQ56" i="2" s="1"/>
  <c r="DP56" i="2" a="1"/>
  <c r="DP56" i="2" s="1"/>
  <c r="DO56" i="2" a="1"/>
  <c r="DO56" i="2"/>
  <c r="DN56" i="2" a="1"/>
  <c r="DN56" i="2"/>
  <c r="DM56" i="2" a="1"/>
  <c r="DM56" i="2"/>
  <c r="DL56" i="2" a="1"/>
  <c r="DL56" i="2" s="1"/>
  <c r="DK56" i="2" a="1"/>
  <c r="DK56" i="2" s="1"/>
  <c r="DJ56" i="2" a="1"/>
  <c r="DJ56" i="2"/>
  <c r="DI56" i="2" a="1"/>
  <c r="DI56" i="2"/>
  <c r="DH56" i="2" a="1"/>
  <c r="DH56" i="2" s="1"/>
  <c r="DG56" i="2" a="1"/>
  <c r="DG56" i="2"/>
  <c r="DF56" i="2" a="1"/>
  <c r="DF56" i="2" s="1"/>
  <c r="DE56" i="2" a="1"/>
  <c r="DE56" i="2" s="1"/>
  <c r="DD56" i="2" a="1"/>
  <c r="DD56" i="2"/>
  <c r="DC56" i="2" a="1"/>
  <c r="DC56" i="2"/>
  <c r="DB56" i="2"/>
  <c r="DA56" i="2" a="1"/>
  <c r="DA56" i="2"/>
  <c r="CY56" i="2"/>
  <c r="CQ56" i="2"/>
  <c r="CP56" i="2"/>
  <c r="CO56" i="2"/>
  <c r="CN56" i="2"/>
  <c r="CM56" i="2"/>
  <c r="CL56" i="2"/>
  <c r="CK56" i="2"/>
  <c r="CJ56" i="2"/>
  <c r="CI56" i="2"/>
  <c r="CH56" i="2"/>
  <c r="CG56" i="2"/>
  <c r="CR56" i="2" s="1"/>
  <c r="D56" i="2" a="1"/>
  <c r="D56" i="2" s="1"/>
  <c r="CV56" i="2" s="1"/>
  <c r="EJ55" i="2" a="1"/>
  <c r="EJ55" i="2" s="1"/>
  <c r="EI55" i="2" a="1"/>
  <c r="EI55" i="2" s="1"/>
  <c r="EH55" i="2" a="1"/>
  <c r="EH55" i="2" s="1"/>
  <c r="EG55" i="2" a="1"/>
  <c r="EG55" i="2" s="1"/>
  <c r="EF55" i="2" a="1"/>
  <c r="EF55" i="2"/>
  <c r="EE55" i="2" a="1"/>
  <c r="EE55" i="2" s="1"/>
  <c r="ED55" i="2" a="1"/>
  <c r="ED55" i="2" s="1"/>
  <c r="EC55" i="2" a="1"/>
  <c r="EC55" i="2" s="1"/>
  <c r="EB55" i="2" a="1"/>
  <c r="EB55" i="2" s="1"/>
  <c r="EA55" i="2" a="1"/>
  <c r="EA55" i="2" s="1"/>
  <c r="DZ55" i="2" a="1"/>
  <c r="DZ55" i="2"/>
  <c r="DY55" i="2" a="1"/>
  <c r="DY55" i="2" s="1"/>
  <c r="DX55" i="2" a="1"/>
  <c r="DX55" i="2"/>
  <c r="DW55" i="2" a="1"/>
  <c r="DW55" i="2" s="1"/>
  <c r="DV55" i="2" a="1"/>
  <c r="DV55" i="2" s="1"/>
  <c r="DU55" i="2" a="1"/>
  <c r="DU55" i="2" s="1"/>
  <c r="DT55" i="2"/>
  <c r="DR55" i="2" a="1"/>
  <c r="DR55" i="2"/>
  <c r="DQ55" i="2" a="1"/>
  <c r="DQ55" i="2"/>
  <c r="DP55" i="2" a="1"/>
  <c r="DP55" i="2" s="1"/>
  <c r="DO55" i="2" a="1"/>
  <c r="DO55" i="2"/>
  <c r="DN55" i="2" a="1"/>
  <c r="DN55" i="2"/>
  <c r="DM55" i="2" a="1"/>
  <c r="DM55" i="2" s="1"/>
  <c r="DL55" i="2" a="1"/>
  <c r="DL55" i="2" s="1"/>
  <c r="DK55" i="2" a="1"/>
  <c r="DK55" i="2" s="1"/>
  <c r="DJ55" i="2" a="1"/>
  <c r="DJ55" i="2" s="1"/>
  <c r="DI55" i="2" a="1"/>
  <c r="DI55" i="2"/>
  <c r="DH55" i="2" a="1"/>
  <c r="DH55" i="2"/>
  <c r="DG55" i="2" a="1"/>
  <c r="DG55" i="2" s="1"/>
  <c r="DF55" i="2" a="1"/>
  <c r="DF55" i="2"/>
  <c r="DE55" i="2" a="1"/>
  <c r="DE55" i="2"/>
  <c r="DD55" i="2" a="1"/>
  <c r="DD55" i="2"/>
  <c r="DC55" i="2" a="1"/>
  <c r="DC55" i="2"/>
  <c r="DB55" i="2"/>
  <c r="DA55" i="2" a="1"/>
  <c r="DA55" i="2" s="1"/>
  <c r="CY55" i="2"/>
  <c r="CQ55" i="2"/>
  <c r="CP55" i="2"/>
  <c r="CN55" i="2"/>
  <c r="CM55" i="2"/>
  <c r="CL55" i="2"/>
  <c r="CK55" i="2"/>
  <c r="CJ55" i="2"/>
  <c r="CI55" i="2"/>
  <c r="CH55" i="2"/>
  <c r="CG55" i="2"/>
  <c r="CO55" i="2" s="1"/>
  <c r="D55" i="2" a="1"/>
  <c r="D55" i="2" s="1"/>
  <c r="CV55" i="2" s="1"/>
  <c r="EJ54" i="2" a="1"/>
  <c r="EJ54" i="2" s="1"/>
  <c r="EI54" i="2" a="1"/>
  <c r="EI54" i="2"/>
  <c r="EH54" i="2" a="1"/>
  <c r="EH54" i="2"/>
  <c r="EG54" i="2" a="1"/>
  <c r="EG54" i="2" s="1"/>
  <c r="EF54" i="2" a="1"/>
  <c r="EF54" i="2"/>
  <c r="EE54" i="2" a="1"/>
  <c r="EE54" i="2"/>
  <c r="ED54" i="2" a="1"/>
  <c r="ED54" i="2" s="1"/>
  <c r="EC54" i="2" a="1"/>
  <c r="EC54" i="2" s="1"/>
  <c r="EB54" i="2" a="1"/>
  <c r="EB54" i="2" s="1"/>
  <c r="EA54" i="2" a="1"/>
  <c r="EA54" i="2"/>
  <c r="DZ54" i="2" a="1"/>
  <c r="DZ54" i="2"/>
  <c r="DY54" i="2" a="1"/>
  <c r="DY54" i="2"/>
  <c r="DX54" i="2" a="1"/>
  <c r="DX54" i="2" s="1"/>
  <c r="DW54" i="2" a="1"/>
  <c r="DW54" i="2"/>
  <c r="DV54" i="2" a="1"/>
  <c r="DV54" i="2"/>
  <c r="DU54" i="2" a="1"/>
  <c r="DU54" i="2"/>
  <c r="DT54" i="2"/>
  <c r="DR54" i="2" a="1"/>
  <c r="DR54" i="2" s="1"/>
  <c r="DQ54" i="2" a="1"/>
  <c r="DQ54" i="2"/>
  <c r="DP54" i="2" a="1"/>
  <c r="DP54" i="2"/>
  <c r="DO54" i="2" a="1"/>
  <c r="DO54" i="2"/>
  <c r="DN54" i="2" a="1"/>
  <c r="DN54" i="2"/>
  <c r="DM54" i="2" a="1"/>
  <c r="DM54" i="2" s="1"/>
  <c r="DL54" i="2" a="1"/>
  <c r="DL54" i="2" s="1"/>
  <c r="DK54" i="2" a="1"/>
  <c r="DK54" i="2" s="1"/>
  <c r="DJ54" i="2" a="1"/>
  <c r="DJ54" i="2"/>
  <c r="DI54" i="2" a="1"/>
  <c r="DI54" i="2"/>
  <c r="DH54" i="2" a="1"/>
  <c r="DH54" i="2"/>
  <c r="DG54" i="2" a="1"/>
  <c r="DG54" i="2" s="1"/>
  <c r="DF54" i="2" a="1"/>
  <c r="DF54" i="2" s="1"/>
  <c r="DE54" i="2" a="1"/>
  <c r="DE54" i="2"/>
  <c r="DD54" i="2" a="1"/>
  <c r="DD54" i="2"/>
  <c r="DC54" i="2" a="1"/>
  <c r="DC54" i="2"/>
  <c r="DB54" i="2"/>
  <c r="DA54" i="2" a="1"/>
  <c r="DA54" i="2" s="1"/>
  <c r="CY54" i="2"/>
  <c r="CR54" i="2"/>
  <c r="CQ54" i="2"/>
  <c r="CP54" i="2"/>
  <c r="CO54" i="2"/>
  <c r="CN54" i="2"/>
  <c r="CM54" i="2"/>
  <c r="CL54" i="2"/>
  <c r="CK54" i="2"/>
  <c r="CJ54" i="2"/>
  <c r="CH54" i="2"/>
  <c r="CG54" i="2"/>
  <c r="CI54" i="2" s="1"/>
  <c r="D54" i="2" a="1"/>
  <c r="D54" i="2" s="1"/>
  <c r="CV54" i="2" s="1"/>
  <c r="EJ53" i="2" a="1"/>
  <c r="EJ53" i="2" s="1"/>
  <c r="EI53" i="2" a="1"/>
  <c r="EI53" i="2" s="1"/>
  <c r="EH53" i="2" a="1"/>
  <c r="EH53" i="2" s="1"/>
  <c r="EG53" i="2" a="1"/>
  <c r="EG53" i="2"/>
  <c r="EF53" i="2" a="1"/>
  <c r="EF53" i="2" s="1"/>
  <c r="EE53" i="2" a="1"/>
  <c r="EE53" i="2"/>
  <c r="ED53" i="2" a="1"/>
  <c r="ED53" i="2" s="1"/>
  <c r="EC53" i="2" a="1"/>
  <c r="EC53" i="2" s="1"/>
  <c r="EB53" i="2" a="1"/>
  <c r="EB53" i="2" s="1"/>
  <c r="EA53" i="2" a="1"/>
  <c r="EA53" i="2"/>
  <c r="DZ53" i="2" a="1"/>
  <c r="DZ53" i="2"/>
  <c r="DY53" i="2" a="1"/>
  <c r="DY53" i="2" s="1"/>
  <c r="DX53" i="2" a="1"/>
  <c r="DX53" i="2" s="1"/>
  <c r="DW53" i="2" a="1"/>
  <c r="DW53" i="2" s="1"/>
  <c r="DV53" i="2" a="1"/>
  <c r="DV53" i="2"/>
  <c r="DU53" i="2" a="1"/>
  <c r="DU53" i="2"/>
  <c r="DT53" i="2"/>
  <c r="DR53" i="2" a="1"/>
  <c r="DR53" i="2" s="1"/>
  <c r="DQ53" i="2" a="1"/>
  <c r="DQ53" i="2" s="1"/>
  <c r="DP53" i="2" a="1"/>
  <c r="DP53" i="2"/>
  <c r="DO53" i="2" a="1"/>
  <c r="DO53" i="2"/>
  <c r="DN53" i="2" a="1"/>
  <c r="DN53" i="2" s="1"/>
  <c r="DM53" i="2" a="1"/>
  <c r="DM53" i="2"/>
  <c r="DL53" i="2" a="1"/>
  <c r="DL53" i="2"/>
  <c r="DK53" i="2" a="1"/>
  <c r="DK53" i="2"/>
  <c r="DJ53" i="2" a="1"/>
  <c r="DJ53" i="2"/>
  <c r="DI53" i="2" a="1"/>
  <c r="DI53" i="2"/>
  <c r="DH53" i="2" a="1"/>
  <c r="DH53" i="2" s="1"/>
  <c r="DG53" i="2" a="1"/>
  <c r="DG53" i="2" s="1"/>
  <c r="DF53" i="2" a="1"/>
  <c r="DF53" i="2"/>
  <c r="DE53" i="2" a="1"/>
  <c r="DE53" i="2" s="1"/>
  <c r="DD53" i="2" a="1"/>
  <c r="DD53" i="2"/>
  <c r="DC53" i="2" a="1"/>
  <c r="DC53" i="2"/>
  <c r="DB53" i="2"/>
  <c r="DA53" i="2" a="1"/>
  <c r="DA53" i="2"/>
  <c r="CY53" i="2"/>
  <c r="CQ53" i="2"/>
  <c r="CP53" i="2"/>
  <c r="CN53" i="2"/>
  <c r="CM53" i="2"/>
  <c r="CK53" i="2"/>
  <c r="CJ53" i="2"/>
  <c r="CH53" i="2"/>
  <c r="CG53" i="2"/>
  <c r="D53" i="2" a="1"/>
  <c r="D53" i="2" s="1"/>
  <c r="CV53" i="2" s="1"/>
  <c r="EJ52" i="2" a="1"/>
  <c r="EJ52" i="2" s="1"/>
  <c r="EI52" i="2" a="1"/>
  <c r="EI52" i="2" s="1"/>
  <c r="EH52" i="2" a="1"/>
  <c r="EH52" i="2" s="1"/>
  <c r="EG52" i="2" a="1"/>
  <c r="EG52" i="2"/>
  <c r="EF52" i="2" a="1"/>
  <c r="EF52" i="2"/>
  <c r="EE52" i="2" a="1"/>
  <c r="EE52" i="2" s="1"/>
  <c r="ED52" i="2" a="1"/>
  <c r="ED52" i="2"/>
  <c r="EC52" i="2" a="1"/>
  <c r="EC52" i="2"/>
  <c r="EB52" i="2" a="1"/>
  <c r="EB52" i="2"/>
  <c r="EA52" i="2" a="1"/>
  <c r="EA52" i="2"/>
  <c r="DZ52" i="2" a="1"/>
  <c r="DZ52" i="2"/>
  <c r="DY52" i="2" a="1"/>
  <c r="DY52" i="2" s="1"/>
  <c r="DX52" i="2" a="1"/>
  <c r="DX52" i="2"/>
  <c r="DW52" i="2" a="1"/>
  <c r="DW52" i="2" s="1"/>
  <c r="DV52" i="2" a="1"/>
  <c r="DV52" i="2" s="1"/>
  <c r="DU52" i="2" a="1"/>
  <c r="DU52" i="2"/>
  <c r="DT52" i="2"/>
  <c r="DR52" i="2" a="1"/>
  <c r="DR52" i="2"/>
  <c r="DQ52" i="2" a="1"/>
  <c r="DQ52" i="2"/>
  <c r="DP52" i="2" a="1"/>
  <c r="DP52" i="2" s="1"/>
  <c r="DO52" i="2" a="1"/>
  <c r="DO52" i="2" s="1"/>
  <c r="DN52" i="2" a="1"/>
  <c r="DN52" i="2" s="1"/>
  <c r="DM52" i="2" a="1"/>
  <c r="DM52" i="2" s="1"/>
  <c r="DL52" i="2" a="1"/>
  <c r="DL52" i="2" s="1"/>
  <c r="DK52" i="2" a="1"/>
  <c r="DK52" i="2"/>
  <c r="DJ52" i="2" a="1"/>
  <c r="DJ52" i="2"/>
  <c r="DI52" i="2" a="1"/>
  <c r="DI52" i="2"/>
  <c r="DH52" i="2" a="1"/>
  <c r="DH52" i="2" s="1"/>
  <c r="DG52" i="2" a="1"/>
  <c r="DG52" i="2" s="1"/>
  <c r="DF52" i="2" a="1"/>
  <c r="DF52" i="2"/>
  <c r="DE52" i="2" a="1"/>
  <c r="DE52" i="2"/>
  <c r="DD52" i="2" a="1"/>
  <c r="DD52" i="2"/>
  <c r="DC52" i="2" a="1"/>
  <c r="DC52" i="2"/>
  <c r="DB52" i="2"/>
  <c r="DA52" i="2" a="1"/>
  <c r="DA52" i="2"/>
  <c r="CY52" i="2"/>
  <c r="CR52" i="2"/>
  <c r="CQ52" i="2"/>
  <c r="CP52" i="2"/>
  <c r="CO52" i="2"/>
  <c r="CN52" i="2"/>
  <c r="CM52" i="2"/>
  <c r="CK52" i="2"/>
  <c r="CJ52" i="2"/>
  <c r="CI52" i="2"/>
  <c r="CH52" i="2"/>
  <c r="CG52" i="2"/>
  <c r="CL52" i="2" s="1"/>
  <c r="D52" i="2" a="1"/>
  <c r="D52" i="2"/>
  <c r="CV52" i="2" s="1"/>
  <c r="EJ51" i="2" a="1"/>
  <c r="EJ51" i="2" s="1"/>
  <c r="EI51" i="2" a="1"/>
  <c r="EI51" i="2"/>
  <c r="EH51" i="2" a="1"/>
  <c r="EH51" i="2"/>
  <c r="EG51" i="2" a="1"/>
  <c r="EG51" i="2"/>
  <c r="EF51" i="2" a="1"/>
  <c r="EF51" i="2" s="1"/>
  <c r="EE51" i="2" a="1"/>
  <c r="EE51" i="2" s="1"/>
  <c r="ED51" i="2" a="1"/>
  <c r="ED51" i="2" s="1"/>
  <c r="EC51" i="2" a="1"/>
  <c r="EC51" i="2" s="1"/>
  <c r="EB51" i="2" a="1"/>
  <c r="EB51" i="2"/>
  <c r="EA51" i="2" a="1"/>
  <c r="EA51" i="2"/>
  <c r="DZ51" i="2" a="1"/>
  <c r="DZ51" i="2"/>
  <c r="DY51" i="2" a="1"/>
  <c r="DY51" i="2" s="1"/>
  <c r="DX51" i="2" a="1"/>
  <c r="DX51" i="2" s="1"/>
  <c r="DW51" i="2" a="1"/>
  <c r="DW51" i="2"/>
  <c r="DV51" i="2" a="1"/>
  <c r="DV51" i="2"/>
  <c r="DU51" i="2" a="1"/>
  <c r="DU51" i="2"/>
  <c r="DT51" i="2"/>
  <c r="DR51" i="2" a="1"/>
  <c r="DR51" i="2" s="1"/>
  <c r="DQ51" i="2" a="1"/>
  <c r="DQ51" i="2"/>
  <c r="DP51" i="2" a="1"/>
  <c r="DP51" i="2"/>
  <c r="DO51" i="2" a="1"/>
  <c r="DO51" i="2" s="1"/>
  <c r="DN51" i="2" a="1"/>
  <c r="DN51" i="2" s="1"/>
  <c r="DM51" i="2" a="1"/>
  <c r="DM51" i="2"/>
  <c r="DL51" i="2" a="1"/>
  <c r="DL51" i="2"/>
  <c r="DK51" i="2" a="1"/>
  <c r="DK51" i="2"/>
  <c r="DJ51" i="2" a="1"/>
  <c r="DJ51" i="2"/>
  <c r="DI51" i="2" a="1"/>
  <c r="DI51" i="2" s="1"/>
  <c r="DH51" i="2" a="1"/>
  <c r="DH51" i="2"/>
  <c r="DG51" i="2" a="1"/>
  <c r="DG51" i="2" s="1"/>
  <c r="DF51" i="2" a="1"/>
  <c r="DF51" i="2" s="1"/>
  <c r="DE51" i="2" a="1"/>
  <c r="DE51" i="2"/>
  <c r="DD51" i="2" a="1"/>
  <c r="DD51" i="2"/>
  <c r="DC51" i="2" a="1"/>
  <c r="DC51" i="2" s="1"/>
  <c r="DB51" i="2"/>
  <c r="DA51" i="2" a="1"/>
  <c r="DA51" i="2"/>
  <c r="CY51" i="2"/>
  <c r="CR51" i="2"/>
  <c r="CQ51" i="2"/>
  <c r="CP51" i="2"/>
  <c r="CO51" i="2"/>
  <c r="CN51" i="2"/>
  <c r="CM51" i="2"/>
  <c r="CL51" i="2"/>
  <c r="CK51" i="2"/>
  <c r="CJ51" i="2"/>
  <c r="CI51" i="2"/>
  <c r="CH51" i="2"/>
  <c r="CG51" i="2"/>
  <c r="D51" i="2" a="1"/>
  <c r="D51" i="2"/>
  <c r="CV51" i="2" s="1"/>
  <c r="EJ50" i="2" a="1"/>
  <c r="EJ50" i="2"/>
  <c r="EI50" i="2" a="1"/>
  <c r="EI50" i="2"/>
  <c r="EH50" i="2" a="1"/>
  <c r="EH50" i="2"/>
  <c r="EG50" i="2" a="1"/>
  <c r="EG50" i="2"/>
  <c r="EF50" i="2" a="1"/>
  <c r="EF50" i="2" s="1"/>
  <c r="EE50" i="2" a="1"/>
  <c r="EE50" i="2"/>
  <c r="ED50" i="2" a="1"/>
  <c r="ED50" i="2"/>
  <c r="EC50" i="2" a="1"/>
  <c r="EC50" i="2" s="1"/>
  <c r="EB50" i="2" a="1"/>
  <c r="EB50" i="2"/>
  <c r="EA50" i="2" a="1"/>
  <c r="EA50" i="2"/>
  <c r="DZ50" i="2" a="1"/>
  <c r="DZ50" i="2" s="1"/>
  <c r="DY50" i="2" a="1"/>
  <c r="DY50" i="2" s="1"/>
  <c r="DX50" i="2" a="1"/>
  <c r="DX50" i="2" s="1"/>
  <c r="DW50" i="2" a="1"/>
  <c r="DW50" i="2"/>
  <c r="DV50" i="2" a="1"/>
  <c r="DV50" i="2"/>
  <c r="DU50" i="2" a="1"/>
  <c r="DU50" i="2"/>
  <c r="DT50" i="2"/>
  <c r="DR50" i="2" a="1"/>
  <c r="DR50" i="2"/>
  <c r="DQ50" i="2" a="1"/>
  <c r="DQ50" i="2"/>
  <c r="DP50" i="2" a="1"/>
  <c r="DP50" i="2"/>
  <c r="DO50" i="2" a="1"/>
  <c r="DO50" i="2" s="1"/>
  <c r="DN50" i="2" a="1"/>
  <c r="DN50" i="2" s="1"/>
  <c r="DM50" i="2" a="1"/>
  <c r="DM50" i="2" s="1"/>
  <c r="DL50" i="2" a="1"/>
  <c r="DL50" i="2"/>
  <c r="DK50" i="2" a="1"/>
  <c r="DK50" i="2"/>
  <c r="DJ50" i="2" a="1"/>
  <c r="DJ50" i="2"/>
  <c r="DI50" i="2" a="1"/>
  <c r="DI50" i="2" s="1"/>
  <c r="DH50" i="2" a="1"/>
  <c r="DH50" i="2" s="1"/>
  <c r="DG50" i="2" a="1"/>
  <c r="DG50" i="2"/>
  <c r="DF50" i="2" a="1"/>
  <c r="DF50" i="2"/>
  <c r="DE50" i="2" a="1"/>
  <c r="DE50" i="2" s="1"/>
  <c r="DD50" i="2" a="1"/>
  <c r="DD50" i="2"/>
  <c r="DC50" i="2" a="1"/>
  <c r="DC50" i="2" s="1"/>
  <c r="DB50" i="2"/>
  <c r="DA50" i="2" a="1"/>
  <c r="DA50" i="2"/>
  <c r="CY50" i="2"/>
  <c r="CQ50" i="2"/>
  <c r="CP50" i="2"/>
  <c r="CN50" i="2"/>
  <c r="CM50" i="2"/>
  <c r="CK50" i="2"/>
  <c r="CJ50" i="2"/>
  <c r="CH50" i="2"/>
  <c r="CG50" i="2"/>
  <c r="CO50" i="2" s="1"/>
  <c r="D50" i="2" a="1"/>
  <c r="D50" i="2" s="1"/>
  <c r="CV50" i="2" s="1"/>
  <c r="EJ49" i="2" a="1"/>
  <c r="EJ49" i="2" s="1"/>
  <c r="EI49" i="2" a="1"/>
  <c r="EI49" i="2"/>
  <c r="EH49" i="2" a="1"/>
  <c r="EH49" i="2"/>
  <c r="EG49" i="2" a="1"/>
  <c r="EG49" i="2"/>
  <c r="EF49" i="2" a="1"/>
  <c r="EF49" i="2" s="1"/>
  <c r="EE49" i="2" a="1"/>
  <c r="EE49" i="2" s="1"/>
  <c r="ED49" i="2" a="1"/>
  <c r="ED49" i="2"/>
  <c r="EC49" i="2" a="1"/>
  <c r="EC49" i="2"/>
  <c r="EB49" i="2" a="1"/>
  <c r="EB49" i="2"/>
  <c r="EA49" i="2" a="1"/>
  <c r="EA49" i="2"/>
  <c r="DZ49" i="2" a="1"/>
  <c r="DZ49" i="2" s="1"/>
  <c r="DY49" i="2" a="1"/>
  <c r="DY49" i="2" s="1"/>
  <c r="DX49" i="2" a="1"/>
  <c r="DX49" i="2"/>
  <c r="DW49" i="2" a="1"/>
  <c r="DW49" i="2"/>
  <c r="DV49" i="2" a="1"/>
  <c r="DV49" i="2" s="1"/>
  <c r="DU49" i="2" a="1"/>
  <c r="DU49" i="2"/>
  <c r="DT49" i="2"/>
  <c r="DR49" i="2" a="1"/>
  <c r="DR49" i="2"/>
  <c r="DQ49" i="2" a="1"/>
  <c r="DQ49" i="2"/>
  <c r="DP49" i="2" a="1"/>
  <c r="DP49" i="2" s="1"/>
  <c r="DO49" i="2" a="1"/>
  <c r="DO49" i="2"/>
  <c r="DN49" i="2" a="1"/>
  <c r="DN49" i="2" s="1"/>
  <c r="DM49" i="2" a="1"/>
  <c r="DM49" i="2"/>
  <c r="DL49" i="2" a="1"/>
  <c r="DL49" i="2"/>
  <c r="DK49" i="2" a="1"/>
  <c r="DK49" i="2"/>
  <c r="DJ49" i="2" a="1"/>
  <c r="DJ49" i="2" s="1"/>
  <c r="DI49" i="2" a="1"/>
  <c r="DI49" i="2" s="1"/>
  <c r="DH49" i="2" a="1"/>
  <c r="DH49" i="2"/>
  <c r="DG49" i="2" a="1"/>
  <c r="DG49" i="2" s="1"/>
  <c r="DF49" i="2" a="1"/>
  <c r="DF49" i="2"/>
  <c r="DE49" i="2" a="1"/>
  <c r="DE49" i="2"/>
  <c r="DD49" i="2" a="1"/>
  <c r="DD49" i="2" s="1"/>
  <c r="DC49" i="2" a="1"/>
  <c r="DC49" i="2"/>
  <c r="DB49" i="2"/>
  <c r="DA49" i="2" a="1"/>
  <c r="DA49" i="2" s="1"/>
  <c r="CY49" i="2"/>
  <c r="CR49" i="2"/>
  <c r="CQ49" i="2"/>
  <c r="CP49" i="2"/>
  <c r="CO49" i="2"/>
  <c r="CN49" i="2"/>
  <c r="CM49" i="2"/>
  <c r="CL49" i="2"/>
  <c r="CK49" i="2"/>
  <c r="CJ49" i="2"/>
  <c r="CH49" i="2"/>
  <c r="CG49" i="2"/>
  <c r="CI49" i="2" s="1"/>
  <c r="D49" i="2" a="1"/>
  <c r="D49" i="2"/>
  <c r="CV49" i="2" s="1"/>
  <c r="EJ48" i="2" a="1"/>
  <c r="EJ48" i="2" s="1"/>
  <c r="EI48" i="2" a="1"/>
  <c r="EI48" i="2"/>
  <c r="EH48" i="2" a="1"/>
  <c r="EH48" i="2"/>
  <c r="EG48" i="2" a="1"/>
  <c r="EG48" i="2" s="1"/>
  <c r="EF48" i="2" a="1"/>
  <c r="EF48" i="2" s="1"/>
  <c r="EE48" i="2" a="1"/>
  <c r="EE48" i="2" s="1"/>
  <c r="ED48" i="2" a="1"/>
  <c r="ED48" i="2" s="1"/>
  <c r="EC48" i="2" a="1"/>
  <c r="EC48" i="2"/>
  <c r="EB48" i="2" a="1"/>
  <c r="EB48" i="2"/>
  <c r="EA48" i="2" a="1"/>
  <c r="EA48" i="2" s="1"/>
  <c r="DZ48" i="2" a="1"/>
  <c r="DZ48" i="2" s="1"/>
  <c r="DY48" i="2" a="1"/>
  <c r="DY48" i="2" s="1"/>
  <c r="DX48" i="2" a="1"/>
  <c r="DX48" i="2" s="1"/>
  <c r="DW48" i="2" a="1"/>
  <c r="DW48" i="2"/>
  <c r="DV48" i="2" a="1"/>
  <c r="DV48" i="2"/>
  <c r="DU48" i="2" a="1"/>
  <c r="DU48" i="2"/>
  <c r="DT48" i="2"/>
  <c r="DR48" i="2" a="1"/>
  <c r="DR48" i="2"/>
  <c r="DQ48" i="2" a="1"/>
  <c r="DQ48" i="2"/>
  <c r="DP48" i="2" a="1"/>
  <c r="DP48" i="2" s="1"/>
  <c r="DO48" i="2" a="1"/>
  <c r="DO48" i="2" s="1"/>
  <c r="DN48" i="2" a="1"/>
  <c r="DN48" i="2" s="1"/>
  <c r="DM48" i="2" a="1"/>
  <c r="DM48" i="2" s="1"/>
  <c r="DL48" i="2" a="1"/>
  <c r="DL48" i="2" s="1"/>
  <c r="DK48" i="2" a="1"/>
  <c r="DK48" i="2"/>
  <c r="DJ48" i="2" a="1"/>
  <c r="DJ48" i="2" s="1"/>
  <c r="DI48" i="2" a="1"/>
  <c r="DI48" i="2" s="1"/>
  <c r="DH48" i="2" a="1"/>
  <c r="DH48" i="2"/>
  <c r="DG48" i="2" a="1"/>
  <c r="DG48" i="2"/>
  <c r="DF48" i="2" a="1"/>
  <c r="DF48" i="2" s="1"/>
  <c r="DE48" i="2" a="1"/>
  <c r="DE48" i="2" s="1"/>
  <c r="DD48" i="2" a="1"/>
  <c r="DD48" i="2" s="1"/>
  <c r="DC48" i="2" a="1"/>
  <c r="DC48" i="2" s="1"/>
  <c r="DB48" i="2"/>
  <c r="DA48" i="2" a="1"/>
  <c r="DA48" i="2" s="1"/>
  <c r="CY48" i="2"/>
  <c r="CR48" i="2"/>
  <c r="CQ48" i="2"/>
  <c r="CP48" i="2"/>
  <c r="CN48" i="2"/>
  <c r="CM48" i="2"/>
  <c r="CK48" i="2"/>
  <c r="CJ48" i="2"/>
  <c r="CI48" i="2"/>
  <c r="CH48" i="2"/>
  <c r="CG48" i="2"/>
  <c r="D48" i="2" a="1"/>
  <c r="D48" i="2"/>
  <c r="CV48" i="2" s="1"/>
  <c r="EJ47" i="2" a="1"/>
  <c r="EJ47" i="2"/>
  <c r="EI47" i="2" a="1"/>
  <c r="EI47" i="2" s="1"/>
  <c r="EH47" i="2" a="1"/>
  <c r="EH47" i="2"/>
  <c r="EG47" i="2" a="1"/>
  <c r="EG47" i="2" s="1"/>
  <c r="EF47" i="2" a="1"/>
  <c r="EF47" i="2" s="1"/>
  <c r="EE47" i="2" a="1"/>
  <c r="EE47" i="2"/>
  <c r="ED47" i="2" a="1"/>
  <c r="ED47" i="2" s="1"/>
  <c r="EC47" i="2" a="1"/>
  <c r="EC47" i="2" s="1"/>
  <c r="EB47" i="2" a="1"/>
  <c r="EB47" i="2" s="1"/>
  <c r="EA47" i="2" a="1"/>
  <c r="EA47" i="2" s="1"/>
  <c r="DZ47" i="2" a="1"/>
  <c r="DZ47" i="2" s="1"/>
  <c r="DY47" i="2" a="1"/>
  <c r="DY47" i="2"/>
  <c r="DX47" i="2" a="1"/>
  <c r="DX47" i="2"/>
  <c r="DW47" i="2" a="1"/>
  <c r="DW47" i="2" s="1"/>
  <c r="DV47" i="2" a="1"/>
  <c r="DV47" i="2" s="1"/>
  <c r="DU47" i="2" a="1"/>
  <c r="DU47" i="2" s="1"/>
  <c r="DT47" i="2"/>
  <c r="DR47" i="2" a="1"/>
  <c r="DR47" i="2"/>
  <c r="DQ47" i="2" a="1"/>
  <c r="DQ47" i="2"/>
  <c r="DP47" i="2" a="1"/>
  <c r="DP47" i="2"/>
  <c r="DO47" i="2" a="1"/>
  <c r="DO47" i="2" s="1"/>
  <c r="DN47" i="2" a="1"/>
  <c r="DN47" i="2"/>
  <c r="DM47" i="2" a="1"/>
  <c r="DM47" i="2"/>
  <c r="DL47" i="2" a="1"/>
  <c r="DL47" i="2"/>
  <c r="DK47" i="2" a="1"/>
  <c r="DK47" i="2"/>
  <c r="DJ47" i="2" a="1"/>
  <c r="DJ47" i="2"/>
  <c r="DI47" i="2" a="1"/>
  <c r="DI47" i="2" s="1"/>
  <c r="DH47" i="2" a="1"/>
  <c r="DH47" i="2"/>
  <c r="DG47" i="2" a="1"/>
  <c r="DG47" i="2"/>
  <c r="DF47" i="2" a="1"/>
  <c r="DF47" i="2"/>
  <c r="DE47" i="2" a="1"/>
  <c r="DE47" i="2"/>
  <c r="DD47" i="2" a="1"/>
  <c r="DD47" i="2"/>
  <c r="DC47" i="2" a="1"/>
  <c r="DC47" i="2" s="1"/>
  <c r="DB47" i="2"/>
  <c r="DA47" i="2" a="1"/>
  <c r="DA47" i="2" s="1"/>
  <c r="CY47" i="2"/>
  <c r="CQ47" i="2"/>
  <c r="CP47" i="2"/>
  <c r="CO47" i="2"/>
  <c r="CN47" i="2"/>
  <c r="CM47" i="2"/>
  <c r="CL47" i="2"/>
  <c r="CK47" i="2"/>
  <c r="CJ47" i="2"/>
  <c r="CH47" i="2"/>
  <c r="CG47" i="2"/>
  <c r="D47" i="2" a="1"/>
  <c r="D47" i="2"/>
  <c r="EJ46" i="2" a="1"/>
  <c r="EJ46" i="2"/>
  <c r="EI46" i="2" a="1"/>
  <c r="EI46" i="2"/>
  <c r="EH46" i="2" a="1"/>
  <c r="EH46" i="2"/>
  <c r="EG46" i="2" a="1"/>
  <c r="EG46" i="2" s="1"/>
  <c r="EF46" i="2" a="1"/>
  <c r="EF46" i="2" s="1"/>
  <c r="EE46" i="2" a="1"/>
  <c r="EE46" i="2"/>
  <c r="ED46" i="2" a="1"/>
  <c r="ED46" i="2"/>
  <c r="EC46" i="2" a="1"/>
  <c r="EC46" i="2"/>
  <c r="EB46" i="2" a="1"/>
  <c r="EB46" i="2" s="1"/>
  <c r="EA46" i="2" a="1"/>
  <c r="EA46" i="2" s="1"/>
  <c r="DZ46" i="2" a="1"/>
  <c r="DZ46" i="2" s="1"/>
  <c r="DY46" i="2" a="1"/>
  <c r="DY46" i="2"/>
  <c r="DX46" i="2" a="1"/>
  <c r="DX46" i="2"/>
  <c r="DW46" i="2" a="1"/>
  <c r="DW46" i="2"/>
  <c r="DV46" i="2" a="1"/>
  <c r="DV46" i="2" s="1"/>
  <c r="DU46" i="2" a="1"/>
  <c r="DU46" i="2" s="1"/>
  <c r="DT46" i="2"/>
  <c r="DR46" i="2" a="1"/>
  <c r="DR46" i="2"/>
  <c r="DQ46" i="2" a="1"/>
  <c r="DQ46" i="2" s="1"/>
  <c r="DP46" i="2" a="1"/>
  <c r="DP46" i="2" s="1"/>
  <c r="DO46" i="2" a="1"/>
  <c r="DO46" i="2"/>
  <c r="DN46" i="2" a="1"/>
  <c r="DN46" i="2"/>
  <c r="DM46" i="2" a="1"/>
  <c r="DM46" i="2" s="1"/>
  <c r="DL46" i="2" a="1"/>
  <c r="DL46" i="2"/>
  <c r="DK46" i="2" a="1"/>
  <c r="DK46" i="2" s="1"/>
  <c r="DJ46" i="2" a="1"/>
  <c r="DJ46" i="2" s="1"/>
  <c r="DI46" i="2" a="1"/>
  <c r="DI46" i="2"/>
  <c r="DH46" i="2" a="1"/>
  <c r="DH46" i="2"/>
  <c r="DG46" i="2" a="1"/>
  <c r="DG46" i="2"/>
  <c r="DF46" i="2" a="1"/>
  <c r="DF46" i="2" s="1"/>
  <c r="DE46" i="2" a="1"/>
  <c r="DE46" i="2" s="1"/>
  <c r="DD46" i="2" a="1"/>
  <c r="DD46" i="2" s="1"/>
  <c r="DC46" i="2" a="1"/>
  <c r="DC46" i="2"/>
  <c r="DB46" i="2"/>
  <c r="DA46" i="2" a="1"/>
  <c r="DA46" i="2" s="1"/>
  <c r="CY46" i="2"/>
  <c r="CQ46" i="2"/>
  <c r="CP46" i="2"/>
  <c r="CO46" i="2"/>
  <c r="CN46" i="2"/>
  <c r="CM46" i="2"/>
  <c r="CL46" i="2"/>
  <c r="CK46" i="2"/>
  <c r="CJ46" i="2"/>
  <c r="CI46" i="2"/>
  <c r="CH46" i="2"/>
  <c r="CG46" i="2"/>
  <c r="CR46" i="2" s="1"/>
  <c r="D46" i="2" a="1"/>
  <c r="D46" i="2"/>
  <c r="CV46" i="2" s="1"/>
  <c r="EJ45" i="2" a="1"/>
  <c r="EJ45" i="2" s="1"/>
  <c r="EI45" i="2" a="1"/>
  <c r="EI45" i="2"/>
  <c r="EH45" i="2" a="1"/>
  <c r="EH45" i="2" s="1"/>
  <c r="EG45" i="2" a="1"/>
  <c r="EG45" i="2" s="1"/>
  <c r="EF45" i="2" a="1"/>
  <c r="EF45" i="2" s="1"/>
  <c r="EE45" i="2" a="1"/>
  <c r="EE45" i="2" s="1"/>
  <c r="ED45" i="2" a="1"/>
  <c r="ED45" i="2" s="1"/>
  <c r="EC45" i="2" a="1"/>
  <c r="EC45" i="2" s="1"/>
  <c r="EB45" i="2" a="1"/>
  <c r="EB45" i="2" s="1"/>
  <c r="EA45" i="2" a="1"/>
  <c r="EA45" i="2" s="1"/>
  <c r="DZ45" i="2" a="1"/>
  <c r="DZ45" i="2"/>
  <c r="DY45" i="2"/>
  <c r="DX45" i="2" a="1"/>
  <c r="DX45" i="2" s="1"/>
  <c r="DW45" i="2" a="1"/>
  <c r="DW45" i="2" s="1"/>
  <c r="DV45" i="2" a="1"/>
  <c r="DV45" i="2" s="1"/>
  <c r="DU45" i="2" a="1"/>
  <c r="DU45" i="2" s="1"/>
  <c r="DT45" i="2"/>
  <c r="DR45" i="2" a="1"/>
  <c r="DR45" i="2" s="1"/>
  <c r="DQ45" i="2" a="1"/>
  <c r="DQ45" i="2"/>
  <c r="DP45" i="2" a="1"/>
  <c r="DP45" i="2"/>
  <c r="DO45" i="2" a="1"/>
  <c r="DO45" i="2" s="1"/>
  <c r="DN45" i="2" a="1"/>
  <c r="DN45" i="2"/>
  <c r="DM45" i="2" a="1"/>
  <c r="DM45" i="2"/>
  <c r="DL45" i="2" a="1"/>
  <c r="DL45" i="2" s="1"/>
  <c r="DK45" i="2" a="1"/>
  <c r="DK45" i="2"/>
  <c r="DJ45" i="2" a="1"/>
  <c r="DJ45" i="2"/>
  <c r="DI45" i="2" a="1"/>
  <c r="DI45" i="2" s="1"/>
  <c r="DH45" i="2" a="1"/>
  <c r="DH45" i="2"/>
  <c r="DG45" i="2" a="1"/>
  <c r="DG45" i="2"/>
  <c r="DE45" i="2" a="1"/>
  <c r="DE45" i="2"/>
  <c r="DD45" i="2" a="1"/>
  <c r="DD45" i="2"/>
  <c r="DC45" i="2" a="1"/>
  <c r="DC45" i="2" s="1"/>
  <c r="DB45" i="2"/>
  <c r="DA45" i="2" a="1"/>
  <c r="DA45" i="2" s="1"/>
  <c r="CY45" i="2"/>
  <c r="CQ45" i="2"/>
  <c r="CP45" i="2"/>
  <c r="CN45" i="2"/>
  <c r="CK45" i="2"/>
  <c r="CJ45" i="2"/>
  <c r="CH45" i="2"/>
  <c r="D45" i="2" a="1"/>
  <c r="D45" i="2" s="1"/>
  <c r="CV45" i="2" s="1"/>
  <c r="EJ44" i="2" a="1"/>
  <c r="EJ44" i="2"/>
  <c r="EI44" i="2" a="1"/>
  <c r="EI44" i="2" s="1"/>
  <c r="EH44" i="2" a="1"/>
  <c r="EH44" i="2" s="1"/>
  <c r="EG44" i="2" a="1"/>
  <c r="EG44" i="2" s="1"/>
  <c r="EF44" i="2" a="1"/>
  <c r="EF44" i="2"/>
  <c r="EE44" i="2" a="1"/>
  <c r="EE44" i="2"/>
  <c r="ED44" i="2" a="1"/>
  <c r="ED44" i="2"/>
  <c r="EC44" i="2" a="1"/>
  <c r="EC44" i="2" s="1"/>
  <c r="EB44" i="2" a="1"/>
  <c r="EB44" i="2" s="1"/>
  <c r="EA44" i="2" a="1"/>
  <c r="EA44" i="2"/>
  <c r="DZ44" i="2" a="1"/>
  <c r="DZ44" i="2" s="1"/>
  <c r="DX44" i="2" a="1"/>
  <c r="DX44" i="2"/>
  <c r="DW44" i="2" a="1"/>
  <c r="DW44" i="2"/>
  <c r="DV44" i="2" a="1"/>
  <c r="DV44" i="2"/>
  <c r="DU44" i="2" a="1"/>
  <c r="DU44" i="2"/>
  <c r="DT44" i="2"/>
  <c r="DR44" i="2" a="1"/>
  <c r="DR44" i="2" s="1"/>
  <c r="DQ44" i="2" a="1"/>
  <c r="DQ44" i="2" s="1"/>
  <c r="DP44" i="2" a="1"/>
  <c r="DP44" i="2" s="1"/>
  <c r="DO44" i="2" a="1"/>
  <c r="DO44" i="2" s="1"/>
  <c r="DN44" i="2" a="1"/>
  <c r="DN44" i="2" s="1"/>
  <c r="DM44" i="2" a="1"/>
  <c r="DM44" i="2" s="1"/>
  <c r="DL44" i="2" a="1"/>
  <c r="DL44" i="2" s="1"/>
  <c r="DK44" i="2" a="1"/>
  <c r="DK44" i="2" s="1"/>
  <c r="DJ44" i="2" a="1"/>
  <c r="DJ44" i="2"/>
  <c r="DI44" i="2" a="1"/>
  <c r="DI44" i="2" s="1"/>
  <c r="DH44" i="2" a="1"/>
  <c r="DH44" i="2"/>
  <c r="DG44" i="2" a="1"/>
  <c r="DG44" i="2" s="1"/>
  <c r="DE44" i="2" a="1"/>
  <c r="DE44" i="2" s="1"/>
  <c r="DD44" i="2" a="1"/>
  <c r="DD44" i="2" s="1"/>
  <c r="DC44" i="2" a="1"/>
  <c r="DC44" i="2" s="1"/>
  <c r="DB44" i="2"/>
  <c r="DA44" i="2" a="1"/>
  <c r="DA44" i="2" s="1"/>
  <c r="CY44" i="2"/>
  <c r="CQ44" i="2"/>
  <c r="CP44" i="2"/>
  <c r="CN44" i="2"/>
  <c r="CK44" i="2"/>
  <c r="CH44" i="2"/>
  <c r="D44" i="2" a="1"/>
  <c r="D44" i="2"/>
  <c r="CV44" i="2" s="1"/>
  <c r="EJ43" i="2" a="1"/>
  <c r="EJ43" i="2" s="1"/>
  <c r="EI43" i="2" a="1"/>
  <c r="EI43" i="2" s="1"/>
  <c r="EH43" i="2" a="1"/>
  <c r="EH43" i="2" s="1"/>
  <c r="EG43" i="2" a="1"/>
  <c r="EG43" i="2"/>
  <c r="EF43" i="2" a="1"/>
  <c r="EF43" i="2"/>
  <c r="EE43" i="2" a="1"/>
  <c r="EE43" i="2"/>
  <c r="ED43" i="2" a="1"/>
  <c r="ED43" i="2"/>
  <c r="EC43" i="2" a="1"/>
  <c r="EC43" i="2" s="1"/>
  <c r="EB43" i="2" a="1"/>
  <c r="EB43" i="2" s="1"/>
  <c r="EA43" i="2" a="1"/>
  <c r="EA43" i="2" s="1"/>
  <c r="DZ43" i="2" a="1"/>
  <c r="DZ43" i="2"/>
  <c r="DY43" i="2" a="1"/>
  <c r="DY43" i="2"/>
  <c r="DW43" i="2" a="1"/>
  <c r="DW43" i="2" s="1"/>
  <c r="DV43" i="2" a="1"/>
  <c r="DV43" i="2" s="1"/>
  <c r="DU43" i="2" a="1"/>
  <c r="DU43" i="2"/>
  <c r="DT43" i="2"/>
  <c r="DR43" i="2" a="1"/>
  <c r="DR43" i="2" s="1"/>
  <c r="DQ43" i="2" a="1"/>
  <c r="DQ43" i="2"/>
  <c r="DP43" i="2" a="1"/>
  <c r="DP43" i="2" s="1"/>
  <c r="DO43" i="2" a="1"/>
  <c r="DO43" i="2"/>
  <c r="DN43" i="2" a="1"/>
  <c r="DN43" i="2"/>
  <c r="DM43" i="2" a="1"/>
  <c r="DM43" i="2"/>
  <c r="DL43" i="2" a="1"/>
  <c r="DL43" i="2"/>
  <c r="DK43" i="2" a="1"/>
  <c r="DK43" i="2" s="1"/>
  <c r="DJ43" i="2" a="1"/>
  <c r="DJ43" i="2" s="1"/>
  <c r="DI43" i="2" a="1"/>
  <c r="DI43" i="2"/>
  <c r="DH43" i="2" a="1"/>
  <c r="DH43" i="2"/>
  <c r="DG43" i="2" a="1"/>
  <c r="DG43" i="2"/>
  <c r="DF43" i="2" a="1"/>
  <c r="DF43" i="2" s="1"/>
  <c r="DE43" i="2" a="1"/>
  <c r="DE43" i="2" s="1"/>
  <c r="DD43" i="2" a="1"/>
  <c r="DD43" i="2" s="1"/>
  <c r="DC43" i="2" a="1"/>
  <c r="DC43" i="2"/>
  <c r="DB43" i="2"/>
  <c r="DA43" i="2" a="1"/>
  <c r="DA43" i="2" s="1"/>
  <c r="CY43" i="2"/>
  <c r="CQ43" i="2"/>
  <c r="CP43" i="2"/>
  <c r="CN43" i="2"/>
  <c r="CK43" i="2"/>
  <c r="CJ43" i="2"/>
  <c r="CH43" i="2"/>
  <c r="D43" i="2" a="1"/>
  <c r="D43" i="2" s="1"/>
  <c r="CV43" i="2" s="1"/>
  <c r="EJ42" i="2" a="1"/>
  <c r="EJ42" i="2" s="1"/>
  <c r="EI42" i="2" a="1"/>
  <c r="EI42" i="2" s="1"/>
  <c r="EH42" i="2" a="1"/>
  <c r="EH42" i="2" s="1"/>
  <c r="EG42" i="2" a="1"/>
  <c r="EG42" i="2" s="1"/>
  <c r="EF42" i="2" a="1"/>
  <c r="EF42" i="2"/>
  <c r="EE42" i="2" a="1"/>
  <c r="EE42" i="2"/>
  <c r="ED42" i="2" a="1"/>
  <c r="ED42" i="2" s="1"/>
  <c r="EC42" i="2" a="1"/>
  <c r="EC42" i="2" s="1"/>
  <c r="EB42" i="2" a="1"/>
  <c r="EB42" i="2"/>
  <c r="EA42" i="2" a="1"/>
  <c r="EA42" i="2"/>
  <c r="DZ42" i="2" a="1"/>
  <c r="DZ42" i="2"/>
  <c r="DX42" i="2" a="1"/>
  <c r="DX42" i="2" s="1"/>
  <c r="DW42" i="2" a="1"/>
  <c r="DW42" i="2"/>
  <c r="DV42" i="2" a="1"/>
  <c r="DV42" i="2" s="1"/>
  <c r="DU42" i="2" a="1"/>
  <c r="DU42" i="2" s="1"/>
  <c r="DT42" i="2"/>
  <c r="DR42" i="2" a="1"/>
  <c r="DR42" i="2" s="1"/>
  <c r="DQ42" i="2" a="1"/>
  <c r="DQ42" i="2"/>
  <c r="DP42" i="2" a="1"/>
  <c r="DP42" i="2"/>
  <c r="DN42" i="2" a="1"/>
  <c r="DN42" i="2" s="1"/>
  <c r="DM42" i="2" a="1"/>
  <c r="DM42" i="2" s="1"/>
  <c r="DL42" i="2" a="1"/>
  <c r="DL42" i="2" s="1"/>
  <c r="DK42" i="2" a="1"/>
  <c r="DK42" i="2"/>
  <c r="DJ42" i="2" a="1"/>
  <c r="DJ42" i="2" s="1"/>
  <c r="DI42" i="2" a="1"/>
  <c r="DI42" i="2"/>
  <c r="DH42" i="2" a="1"/>
  <c r="DH42" i="2"/>
  <c r="DG42" i="2" a="1"/>
  <c r="DG42" i="2" s="1"/>
  <c r="DE42" i="2" a="1"/>
  <c r="DE42" i="2"/>
  <c r="DD42" i="2" a="1"/>
  <c r="DD42" i="2"/>
  <c r="DC42" i="2" a="1"/>
  <c r="DC42" i="2" s="1"/>
  <c r="DB42" i="2"/>
  <c r="DA42" i="2" a="1"/>
  <c r="DA42" i="2" s="1"/>
  <c r="CY42" i="2"/>
  <c r="CQ42" i="2"/>
  <c r="CP42" i="2"/>
  <c r="CN42" i="2"/>
  <c r="CK42" i="2"/>
  <c r="CH42" i="2"/>
  <c r="D42" i="2" a="1"/>
  <c r="D42" i="2" s="1"/>
  <c r="CV42" i="2" s="1"/>
  <c r="EJ41" i="2" a="1"/>
  <c r="EJ41" i="2" s="1"/>
  <c r="EI41" i="2" a="1"/>
  <c r="EI41" i="2" s="1"/>
  <c r="EH41" i="2" a="1"/>
  <c r="EH41" i="2" s="1"/>
  <c r="EG41" i="2" a="1"/>
  <c r="EG41" i="2"/>
  <c r="EF41" i="2" a="1"/>
  <c r="EF41" i="2"/>
  <c r="EE41" i="2" a="1"/>
  <c r="EE41" i="2"/>
  <c r="ED41" i="2" a="1"/>
  <c r="ED41" i="2" s="1"/>
  <c r="EC41" i="2" a="1"/>
  <c r="EC41" i="2" s="1"/>
  <c r="EB41" i="2" a="1"/>
  <c r="EB41" i="2" s="1"/>
  <c r="EA41" i="2" a="1"/>
  <c r="EA41" i="2"/>
  <c r="DZ41" i="2" a="1"/>
  <c r="DZ41" i="2"/>
  <c r="DY41" i="2" a="1"/>
  <c r="DY41" i="2" s="1"/>
  <c r="DW41" i="2" a="1"/>
  <c r="DW41" i="2" s="1"/>
  <c r="DV41" i="2" a="1"/>
  <c r="DV41" i="2" s="1"/>
  <c r="DU41" i="2" a="1"/>
  <c r="DU41" i="2" s="1"/>
  <c r="DT41" i="2"/>
  <c r="DR41" i="2" a="1"/>
  <c r="DR41" i="2" s="1"/>
  <c r="DQ41" i="2" a="1"/>
  <c r="DQ41" i="2"/>
  <c r="DP41" i="2" a="1"/>
  <c r="DP41" i="2"/>
  <c r="DN41" i="2" a="1"/>
  <c r="DN41" i="2" s="1"/>
  <c r="DM41" i="2" a="1"/>
  <c r="DM41" i="2"/>
  <c r="DL41" i="2" a="1"/>
  <c r="DL41" i="2"/>
  <c r="DK41" i="2" a="1"/>
  <c r="DK41" i="2"/>
  <c r="DJ41" i="2" a="1"/>
  <c r="DJ41" i="2"/>
  <c r="DI41" i="2" a="1"/>
  <c r="DI41" i="2"/>
  <c r="DH41" i="2" a="1"/>
  <c r="DH41" i="2" s="1"/>
  <c r="DF41" i="2" a="1"/>
  <c r="DF41" i="2"/>
  <c r="DE41" i="2" a="1"/>
  <c r="DE41" i="2"/>
  <c r="DD41" i="2" a="1"/>
  <c r="DD41" i="2"/>
  <c r="DC41" i="2" a="1"/>
  <c r="DC41" i="2"/>
  <c r="DB41" i="2"/>
  <c r="DA41" i="2" a="1"/>
  <c r="DA41" i="2" s="1"/>
  <c r="CY41" i="2"/>
  <c r="CQ41" i="2"/>
  <c r="CP41" i="2"/>
  <c r="CN41" i="2"/>
  <c r="CK41" i="2"/>
  <c r="CH41" i="2"/>
  <c r="D41" i="2" a="1"/>
  <c r="D41" i="2"/>
  <c r="CV41" i="2" s="1"/>
  <c r="EJ40" i="2" a="1"/>
  <c r="EJ40" i="2"/>
  <c r="EI40" i="2" a="1"/>
  <c r="EI40" i="2"/>
  <c r="EH40" i="2" a="1"/>
  <c r="EH40" i="2"/>
  <c r="EG40" i="2" a="1"/>
  <c r="EG40" i="2"/>
  <c r="EF40" i="2" a="1"/>
  <c r="EF40" i="2"/>
  <c r="EE40" i="2" a="1"/>
  <c r="EE40" i="2"/>
  <c r="EC40" i="2" a="1"/>
  <c r="EC40" i="2"/>
  <c r="EB40" i="2" a="1"/>
  <c r="EB40" i="2"/>
  <c r="EA40" i="2" a="1"/>
  <c r="EA40" i="2"/>
  <c r="DZ40" i="2" a="1"/>
  <c r="DZ40" i="2" s="1"/>
  <c r="DY40" i="2" a="1"/>
  <c r="DY40" i="2"/>
  <c r="DX40" i="2" a="1"/>
  <c r="DX40" i="2" s="1"/>
  <c r="DW40" i="2" a="1"/>
  <c r="DW40" i="2" s="1"/>
  <c r="DV40" i="2" a="1"/>
  <c r="DV40" i="2" s="1"/>
  <c r="DU40" i="2" a="1"/>
  <c r="DU40" i="2"/>
  <c r="DT40" i="2"/>
  <c r="DR40" i="2" a="1"/>
  <c r="DR40" i="2"/>
  <c r="DQ40" i="2" a="1"/>
  <c r="DQ40" i="2"/>
  <c r="DP40" i="2" a="1"/>
  <c r="DP40" i="2"/>
  <c r="DO40" i="2" a="1"/>
  <c r="DO40" i="2" s="1"/>
  <c r="DN40" i="2" a="1"/>
  <c r="DN40" i="2" s="1"/>
  <c r="DM40" i="2" a="1"/>
  <c r="DM40" i="2" s="1"/>
  <c r="DL40" i="2" a="1"/>
  <c r="DL40" i="2" s="1"/>
  <c r="DK40" i="2" a="1"/>
  <c r="DK40" i="2" s="1"/>
  <c r="DJ40" i="2" a="1"/>
  <c r="DJ40" i="2" s="1"/>
  <c r="DI40" i="2" a="1"/>
  <c r="DI40" i="2"/>
  <c r="DH40" i="2" a="1"/>
  <c r="DH40" i="2" s="1"/>
  <c r="DG40" i="2" a="1"/>
  <c r="DG40" i="2" s="1"/>
  <c r="DF40" i="2" a="1"/>
  <c r="DF40" i="2" s="1"/>
  <c r="DE40" i="2" a="1"/>
  <c r="DE40" i="2"/>
  <c r="DD40" i="2" a="1"/>
  <c r="DD40" i="2"/>
  <c r="DC40" i="2" a="1"/>
  <c r="DC40" i="2" s="1"/>
  <c r="DB40" i="2"/>
  <c r="DA40" i="2" a="1"/>
  <c r="DA40" i="2"/>
  <c r="CY40" i="2"/>
  <c r="CQ40" i="2"/>
  <c r="CP40" i="2"/>
  <c r="CN40" i="2"/>
  <c r="CK40" i="2"/>
  <c r="CJ40" i="2"/>
  <c r="CH40" i="2"/>
  <c r="D40" i="2" a="1"/>
  <c r="D40" i="2" s="1"/>
  <c r="CV40" i="2" s="1"/>
  <c r="EJ39" i="2" a="1"/>
  <c r="EJ39" i="2"/>
  <c r="EI39" i="2" a="1"/>
  <c r="EI39" i="2" s="1"/>
  <c r="EH39" i="2" a="1"/>
  <c r="EH39" i="2"/>
  <c r="EG39" i="2" a="1"/>
  <c r="EG39" i="2" s="1"/>
  <c r="EF39" i="2" a="1"/>
  <c r="EF39" i="2"/>
  <c r="EE39" i="2" a="1"/>
  <c r="EE39" i="2" s="1"/>
  <c r="ED39" i="2" a="1"/>
  <c r="ED39" i="2"/>
  <c r="EC39" i="2" a="1"/>
  <c r="EC39" i="2"/>
  <c r="EB39" i="2" a="1"/>
  <c r="EB39" i="2" s="1"/>
  <c r="EA39" i="2" a="1"/>
  <c r="EA39" i="2" s="1"/>
  <c r="DZ39" i="2" a="1"/>
  <c r="DZ39" i="2"/>
  <c r="DY39" i="2" a="1"/>
  <c r="DY39" i="2" s="1"/>
  <c r="DX39" i="2" a="1"/>
  <c r="DX39" i="2" s="1"/>
  <c r="DW39" i="2" a="1"/>
  <c r="DW39" i="2" s="1"/>
  <c r="DV39" i="2" a="1"/>
  <c r="DV39" i="2"/>
  <c r="DU39" i="2" a="1"/>
  <c r="DU39" i="2"/>
  <c r="DT39" i="2"/>
  <c r="DR39" i="2" a="1"/>
  <c r="DR39" i="2"/>
  <c r="DQ39" i="2" a="1"/>
  <c r="DQ39" i="2"/>
  <c r="DP39" i="2" a="1"/>
  <c r="DP39" i="2"/>
  <c r="DO39" i="2" a="1"/>
  <c r="DO39" i="2"/>
  <c r="DN39" i="2" a="1"/>
  <c r="DN39" i="2" s="1"/>
  <c r="DM39" i="2" a="1"/>
  <c r="DM39" i="2"/>
  <c r="DL39" i="2" a="1"/>
  <c r="DL39" i="2"/>
  <c r="DK39" i="2" a="1"/>
  <c r="DK39" i="2"/>
  <c r="DJ39" i="2" a="1"/>
  <c r="DJ39" i="2"/>
  <c r="DI39" i="2" a="1"/>
  <c r="DI39" i="2"/>
  <c r="DH39" i="2" a="1"/>
  <c r="DH39" i="2" s="1"/>
  <c r="DG39" i="2" a="1"/>
  <c r="DG39" i="2" s="1"/>
  <c r="DE39" i="2" a="1"/>
  <c r="DE39" i="2"/>
  <c r="DD39" i="2" a="1"/>
  <c r="DD39" i="2" s="1"/>
  <c r="DC39" i="2" a="1"/>
  <c r="DC39" i="2" s="1"/>
  <c r="DB39" i="2"/>
  <c r="DA39" i="2" a="1"/>
  <c r="DA39" i="2" s="1"/>
  <c r="CY39" i="2"/>
  <c r="CQ39" i="2"/>
  <c r="CP39" i="2"/>
  <c r="CN39" i="2"/>
  <c r="CM39" i="2"/>
  <c r="CK39" i="2"/>
  <c r="CH39" i="2"/>
  <c r="D39" i="2" a="1"/>
  <c r="D39" i="2"/>
  <c r="EJ38" i="2" a="1"/>
  <c r="EJ38" i="2"/>
  <c r="EI38" i="2" a="1"/>
  <c r="EI38" i="2"/>
  <c r="EH38" i="2" a="1"/>
  <c r="EH38" i="2"/>
  <c r="EG38" i="2" a="1"/>
  <c r="EG38" i="2"/>
  <c r="EF38" i="2" a="1"/>
  <c r="EF38" i="2" s="1"/>
  <c r="EE38" i="2" a="1"/>
  <c r="EE38" i="2" s="1"/>
  <c r="ED38" i="2" a="1"/>
  <c r="ED38" i="2"/>
  <c r="EC38" i="2" a="1"/>
  <c r="EC38" i="2"/>
  <c r="EB38" i="2" a="1"/>
  <c r="EB38" i="2"/>
  <c r="EA38" i="2" a="1"/>
  <c r="EA38" i="2" s="1"/>
  <c r="DZ38" i="2" a="1"/>
  <c r="DZ38" i="2" s="1"/>
  <c r="DX38" i="2" a="1"/>
  <c r="DX38" i="2"/>
  <c r="DW38" i="2" a="1"/>
  <c r="DW38" i="2"/>
  <c r="DV38" i="2" a="1"/>
  <c r="DV38" i="2"/>
  <c r="DU38" i="2" a="1"/>
  <c r="DU38" i="2" s="1"/>
  <c r="DT38" i="2"/>
  <c r="DR38" i="2" a="1"/>
  <c r="DR38" i="2"/>
  <c r="DQ38" i="2" a="1"/>
  <c r="DQ38" i="2" s="1"/>
  <c r="DP38" i="2" a="1"/>
  <c r="DP38" i="2" s="1"/>
  <c r="DO38" i="2" a="1"/>
  <c r="DO38" i="2" s="1"/>
  <c r="DN38" i="2" a="1"/>
  <c r="DN38" i="2" s="1"/>
  <c r="DM38" i="2" a="1"/>
  <c r="DM38" i="2"/>
  <c r="DL38" i="2" a="1"/>
  <c r="DL38" i="2"/>
  <c r="DK38" i="2" a="1"/>
  <c r="DK38" i="2"/>
  <c r="DJ38" i="2" a="1"/>
  <c r="DJ38" i="2" s="1"/>
  <c r="DI38" i="2" a="1"/>
  <c r="DI38" i="2" s="1"/>
  <c r="DH38" i="2" a="1"/>
  <c r="DH38" i="2"/>
  <c r="DG38" i="2" a="1"/>
  <c r="DG38" i="2"/>
  <c r="DF38" i="2" a="1"/>
  <c r="DF38" i="2"/>
  <c r="DE38" i="2" a="1"/>
  <c r="DE38" i="2" s="1"/>
  <c r="DD38" i="2" a="1"/>
  <c r="DD38" i="2" s="1"/>
  <c r="DC38" i="2" a="1"/>
  <c r="DC38" i="2" s="1"/>
  <c r="DB38" i="2"/>
  <c r="DA38" i="2" a="1"/>
  <c r="DA38" i="2"/>
  <c r="CY38" i="2"/>
  <c r="CQ38" i="2"/>
  <c r="CP38" i="2"/>
  <c r="CN38" i="2"/>
  <c r="CK38" i="2"/>
  <c r="CH38" i="2"/>
  <c r="D38" i="2" a="1"/>
  <c r="D38" i="2"/>
  <c r="EJ37" i="2" a="1"/>
  <c r="EJ37" i="2"/>
  <c r="EI37" i="2" a="1"/>
  <c r="EI37" i="2"/>
  <c r="EH37" i="2" a="1"/>
  <c r="EH37" i="2" s="1"/>
  <c r="EG37" i="2" a="1"/>
  <c r="EG37" i="2"/>
  <c r="EF37" i="2" a="1"/>
  <c r="EF37" i="2" s="1"/>
  <c r="EE37" i="2" a="1"/>
  <c r="EE37" i="2"/>
  <c r="ED37" i="2" a="1"/>
  <c r="ED37" i="2" s="1"/>
  <c r="EC37" i="2" a="1"/>
  <c r="EC37" i="2" s="1"/>
  <c r="EB37" i="2" a="1"/>
  <c r="EB37" i="2"/>
  <c r="EA37" i="2" a="1"/>
  <c r="EA37" i="2" s="1"/>
  <c r="DZ37" i="2" a="1"/>
  <c r="DZ37" i="2" s="1"/>
  <c r="DY37" i="2" a="1"/>
  <c r="DY37" i="2"/>
  <c r="DX37" i="2" a="1"/>
  <c r="DX37" i="2"/>
  <c r="DW37" i="2" a="1"/>
  <c r="DW37" i="2" s="1"/>
  <c r="DV37" i="2" a="1"/>
  <c r="DV37" i="2"/>
  <c r="DU37" i="2" a="1"/>
  <c r="DU37" i="2"/>
  <c r="DT37" i="2"/>
  <c r="DR37" i="2" a="1"/>
  <c r="DR37" i="2"/>
  <c r="DQ37" i="2" a="1"/>
  <c r="DQ37" i="2" s="1"/>
  <c r="DP37" i="2" a="1"/>
  <c r="DP37" i="2" s="1"/>
  <c r="DO37" i="2" a="1"/>
  <c r="DO37" i="2" s="1"/>
  <c r="DN37" i="2" a="1"/>
  <c r="DN37" i="2" s="1"/>
  <c r="DM37" i="2" a="1"/>
  <c r="DM37" i="2"/>
  <c r="DL37" i="2" a="1"/>
  <c r="DL37" i="2"/>
  <c r="DK37" i="2" a="1"/>
  <c r="DK37" i="2" s="1"/>
  <c r="DJ37" i="2" a="1"/>
  <c r="DJ37" i="2"/>
  <c r="DI37" i="2" a="1"/>
  <c r="DI37" i="2" s="1"/>
  <c r="DH37" i="2" a="1"/>
  <c r="DH37" i="2"/>
  <c r="DG37" i="2" a="1"/>
  <c r="DG37" i="2"/>
  <c r="DE37" i="2" a="1"/>
  <c r="DE37" i="2"/>
  <c r="DD37" i="2" a="1"/>
  <c r="DD37" i="2" s="1"/>
  <c r="DC37" i="2" a="1"/>
  <c r="DC37" i="2"/>
  <c r="DB37" i="2"/>
  <c r="DA37" i="2" a="1"/>
  <c r="DA37" i="2"/>
  <c r="CY37" i="2"/>
  <c r="CQ37" i="2"/>
  <c r="CP37" i="2"/>
  <c r="CN37" i="2"/>
  <c r="CK37" i="2"/>
  <c r="CH37" i="2"/>
  <c r="D37" i="2" a="1"/>
  <c r="D37" i="2"/>
  <c r="CV37" i="2" s="1"/>
  <c r="EJ36" i="2" a="1"/>
  <c r="EJ36" i="2" s="1"/>
  <c r="EI36" i="2" a="1"/>
  <c r="EI36" i="2"/>
  <c r="EH36" i="2" a="1"/>
  <c r="EH36" i="2" s="1"/>
  <c r="EG36" i="2" a="1"/>
  <c r="EG36" i="2" s="1"/>
  <c r="EF36" i="2" a="1"/>
  <c r="EF36" i="2"/>
  <c r="EE36" i="2" a="1"/>
  <c r="EE36" i="2"/>
  <c r="ED36" i="2" a="1"/>
  <c r="ED36" i="2" s="1"/>
  <c r="EC36" i="2" a="1"/>
  <c r="EC36" i="2"/>
  <c r="EB36" i="2" a="1"/>
  <c r="EB36" i="2" s="1"/>
  <c r="EA36" i="2" a="1"/>
  <c r="EA36" i="2"/>
  <c r="DZ36" i="2" a="1"/>
  <c r="DZ36" i="2"/>
  <c r="DY36" i="2" a="1"/>
  <c r="DY36" i="2" s="1"/>
  <c r="DX36" i="2" a="1"/>
  <c r="DX36" i="2" s="1"/>
  <c r="DW36" i="2" a="1"/>
  <c r="DW36" i="2"/>
  <c r="DV36" i="2" a="1"/>
  <c r="DV36" i="2"/>
  <c r="DU36" i="2" a="1"/>
  <c r="DU36" i="2" s="1"/>
  <c r="DT36" i="2"/>
  <c r="DR36" i="2" a="1"/>
  <c r="DR36" i="2"/>
  <c r="DQ36" i="2" a="1"/>
  <c r="DQ36" i="2" s="1"/>
  <c r="DP36" i="2" a="1"/>
  <c r="DP36" i="2" s="1"/>
  <c r="DO36" i="2" a="1"/>
  <c r="DO36" i="2"/>
  <c r="DN36" i="2" a="1"/>
  <c r="DN36" i="2"/>
  <c r="DM36" i="2" a="1"/>
  <c r="DM36" i="2" s="1"/>
  <c r="DL36" i="2" a="1"/>
  <c r="DL36" i="2" s="1"/>
  <c r="DK36" i="2" a="1"/>
  <c r="DK36" i="2"/>
  <c r="DJ36" i="2" a="1"/>
  <c r="DJ36" i="2" s="1"/>
  <c r="DI36" i="2" a="1"/>
  <c r="DI36" i="2"/>
  <c r="DH36" i="2" a="1"/>
  <c r="DH36" i="2" s="1"/>
  <c r="DG36" i="2" a="1"/>
  <c r="DG36" i="2" s="1"/>
  <c r="DF36" i="2" a="1"/>
  <c r="DF36" i="2"/>
  <c r="DE36" i="2" a="1"/>
  <c r="DE36" i="2"/>
  <c r="DD36" i="2" a="1"/>
  <c r="DD36" i="2" s="1"/>
  <c r="DC36" i="2" a="1"/>
  <c r="DC36" i="2" s="1"/>
  <c r="DB36" i="2"/>
  <c r="DA36" i="2" a="1"/>
  <c r="DA36" i="2"/>
  <c r="CY36" i="2"/>
  <c r="CQ36" i="2"/>
  <c r="CP36" i="2"/>
  <c r="CN36" i="2"/>
  <c r="CM36" i="2"/>
  <c r="CK36" i="2"/>
  <c r="CH36" i="2"/>
  <c r="D36" i="2" a="1"/>
  <c r="D36" i="2"/>
  <c r="CV36" i="2" s="1"/>
  <c r="EJ35" i="2" a="1"/>
  <c r="EJ35" i="2" s="1"/>
  <c r="EI35" i="2" a="1"/>
  <c r="EI35" i="2"/>
  <c r="EH35" i="2" a="1"/>
  <c r="EH35" i="2" s="1"/>
  <c r="EG35" i="2" a="1"/>
  <c r="EG35" i="2" s="1"/>
  <c r="EF35" i="2" a="1"/>
  <c r="EF35" i="2" s="1"/>
  <c r="EE35" i="2" a="1"/>
  <c r="EE35" i="2" s="1"/>
  <c r="ED35" i="2" a="1"/>
  <c r="ED35" i="2"/>
  <c r="EC35" i="2" a="1"/>
  <c r="EC35" i="2"/>
  <c r="EB35" i="2" a="1"/>
  <c r="EB35" i="2" s="1"/>
  <c r="EA35" i="2" a="1"/>
  <c r="EA35" i="2" s="1"/>
  <c r="DZ35" i="2" a="1"/>
  <c r="DZ35" i="2" s="1"/>
  <c r="DY35" i="2" a="1"/>
  <c r="DY35" i="2"/>
  <c r="DX35" i="2" a="1"/>
  <c r="DX35" i="2"/>
  <c r="DW35" i="2" a="1"/>
  <c r="DW35" i="2" s="1"/>
  <c r="DV35" i="2" a="1"/>
  <c r="DV35" i="2" s="1"/>
  <c r="DU35" i="2" a="1"/>
  <c r="DU35" i="2" s="1"/>
  <c r="DT35" i="2"/>
  <c r="DR35" i="2" a="1"/>
  <c r="DR35" i="2" s="1"/>
  <c r="DQ35" i="2" a="1"/>
  <c r="DQ35" i="2"/>
  <c r="DP35" i="2" a="1"/>
  <c r="DP35" i="2"/>
  <c r="DO35" i="2" a="1"/>
  <c r="DO35" i="2" s="1"/>
  <c r="DN35" i="2" a="1"/>
  <c r="DN35" i="2" s="1"/>
  <c r="DM35" i="2" a="1"/>
  <c r="DM35" i="2"/>
  <c r="DL35" i="2" a="1"/>
  <c r="DL35" i="2" s="1"/>
  <c r="DK35" i="2" a="1"/>
  <c r="DK35" i="2"/>
  <c r="DJ35" i="2" a="1"/>
  <c r="DJ35" i="2"/>
  <c r="DI35" i="2" a="1"/>
  <c r="DI35" i="2" s="1"/>
  <c r="DH35" i="2" a="1"/>
  <c r="DH35" i="2"/>
  <c r="DF35" i="2" a="1"/>
  <c r="DF35" i="2"/>
  <c r="DE35" i="2" a="1"/>
  <c r="DE35" i="2" s="1"/>
  <c r="DD35" i="2" a="1"/>
  <c r="DD35" i="2" s="1"/>
  <c r="DC35" i="2" a="1"/>
  <c r="DC35" i="2" s="1"/>
  <c r="DB35" i="2"/>
  <c r="DA35" i="2" a="1"/>
  <c r="DA35" i="2" s="1"/>
  <c r="CY35" i="2"/>
  <c r="CQ35" i="2"/>
  <c r="CP35" i="2"/>
  <c r="CN35" i="2"/>
  <c r="CK35" i="2"/>
  <c r="CH35" i="2"/>
  <c r="D35" i="2" a="1"/>
  <c r="D35" i="2" s="1"/>
  <c r="CV35" i="2" s="1"/>
  <c r="EJ34" i="2" a="1"/>
  <c r="EJ34" i="2"/>
  <c r="EI34" i="2" a="1"/>
  <c r="EI34" i="2"/>
  <c r="EH34" i="2" a="1"/>
  <c r="EH34" i="2"/>
  <c r="EG34" i="2" a="1"/>
  <c r="EG34" i="2" s="1"/>
  <c r="EF34" i="2" a="1"/>
  <c r="EF34" i="2" s="1"/>
  <c r="EE34" i="2" a="1"/>
  <c r="EE34" i="2"/>
  <c r="ED34" i="2" a="1"/>
  <c r="ED34" i="2"/>
  <c r="EC34" i="2" a="1"/>
  <c r="EC34" i="2" s="1"/>
  <c r="EB34" i="2" a="1"/>
  <c r="EB34" i="2"/>
  <c r="EA34" i="2" a="1"/>
  <c r="EA34" i="2" s="1"/>
  <c r="DZ34" i="2" a="1"/>
  <c r="DZ34" i="2" s="1"/>
  <c r="DY34" i="2" a="1"/>
  <c r="DY34" i="2"/>
  <c r="DX34" i="2" a="1"/>
  <c r="DX34" i="2"/>
  <c r="DW34" i="2" a="1"/>
  <c r="DW34" i="2" s="1"/>
  <c r="DV34" i="2" a="1"/>
  <c r="DV34" i="2"/>
  <c r="DU34" i="2" a="1"/>
  <c r="DU34" i="2" s="1"/>
  <c r="DT34" i="2"/>
  <c r="DR34" i="2" a="1"/>
  <c r="DR34" i="2"/>
  <c r="DQ34" i="2" a="1"/>
  <c r="DQ34" i="2" s="1"/>
  <c r="DP34" i="2" a="1"/>
  <c r="DP34" i="2"/>
  <c r="DO34" i="2" a="1"/>
  <c r="DO34" i="2" s="1"/>
  <c r="DN34" i="2" a="1"/>
  <c r="DN34" i="2"/>
  <c r="DM34" i="2" a="1"/>
  <c r="DM34" i="2" s="1"/>
  <c r="DL34" i="2" a="1"/>
  <c r="DL34" i="2"/>
  <c r="DK34" i="2" a="1"/>
  <c r="DK34" i="2" s="1"/>
  <c r="DJ34" i="2" a="1"/>
  <c r="DJ34" i="2" s="1"/>
  <c r="DI34" i="2" a="1"/>
  <c r="DI34" i="2"/>
  <c r="DH34" i="2" a="1"/>
  <c r="DH34" i="2" s="1"/>
  <c r="DG34" i="2" a="1"/>
  <c r="DG34" i="2" s="1"/>
  <c r="DF34" i="2" a="1"/>
  <c r="DF34" i="2"/>
  <c r="DE34" i="2" a="1"/>
  <c r="DE34" i="2" s="1"/>
  <c r="DD34" i="2" a="1"/>
  <c r="DD34" i="2"/>
  <c r="DC34" i="2" a="1"/>
  <c r="DC34" i="2"/>
  <c r="DB34" i="2"/>
  <c r="DA34" i="2" a="1"/>
  <c r="DA34" i="2" s="1"/>
  <c r="CY34" i="2"/>
  <c r="CQ34" i="2"/>
  <c r="CP34" i="2"/>
  <c r="CN34" i="2"/>
  <c r="CK34" i="2"/>
  <c r="CH34" i="2"/>
  <c r="D34" i="2" a="1"/>
  <c r="D34" i="2" s="1"/>
  <c r="CV34" i="2" s="1"/>
  <c r="EJ33" i="2" a="1"/>
  <c r="EJ33" i="2"/>
  <c r="EI33" i="2" a="1"/>
  <c r="EI33" i="2" s="1"/>
  <c r="EH33" i="2" a="1"/>
  <c r="EH33" i="2" s="1"/>
  <c r="EG33" i="2" a="1"/>
  <c r="EG33" i="2" s="1"/>
  <c r="EF33" i="2" a="1"/>
  <c r="EF33" i="2" s="1"/>
  <c r="EE33" i="2" a="1"/>
  <c r="EE33" i="2"/>
  <c r="ED33" i="2" a="1"/>
  <c r="ED33" i="2"/>
  <c r="EC33" i="2" a="1"/>
  <c r="EC33" i="2" s="1"/>
  <c r="EB33" i="2" a="1"/>
  <c r="EB33" i="2" s="1"/>
  <c r="EA33" i="2" a="1"/>
  <c r="EA33" i="2" s="1"/>
  <c r="DZ33" i="2" a="1"/>
  <c r="DZ33" i="2"/>
  <c r="DY33" i="2" a="1"/>
  <c r="DY33" i="2" s="1"/>
  <c r="DX33" i="2" a="1"/>
  <c r="DX33" i="2" s="1"/>
  <c r="DW33" i="2" a="1"/>
  <c r="DW33" i="2" s="1"/>
  <c r="DV33" i="2" a="1"/>
  <c r="DV33" i="2" s="1"/>
  <c r="DU33" i="2" a="1"/>
  <c r="DU33" i="2"/>
  <c r="DT33" i="2"/>
  <c r="DR33" i="2" a="1"/>
  <c r="DR33" i="2"/>
  <c r="DQ33" i="2" a="1"/>
  <c r="DQ33" i="2"/>
  <c r="DP33" i="2" a="1"/>
  <c r="DP33" i="2" s="1"/>
  <c r="DO33" i="2" a="1"/>
  <c r="DO33" i="2"/>
  <c r="DN33" i="2" a="1"/>
  <c r="DN33" i="2"/>
  <c r="DM33" i="2" a="1"/>
  <c r="DM33" i="2" s="1"/>
  <c r="DL33" i="2" a="1"/>
  <c r="DL33" i="2"/>
  <c r="DK33" i="2" a="1"/>
  <c r="DK33" i="2"/>
  <c r="DJ33" i="2" a="1"/>
  <c r="DJ33" i="2" s="1"/>
  <c r="DI33" i="2" a="1"/>
  <c r="DI33" i="2" s="1"/>
  <c r="DH33" i="2" a="1"/>
  <c r="DH33" i="2"/>
  <c r="DG33" i="2" a="1"/>
  <c r="DG33" i="2" s="1"/>
  <c r="DE33" i="2" a="1"/>
  <c r="DE33" i="2" s="1"/>
  <c r="DD33" i="2" a="1"/>
  <c r="DD33" i="2" s="1"/>
  <c r="DC33" i="2" a="1"/>
  <c r="DC33" i="2"/>
  <c r="DB33" i="2"/>
  <c r="DA33" i="2" a="1"/>
  <c r="DA33" i="2"/>
  <c r="CY33" i="2"/>
  <c r="CQ33" i="2"/>
  <c r="CP33" i="2"/>
  <c r="CN33" i="2"/>
  <c r="CK33" i="2"/>
  <c r="CH33" i="2"/>
  <c r="D33" i="2" a="1"/>
  <c r="D33" i="2" s="1"/>
  <c r="CV33" i="2" s="1"/>
  <c r="EJ32" i="2" a="1"/>
  <c r="EJ32" i="2"/>
  <c r="EI32" i="2" a="1"/>
  <c r="EI32" i="2"/>
  <c r="EH32" i="2" a="1"/>
  <c r="EH32" i="2" s="1"/>
  <c r="EG32" i="2" a="1"/>
  <c r="EG32" i="2"/>
  <c r="EF32" i="2" a="1"/>
  <c r="EF32" i="2"/>
  <c r="EE32" i="2" a="1"/>
  <c r="EE32" i="2"/>
  <c r="ED32" i="2" a="1"/>
  <c r="ED32" i="2" s="1"/>
  <c r="EC32" i="2" a="1"/>
  <c r="EC32" i="2"/>
  <c r="EB32" i="2" a="1"/>
  <c r="EB32" i="2" s="1"/>
  <c r="EA32" i="2" a="1"/>
  <c r="EA32" i="2" s="1"/>
  <c r="DZ32" i="2" a="1"/>
  <c r="DZ32" i="2"/>
  <c r="DY32" i="2" a="1"/>
  <c r="DY32" i="2"/>
  <c r="DX32" i="2" a="1"/>
  <c r="DX32" i="2" s="1"/>
  <c r="DW32" i="2" a="1"/>
  <c r="DW32" i="2"/>
  <c r="DV32" i="2" a="1"/>
  <c r="DV32" i="2" s="1"/>
  <c r="DU32" i="2" a="1"/>
  <c r="DU32" i="2"/>
  <c r="DT32" i="2"/>
  <c r="DR32" i="2" a="1"/>
  <c r="DR32" i="2" s="1"/>
  <c r="DQ32" i="2" a="1"/>
  <c r="DQ32" i="2"/>
  <c r="DP32" i="2" a="1"/>
  <c r="DP32" i="2"/>
  <c r="DO32" i="2" a="1"/>
  <c r="DO32" i="2"/>
  <c r="DN32" i="2" a="1"/>
  <c r="DN32" i="2" s="1"/>
  <c r="DM32" i="2" a="1"/>
  <c r="DM32" i="2"/>
  <c r="DL32" i="2" a="1"/>
  <c r="DL32" i="2" s="1"/>
  <c r="DK32" i="2" a="1"/>
  <c r="DK32" i="2" s="1"/>
  <c r="DJ32" i="2" a="1"/>
  <c r="DJ32" i="2"/>
  <c r="DI32" i="2" a="1"/>
  <c r="DI32" i="2" s="1"/>
  <c r="DH32" i="2" a="1"/>
  <c r="DH32" i="2" s="1"/>
  <c r="DF32" i="2" a="1"/>
  <c r="DF32" i="2" s="1"/>
  <c r="DE32" i="2" a="1"/>
  <c r="DE32" i="2"/>
  <c r="DD32" i="2" a="1"/>
  <c r="DD32" i="2"/>
  <c r="DC32" i="2" a="1"/>
  <c r="DC32" i="2" s="1"/>
  <c r="DB32" i="2"/>
  <c r="DA32" i="2" a="1"/>
  <c r="DA32" i="2" s="1"/>
  <c r="CY32" i="2"/>
  <c r="CQ32" i="2"/>
  <c r="CP32" i="2"/>
  <c r="CN32" i="2"/>
  <c r="CM32" i="2"/>
  <c r="CK32" i="2"/>
  <c r="CH32" i="2"/>
  <c r="CG32" i="2"/>
  <c r="D32" i="2" a="1"/>
  <c r="D32" i="2" s="1"/>
  <c r="CV32" i="2" s="1"/>
  <c r="EJ31" i="2" a="1"/>
  <c r="EJ31" i="2"/>
  <c r="EI31" i="2" a="1"/>
  <c r="EI31" i="2" s="1"/>
  <c r="EH31" i="2" a="1"/>
  <c r="EH31" i="2"/>
  <c r="EG31" i="2" a="1"/>
  <c r="EG31" i="2" s="1"/>
  <c r="EF31" i="2" a="1"/>
  <c r="EF31" i="2" s="1"/>
  <c r="EE31" i="2" a="1"/>
  <c r="EE31" i="2" s="1"/>
  <c r="ED31" i="2" a="1"/>
  <c r="ED31" i="2" s="1"/>
  <c r="EC31" i="2" a="1"/>
  <c r="EC31" i="2" s="1"/>
  <c r="EB31" i="2" a="1"/>
  <c r="EB31" i="2" s="1"/>
  <c r="EA31" i="2" a="1"/>
  <c r="EA31" i="2"/>
  <c r="DZ31" i="2" a="1"/>
  <c r="DZ31" i="2" s="1"/>
  <c r="DY31" i="2" a="1"/>
  <c r="DY31" i="2"/>
  <c r="DX31" i="2" a="1"/>
  <c r="DX31" i="2"/>
  <c r="DW31" i="2" a="1"/>
  <c r="DW31" i="2" s="1"/>
  <c r="DV31" i="2" a="1"/>
  <c r="DV31" i="2" s="1"/>
  <c r="DU31" i="2" a="1"/>
  <c r="DU31" i="2"/>
  <c r="DT31" i="2"/>
  <c r="DR31" i="2" a="1"/>
  <c r="DR31" i="2" s="1"/>
  <c r="DQ31" i="2" a="1"/>
  <c r="DQ31" i="2"/>
  <c r="DP31" i="2" a="1"/>
  <c r="DP31" i="2"/>
  <c r="DO31" i="2" a="1"/>
  <c r="DO31" i="2"/>
  <c r="DN31" i="2" a="1"/>
  <c r="DN31" i="2" s="1"/>
  <c r="DM31" i="2" a="1"/>
  <c r="DM31" i="2"/>
  <c r="DL31" i="2" a="1"/>
  <c r="DL31" i="2"/>
  <c r="DK31" i="2" a="1"/>
  <c r="DK31" i="2"/>
  <c r="DJ31" i="2" a="1"/>
  <c r="DJ31" i="2" s="1"/>
  <c r="DI31" i="2" a="1"/>
  <c r="DI31" i="2"/>
  <c r="DH31" i="2" a="1"/>
  <c r="DH31" i="2" s="1"/>
  <c r="DG31" i="2" a="1"/>
  <c r="DG31" i="2"/>
  <c r="DF31" i="2" a="1"/>
  <c r="DF31" i="2" s="1"/>
  <c r="DE31" i="2" a="1"/>
  <c r="DE31" i="2"/>
  <c r="DD31" i="2" a="1"/>
  <c r="DD31" i="2"/>
  <c r="DC31" i="2" a="1"/>
  <c r="DC31" i="2"/>
  <c r="DB31" i="2"/>
  <c r="DA31" i="2" a="1"/>
  <c r="DA31" i="2"/>
  <c r="CY31" i="2"/>
  <c r="CQ31" i="2"/>
  <c r="CP31" i="2"/>
  <c r="CN31" i="2"/>
  <c r="CK31" i="2"/>
  <c r="CJ31" i="2"/>
  <c r="CH31" i="2"/>
  <c r="CG31" i="2"/>
  <c r="D31" i="2" a="1"/>
  <c r="D31" i="2" s="1"/>
  <c r="CV31" i="2" s="1"/>
  <c r="EJ30" i="2" a="1"/>
  <c r="EJ30" i="2" s="1"/>
  <c r="EI30" i="2" a="1"/>
  <c r="EI30" i="2"/>
  <c r="EH30" i="2" a="1"/>
  <c r="EH30" i="2" s="1"/>
  <c r="EG30" i="2" a="1"/>
  <c r="EG30" i="2" s="1"/>
  <c r="EF30" i="2" a="1"/>
  <c r="EF30" i="2"/>
  <c r="EE30" i="2" a="1"/>
  <c r="EE30" i="2" s="1"/>
  <c r="ED30" i="2" a="1"/>
  <c r="ED30" i="2" s="1"/>
  <c r="EC30" i="2" a="1"/>
  <c r="EC30" i="2"/>
  <c r="EB30" i="2" a="1"/>
  <c r="EB30" i="2"/>
  <c r="EA30" i="2" a="1"/>
  <c r="EA30" i="2" s="1"/>
  <c r="DZ30" i="2" a="1"/>
  <c r="DZ30" i="2"/>
  <c r="DY30" i="2" a="1"/>
  <c r="DY30" i="2" s="1"/>
  <c r="DX30" i="2" a="1"/>
  <c r="DX30" i="2" s="1"/>
  <c r="DW30" i="2" a="1"/>
  <c r="DW30" i="2"/>
  <c r="DV30" i="2" a="1"/>
  <c r="DV30" i="2"/>
  <c r="DU30" i="2" a="1"/>
  <c r="DU30" i="2" s="1"/>
  <c r="DT30" i="2"/>
  <c r="DR30" i="2" a="1"/>
  <c r="DR30" i="2"/>
  <c r="DQ30" i="2" a="1"/>
  <c r="DQ30" i="2"/>
  <c r="DP30" i="2" a="1"/>
  <c r="DP30" i="2" s="1"/>
  <c r="DN30" i="2" a="1"/>
  <c r="DN30" i="2" s="1"/>
  <c r="DM30" i="2" a="1"/>
  <c r="DM30" i="2" s="1"/>
  <c r="DL30" i="2" a="1"/>
  <c r="DL30" i="2" s="1"/>
  <c r="DK30" i="2" a="1"/>
  <c r="DK30" i="2" s="1"/>
  <c r="DJ30" i="2" a="1"/>
  <c r="DJ30" i="2" s="1"/>
  <c r="DI30" i="2" a="1"/>
  <c r="DI30" i="2"/>
  <c r="DH30" i="2" a="1"/>
  <c r="DH30" i="2" s="1"/>
  <c r="DG30" i="2" a="1"/>
  <c r="DG30" i="2" s="1"/>
  <c r="DF30" i="2" a="1"/>
  <c r="DF30" i="2"/>
  <c r="DE30" i="2" a="1"/>
  <c r="DE30" i="2"/>
  <c r="DD30" i="2" a="1"/>
  <c r="DD30" i="2"/>
  <c r="DC30" i="2" a="1"/>
  <c r="DC30" i="2" s="1"/>
  <c r="DB30" i="2"/>
  <c r="CQ30" i="2"/>
  <c r="CP30" i="2"/>
  <c r="CN30" i="2"/>
  <c r="CK30" i="2"/>
  <c r="CH30" i="2"/>
  <c r="D30" i="2" a="1"/>
  <c r="D30" i="2"/>
  <c r="CV30" i="2" s="1"/>
  <c r="EJ29" i="2" a="1"/>
  <c r="EJ29" i="2" s="1"/>
  <c r="EI29" i="2" a="1"/>
  <c r="EI29" i="2" s="1"/>
  <c r="EH29" i="2" a="1"/>
  <c r="EH29" i="2"/>
  <c r="EG29" i="2" a="1"/>
  <c r="EG29" i="2"/>
  <c r="EF29" i="2" a="1"/>
  <c r="EF29" i="2" s="1"/>
  <c r="EE29" i="2" a="1"/>
  <c r="EE29" i="2"/>
  <c r="ED29" i="2" a="1"/>
  <c r="ED29" i="2" s="1"/>
  <c r="EC29" i="2" a="1"/>
  <c r="EC29" i="2"/>
  <c r="EB29" i="2" a="1"/>
  <c r="EB29" i="2" s="1"/>
  <c r="EA29" i="2" a="1"/>
  <c r="EA29" i="2" s="1"/>
  <c r="DZ29" i="2" a="1"/>
  <c r="DZ29" i="2"/>
  <c r="DY29" i="2" a="1"/>
  <c r="DY29" i="2" s="1"/>
  <c r="DX29" i="2" a="1"/>
  <c r="DX29" i="2" s="1"/>
  <c r="DW29" i="2" a="1"/>
  <c r="DW29" i="2" s="1"/>
  <c r="DV29" i="2" a="1"/>
  <c r="DV29" i="2"/>
  <c r="DU29" i="2" a="1"/>
  <c r="DU29" i="2"/>
  <c r="DT29" i="2"/>
  <c r="DR29" i="2" a="1"/>
  <c r="DR29" i="2"/>
  <c r="DQ29" i="2" a="1"/>
  <c r="DQ29" i="2" s="1"/>
  <c r="DP29" i="2" a="1"/>
  <c r="DP29" i="2"/>
  <c r="DO29" i="2" a="1"/>
  <c r="DO29" i="2"/>
  <c r="DN29" i="2" a="1"/>
  <c r="DN29" i="2"/>
  <c r="DM29" i="2" a="1"/>
  <c r="DM29" i="2" s="1"/>
  <c r="DL29" i="2" a="1"/>
  <c r="DL29" i="2" s="1"/>
  <c r="DK29" i="2" a="1"/>
  <c r="DK29" i="2" s="1"/>
  <c r="DJ29" i="2" a="1"/>
  <c r="DJ29" i="2"/>
  <c r="DI29" i="2" a="1"/>
  <c r="DI29" i="2"/>
  <c r="DH29" i="2" a="1"/>
  <c r="DH29" i="2"/>
  <c r="DG29" i="2" a="1"/>
  <c r="DG29" i="2" s="1"/>
  <c r="DF29" i="2" a="1"/>
  <c r="DF29" i="2" s="1"/>
  <c r="DE29" i="2" a="1"/>
  <c r="DE29" i="2" s="1"/>
  <c r="DD29" i="2" a="1"/>
  <c r="DD29" i="2"/>
  <c r="DC29" i="2" a="1"/>
  <c r="DC29" i="2"/>
  <c r="DB29" i="2"/>
  <c r="CQ29" i="2"/>
  <c r="CP29" i="2"/>
  <c r="CN29" i="2"/>
  <c r="CK29" i="2"/>
  <c r="CH29" i="2"/>
  <c r="CI29" i="2" s="1"/>
  <c r="CG29" i="2"/>
  <c r="D29" i="2" a="1"/>
  <c r="D29" i="2" s="1"/>
  <c r="CV29" i="2" s="1"/>
  <c r="EJ28" i="2" a="1"/>
  <c r="EJ28" i="2"/>
  <c r="EI28" i="2" a="1"/>
  <c r="EI28" i="2" s="1"/>
  <c r="EH28" i="2" a="1"/>
  <c r="EH28" i="2"/>
  <c r="EG28" i="2" a="1"/>
  <c r="EG28" i="2"/>
  <c r="EF28" i="2" a="1"/>
  <c r="EF28" i="2" s="1"/>
  <c r="EE28" i="2" a="1"/>
  <c r="EE28" i="2"/>
  <c r="ED28" i="2" a="1"/>
  <c r="ED28" i="2" s="1"/>
  <c r="EC28" i="2" a="1"/>
  <c r="EC28" i="2" s="1"/>
  <c r="EB28" i="2" a="1"/>
  <c r="EB28" i="2" s="1"/>
  <c r="EA28" i="2" a="1"/>
  <c r="EA28" i="2"/>
  <c r="DZ28" i="2" a="1"/>
  <c r="DZ28" i="2"/>
  <c r="DY28" i="2" a="1"/>
  <c r="DY28" i="2"/>
  <c r="DX28" i="2" a="1"/>
  <c r="DX28" i="2"/>
  <c r="DW28" i="2" a="1"/>
  <c r="DW28" i="2" s="1"/>
  <c r="DV28" i="2" a="1"/>
  <c r="DV28" i="2"/>
  <c r="DU28" i="2" a="1"/>
  <c r="DU28" i="2"/>
  <c r="DT28" i="2"/>
  <c r="DR28" i="2" a="1"/>
  <c r="DR28" i="2" s="1"/>
  <c r="DQ28" i="2" a="1"/>
  <c r="DQ28" i="2"/>
  <c r="DP28" i="2" a="1"/>
  <c r="DP28" i="2" s="1"/>
  <c r="DO28" i="2" a="1"/>
  <c r="DO28" i="2"/>
  <c r="DN28" i="2" a="1"/>
  <c r="DN28" i="2" s="1"/>
  <c r="DM28" i="2" a="1"/>
  <c r="DM28" i="2" s="1"/>
  <c r="DL28" i="2" a="1"/>
  <c r="DL28" i="2"/>
  <c r="DK28" i="2" a="1"/>
  <c r="DK28" i="2"/>
  <c r="DJ28" i="2" a="1"/>
  <c r="DJ28" i="2"/>
  <c r="DI28" i="2" a="1"/>
  <c r="DI28" i="2" s="1"/>
  <c r="DH28" i="2" a="1"/>
  <c r="DH28" i="2" s="1"/>
  <c r="DG28" i="2" a="1"/>
  <c r="DG28" i="2" s="1"/>
  <c r="DF28" i="2" a="1"/>
  <c r="DF28" i="2"/>
  <c r="DE28" i="2" a="1"/>
  <c r="DE28" i="2" s="1"/>
  <c r="DD28" i="2" a="1"/>
  <c r="DD28" i="2"/>
  <c r="DC28" i="2" a="1"/>
  <c r="DC28" i="2" s="1"/>
  <c r="DB28" i="2"/>
  <c r="CQ28" i="2"/>
  <c r="CP28" i="2"/>
  <c r="CN28" i="2"/>
  <c r="CM28" i="2"/>
  <c r="CK28" i="2"/>
  <c r="CJ28" i="2"/>
  <c r="CH28" i="2"/>
  <c r="D28" i="2" a="1"/>
  <c r="D28" i="2" s="1"/>
  <c r="CV28" i="2" s="1"/>
  <c r="EJ27" i="2" a="1"/>
  <c r="EJ27" i="2" s="1"/>
  <c r="EI27" i="2" a="1"/>
  <c r="EI27" i="2"/>
  <c r="EH27" i="2" a="1"/>
  <c r="EH27" i="2"/>
  <c r="EG27" i="2" a="1"/>
  <c r="EG27" i="2"/>
  <c r="EF27" i="2" a="1"/>
  <c r="EF27" i="2" s="1"/>
  <c r="EE27" i="2" a="1"/>
  <c r="EE27" i="2" s="1"/>
  <c r="ED27" i="2" a="1"/>
  <c r="ED27" i="2"/>
  <c r="EC27" i="2" a="1"/>
  <c r="EC27" i="2" s="1"/>
  <c r="EB27" i="2" a="1"/>
  <c r="EB27" i="2"/>
  <c r="EA27" i="2" a="1"/>
  <c r="EA27" i="2" s="1"/>
  <c r="DZ27" i="2" a="1"/>
  <c r="DZ27" i="2"/>
  <c r="DY27" i="2" a="1"/>
  <c r="DY27" i="2" s="1"/>
  <c r="DX27" i="2" a="1"/>
  <c r="DX27" i="2"/>
  <c r="DW27" i="2" a="1"/>
  <c r="DW27" i="2"/>
  <c r="DV27" i="2" a="1"/>
  <c r="DV27" i="2"/>
  <c r="DU27" i="2" a="1"/>
  <c r="DU27" i="2"/>
  <c r="DT27" i="2"/>
  <c r="DR27" i="2" a="1"/>
  <c r="DR27" i="2"/>
  <c r="DQ27" i="2" a="1"/>
  <c r="DQ27" i="2"/>
  <c r="DP27" i="2" a="1"/>
  <c r="DP27" i="2" s="1"/>
  <c r="DO27" i="2" a="1"/>
  <c r="DO27" i="2" s="1"/>
  <c r="DN27" i="2" a="1"/>
  <c r="DN27" i="2"/>
  <c r="DM27" i="2" a="1"/>
  <c r="DM27" i="2" s="1"/>
  <c r="DL27" i="2" a="1"/>
  <c r="DL27" i="2"/>
  <c r="DK27" i="2" a="1"/>
  <c r="DK27" i="2"/>
  <c r="DJ27" i="2" a="1"/>
  <c r="DJ27" i="2"/>
  <c r="DI27" i="2" a="1"/>
  <c r="DI27" i="2" s="1"/>
  <c r="DH27" i="2" a="1"/>
  <c r="DH27" i="2"/>
  <c r="DG27" i="2" a="1"/>
  <c r="DG27" i="2" s="1"/>
  <c r="DF27" i="2" a="1"/>
  <c r="DF27" i="2"/>
  <c r="DE27" i="2" a="1"/>
  <c r="DE27" i="2"/>
  <c r="DD27" i="2" a="1"/>
  <c r="DD27" i="2"/>
  <c r="DC27" i="2" a="1"/>
  <c r="DC27" i="2" s="1"/>
  <c r="DB27" i="2"/>
  <c r="CQ27" i="2"/>
  <c r="CP27" i="2"/>
  <c r="CN27" i="2"/>
  <c r="CK27" i="2"/>
  <c r="CH27" i="2"/>
  <c r="CI27" i="2" s="1"/>
  <c r="CG27" i="2"/>
  <c r="D27" i="2" a="1"/>
  <c r="D27" i="2"/>
  <c r="CV27" i="2" s="1"/>
  <c r="EJ26" i="2" a="1"/>
  <c r="EJ26" i="2"/>
  <c r="EI26" i="2" a="1"/>
  <c r="EI26" i="2" s="1"/>
  <c r="EH26" i="2" a="1"/>
  <c r="EH26" i="2" s="1"/>
  <c r="EG26" i="2" a="1"/>
  <c r="EG26" i="2" s="1"/>
  <c r="EF26" i="2" a="1"/>
  <c r="EF26" i="2"/>
  <c r="EE26" i="2" a="1"/>
  <c r="EE26" i="2" s="1"/>
  <c r="ED26" i="2" a="1"/>
  <c r="ED26" i="2" s="1"/>
  <c r="EC26" i="2" a="1"/>
  <c r="EC26" i="2"/>
  <c r="EB26" i="2" a="1"/>
  <c r="EB26" i="2"/>
  <c r="EA26" i="2" a="1"/>
  <c r="EA26" i="2" s="1"/>
  <c r="DZ26" i="2" a="1"/>
  <c r="DZ26" i="2" s="1"/>
  <c r="DY26" i="2" a="1"/>
  <c r="DY26" i="2" s="1"/>
  <c r="DX26" i="2" a="1"/>
  <c r="DX26" i="2"/>
  <c r="DW26" i="2" a="1"/>
  <c r="DW26" i="2"/>
  <c r="DV26" i="2" a="1"/>
  <c r="DV26" i="2" s="1"/>
  <c r="DU26" i="2" a="1"/>
  <c r="DU26" i="2"/>
  <c r="DT26" i="2"/>
  <c r="DR26" i="2" a="1"/>
  <c r="DR26" i="2" s="1"/>
  <c r="DQ26" i="2" a="1"/>
  <c r="DQ26" i="2"/>
  <c r="DP26" i="2" a="1"/>
  <c r="DP26" i="2" s="1"/>
  <c r="DO26" i="2" a="1"/>
  <c r="DO26" i="2"/>
  <c r="DN26" i="2" a="1"/>
  <c r="DN26" i="2"/>
  <c r="DM26" i="2" a="1"/>
  <c r="DM26" i="2" s="1"/>
  <c r="DL26" i="2" a="1"/>
  <c r="DL26" i="2" s="1"/>
  <c r="DK26" i="2" a="1"/>
  <c r="DK26" i="2"/>
  <c r="DJ26" i="2" a="1"/>
  <c r="DJ26" i="2" s="1"/>
  <c r="DI26" i="2" a="1"/>
  <c r="DI26" i="2"/>
  <c r="DH26" i="2" a="1"/>
  <c r="DH26" i="2"/>
  <c r="DG26" i="2" a="1"/>
  <c r="DG26" i="2"/>
  <c r="DF26" i="2" a="1"/>
  <c r="DF26" i="2" s="1"/>
  <c r="DE26" i="2" a="1"/>
  <c r="DE26" i="2"/>
  <c r="DD26" i="2" a="1"/>
  <c r="DD26" i="2" s="1"/>
  <c r="DC26" i="2" a="1"/>
  <c r="DC26" i="2"/>
  <c r="DB26" i="2"/>
  <c r="CR26" i="2"/>
  <c r="CQ26" i="2"/>
  <c r="CP26" i="2"/>
  <c r="CN26" i="2"/>
  <c r="CK26" i="2"/>
  <c r="CI26" i="2"/>
  <c r="CH26" i="2"/>
  <c r="CG26" i="2"/>
  <c r="D26" i="2" a="1"/>
  <c r="D26" i="2"/>
  <c r="CV26" i="2" s="1"/>
  <c r="EJ25" i="2" a="1"/>
  <c r="EJ25" i="2"/>
  <c r="EI25" i="2" a="1"/>
  <c r="EI25" i="2" s="1"/>
  <c r="EH25" i="2" a="1"/>
  <c r="EH25" i="2" s="1"/>
  <c r="EG25" i="2" a="1"/>
  <c r="EG25" i="2" s="1"/>
  <c r="EF25" i="2" a="1"/>
  <c r="EF25" i="2" s="1"/>
  <c r="EE25" i="2" a="1"/>
  <c r="EE25" i="2"/>
  <c r="ED25" i="2" a="1"/>
  <c r="ED25" i="2" s="1"/>
  <c r="EC25" i="2" a="1"/>
  <c r="EC25" i="2"/>
  <c r="EB25" i="2" a="1"/>
  <c r="EB25" i="2"/>
  <c r="EA25" i="2" a="1"/>
  <c r="EA25" i="2" s="1"/>
  <c r="DZ25" i="2" a="1"/>
  <c r="DZ25" i="2" s="1"/>
  <c r="DY25" i="2" a="1"/>
  <c r="DY25" i="2"/>
  <c r="DX25" i="2" a="1"/>
  <c r="DX25" i="2"/>
  <c r="DW25" i="2" a="1"/>
  <c r="DW25" i="2"/>
  <c r="DV25" i="2" a="1"/>
  <c r="DV25" i="2" s="1"/>
  <c r="DU25" i="2" a="1"/>
  <c r="DU25" i="2" s="1"/>
  <c r="DT25" i="2"/>
  <c r="DR25" i="2" a="1"/>
  <c r="DR25" i="2"/>
  <c r="DQ25" i="2" a="1"/>
  <c r="DQ25" i="2"/>
  <c r="DP25" i="2" a="1"/>
  <c r="DP25" i="2" s="1"/>
  <c r="DO25" i="2" a="1"/>
  <c r="DO25" i="2"/>
  <c r="DN25" i="2" a="1"/>
  <c r="DN25" i="2" s="1"/>
  <c r="DM25" i="2" a="1"/>
  <c r="DM25" i="2"/>
  <c r="DL25" i="2" a="1"/>
  <c r="DL25" i="2" s="1"/>
  <c r="DK25" i="2" a="1"/>
  <c r="DK25" i="2"/>
  <c r="DJ25" i="2" a="1"/>
  <c r="DJ25" i="2"/>
  <c r="DI25" i="2" a="1"/>
  <c r="DI25" i="2"/>
  <c r="DH25" i="2" a="1"/>
  <c r="DH25" i="2" s="1"/>
  <c r="DG25" i="2" a="1"/>
  <c r="DG25" i="2"/>
  <c r="DF25" i="2" a="1"/>
  <c r="DF25" i="2" s="1"/>
  <c r="DE25" i="2" a="1"/>
  <c r="DE25" i="2"/>
  <c r="DD25" i="2" a="1"/>
  <c r="DD25" i="2"/>
  <c r="DC25" i="2" a="1"/>
  <c r="DC25" i="2"/>
  <c r="DB25" i="2"/>
  <c r="CQ25" i="2"/>
  <c r="CP25" i="2"/>
  <c r="CN25" i="2"/>
  <c r="CK25" i="2"/>
  <c r="CJ25" i="2"/>
  <c r="CH25" i="2"/>
  <c r="CG25" i="2"/>
  <c r="D25" i="2" a="1"/>
  <c r="D25" i="2" s="1"/>
  <c r="CV25" i="2" s="1"/>
  <c r="EJ24" i="2" a="1"/>
  <c r="EJ24" i="2"/>
  <c r="EI24" i="2" a="1"/>
  <c r="EI24" i="2" s="1"/>
  <c r="EH24" i="2" a="1"/>
  <c r="EH24" i="2" s="1"/>
  <c r="EG24" i="2" a="1"/>
  <c r="EG24" i="2"/>
  <c r="EF24" i="2" a="1"/>
  <c r="EF24" i="2"/>
  <c r="EE24" i="2" a="1"/>
  <c r="EE24" i="2"/>
  <c r="ED24" i="2" a="1"/>
  <c r="ED24" i="2"/>
  <c r="EC24" i="2" a="1"/>
  <c r="EC24" i="2" s="1"/>
  <c r="EB24" i="2" a="1"/>
  <c r="EB24" i="2" s="1"/>
  <c r="EA24" i="2" a="1"/>
  <c r="EA24" i="2"/>
  <c r="DZ24" i="2" a="1"/>
  <c r="DZ24" i="2"/>
  <c r="DX24" i="2" a="1"/>
  <c r="DX24" i="2"/>
  <c r="DW24" i="2" a="1"/>
  <c r="DW24" i="2"/>
  <c r="DV24" i="2" a="1"/>
  <c r="DV24" i="2" s="1"/>
  <c r="DU24" i="2" a="1"/>
  <c r="DU24" i="2" s="1"/>
  <c r="DT24" i="2"/>
  <c r="DR24" i="2" a="1"/>
  <c r="DR24" i="2" s="1"/>
  <c r="DQ24" i="2" a="1"/>
  <c r="DQ24" i="2" s="1"/>
  <c r="DP24" i="2" a="1"/>
  <c r="DP24" i="2" s="1"/>
  <c r="DO24" i="2" a="1"/>
  <c r="DO24" i="2"/>
  <c r="DN24" i="2" a="1"/>
  <c r="DN24" i="2"/>
  <c r="DM24" i="2" a="1"/>
  <c r="DM24" i="2" s="1"/>
  <c r="DL24" i="2" a="1"/>
  <c r="DL24" i="2" s="1"/>
  <c r="DK24" i="2" a="1"/>
  <c r="DK24" i="2" s="1"/>
  <c r="DJ24" i="2" a="1"/>
  <c r="DJ24" i="2"/>
  <c r="DI24" i="2" a="1"/>
  <c r="DI24" i="2"/>
  <c r="DH24" i="2" a="1"/>
  <c r="DH24" i="2" s="1"/>
  <c r="DG24" i="2" a="1"/>
  <c r="DG24" i="2"/>
  <c r="DF24" i="2" a="1"/>
  <c r="DF24" i="2"/>
  <c r="DE24" i="2" a="1"/>
  <c r="DE24" i="2" s="1"/>
  <c r="DD24" i="2" a="1"/>
  <c r="DD24" i="2"/>
  <c r="DC24" i="2" a="1"/>
  <c r="DC24" i="2" s="1"/>
  <c r="DB24" i="2"/>
  <c r="CQ24" i="2"/>
  <c r="CP24" i="2"/>
  <c r="CN24" i="2"/>
  <c r="CM24" i="2"/>
  <c r="CK24" i="2"/>
  <c r="CJ24" i="2"/>
  <c r="CH24" i="2"/>
  <c r="CG24" i="2"/>
  <c r="D24" i="2" a="1"/>
  <c r="D24" i="2" s="1"/>
  <c r="CV24" i="2" s="1"/>
  <c r="EJ23" i="2" a="1"/>
  <c r="EJ23" i="2" s="1"/>
  <c r="EI23" i="2" a="1"/>
  <c r="EI23" i="2"/>
  <c r="EH23" i="2" a="1"/>
  <c r="EH23" i="2"/>
  <c r="EG23" i="2" a="1"/>
  <c r="EG23" i="2" s="1"/>
  <c r="EF23" i="2" a="1"/>
  <c r="EF23" i="2"/>
  <c r="EE23" i="2" a="1"/>
  <c r="EE23" i="2" s="1"/>
  <c r="ED23" i="2" a="1"/>
  <c r="ED23" i="2"/>
  <c r="EC23" i="2" a="1"/>
  <c r="EC23" i="2"/>
  <c r="EB23" i="2" a="1"/>
  <c r="EB23" i="2"/>
  <c r="EA23" i="2" a="1"/>
  <c r="EA23" i="2" s="1"/>
  <c r="DZ23" i="2" a="1"/>
  <c r="DZ23" i="2" s="1"/>
  <c r="DY23" i="2" a="1"/>
  <c r="DY23" i="2"/>
  <c r="DX23" i="2" a="1"/>
  <c r="DX23" i="2"/>
  <c r="DW23" i="2" a="1"/>
  <c r="DW23" i="2" s="1"/>
  <c r="DV23" i="2" a="1"/>
  <c r="DV23" i="2" s="1"/>
  <c r="DU23" i="2" a="1"/>
  <c r="DU23" i="2" s="1"/>
  <c r="DT23" i="2"/>
  <c r="DR23" i="2" a="1"/>
  <c r="DR23" i="2"/>
  <c r="DQ23" i="2" a="1"/>
  <c r="DQ23" i="2"/>
  <c r="DP23" i="2" a="1"/>
  <c r="DP23" i="2"/>
  <c r="DO23" i="2" a="1"/>
  <c r="DO23" i="2" s="1"/>
  <c r="DN23" i="2" a="1"/>
  <c r="DN23" i="2"/>
  <c r="DM23" i="2" a="1"/>
  <c r="DM23" i="2"/>
  <c r="DL23" i="2" a="1"/>
  <c r="DL23" i="2" s="1"/>
  <c r="DK23" i="2" a="1"/>
  <c r="DK23" i="2" s="1"/>
  <c r="DJ23" i="2" a="1"/>
  <c r="DJ23" i="2"/>
  <c r="DI23" i="2" a="1"/>
  <c r="DI23" i="2" s="1"/>
  <c r="DH23" i="2" a="1"/>
  <c r="DH23" i="2"/>
  <c r="DG23" i="2" a="1"/>
  <c r="DG23" i="2"/>
  <c r="DF23" i="2" a="1"/>
  <c r="DF23" i="2"/>
  <c r="DE23" i="2" a="1"/>
  <c r="DE23" i="2"/>
  <c r="DD23" i="2" a="1"/>
  <c r="DD23" i="2"/>
  <c r="DC23" i="2" a="1"/>
  <c r="DC23" i="2" s="1"/>
  <c r="DB23" i="2"/>
  <c r="CZ23" i="2"/>
  <c r="CQ23" i="2"/>
  <c r="CP23" i="2"/>
  <c r="CN23" i="2"/>
  <c r="CK23" i="2"/>
  <c r="CJ23" i="2"/>
  <c r="CH23" i="2"/>
  <c r="CG23" i="2"/>
  <c r="CI23" i="2" s="1"/>
  <c r="D23" i="2" a="1"/>
  <c r="D23" i="2" s="1"/>
  <c r="CV23" i="2" s="1"/>
  <c r="EJ22" i="2" a="1"/>
  <c r="EJ22" i="2"/>
  <c r="EI22" i="2" a="1"/>
  <c r="EI22" i="2"/>
  <c r="EH22" i="2" a="1"/>
  <c r="EH22" i="2" s="1"/>
  <c r="EG22" i="2" a="1"/>
  <c r="EG22" i="2"/>
  <c r="EF22" i="2" a="1"/>
  <c r="EF22" i="2"/>
  <c r="EE22" i="2" a="1"/>
  <c r="EE22" i="2" s="1"/>
  <c r="ED22" i="2" a="1"/>
  <c r="ED22" i="2"/>
  <c r="EC22" i="2" a="1"/>
  <c r="EC22" i="2"/>
  <c r="EB22" i="2" a="1"/>
  <c r="EB22" i="2"/>
  <c r="EA22" i="2" a="1"/>
  <c r="EA22" i="2"/>
  <c r="DZ22" i="2" a="1"/>
  <c r="DZ22" i="2" s="1"/>
  <c r="DY22" i="2" a="1"/>
  <c r="DY22" i="2" s="1"/>
  <c r="DX22" i="2" a="1"/>
  <c r="DX22" i="2"/>
  <c r="DW22" i="2" a="1"/>
  <c r="DW22" i="2"/>
  <c r="DV22" i="2" a="1"/>
  <c r="DV22" i="2" s="1"/>
  <c r="DU22" i="2" a="1"/>
  <c r="DU22" i="2" s="1"/>
  <c r="DT22" i="2"/>
  <c r="DR22" i="2" a="1"/>
  <c r="DR22" i="2" s="1"/>
  <c r="DQ22" i="2" a="1"/>
  <c r="DQ22" i="2"/>
  <c r="DP22" i="2" a="1"/>
  <c r="DP22" i="2" s="1"/>
  <c r="DO22" i="2" a="1"/>
  <c r="DO22" i="2"/>
  <c r="DN22" i="2" a="1"/>
  <c r="DN22" i="2" s="1"/>
  <c r="DM22" i="2" a="1"/>
  <c r="DM22" i="2" s="1"/>
  <c r="DL22" i="2" a="1"/>
  <c r="DL22" i="2"/>
  <c r="DK22" i="2" a="1"/>
  <c r="DK22" i="2" s="1"/>
  <c r="DJ22" i="2" a="1"/>
  <c r="DJ22" i="2" s="1"/>
  <c r="DI22" i="2" a="1"/>
  <c r="DI22" i="2" s="1"/>
  <c r="DH22" i="2" a="1"/>
  <c r="DH22" i="2" s="1"/>
  <c r="DG22" i="2" a="1"/>
  <c r="DG22" i="2"/>
  <c r="DF22" i="2" a="1"/>
  <c r="DF22" i="2"/>
  <c r="DE22" i="2" a="1"/>
  <c r="DE22" i="2"/>
  <c r="DC22" i="2" a="1"/>
  <c r="DC22" i="2"/>
  <c r="DB22" i="2"/>
  <c r="CZ22" i="2"/>
  <c r="CQ22" i="2"/>
  <c r="CP22" i="2"/>
  <c r="CN22" i="2"/>
  <c r="CK22" i="2"/>
  <c r="CJ22" i="2"/>
  <c r="CH22" i="2"/>
  <c r="D22" i="2" a="1"/>
  <c r="D22" i="2" s="1"/>
  <c r="CV22" i="2" s="1"/>
  <c r="EJ21" i="2" a="1"/>
  <c r="EJ21" i="2" s="1"/>
  <c r="EI21" i="2" a="1"/>
  <c r="EI21" i="2" s="1"/>
  <c r="EH21" i="2" a="1"/>
  <c r="EH21" i="2"/>
  <c r="EG21" i="2" a="1"/>
  <c r="EG21" i="2"/>
  <c r="EF21" i="2" a="1"/>
  <c r="EF21" i="2" s="1"/>
  <c r="EE21" i="2" a="1"/>
  <c r="EE21" i="2" s="1"/>
  <c r="ED21" i="2" a="1"/>
  <c r="ED21" i="2"/>
  <c r="EC21" i="2" a="1"/>
  <c r="EC21" i="2"/>
  <c r="EB21" i="2" a="1"/>
  <c r="EB21" i="2" s="1"/>
  <c r="EA21" i="2" a="1"/>
  <c r="EA21" i="2"/>
  <c r="DZ21" i="2" a="1"/>
  <c r="DZ21" i="2" s="1"/>
  <c r="DY21" i="2" a="1"/>
  <c r="DY21" i="2"/>
  <c r="DX21" i="2" a="1"/>
  <c r="DX21" i="2"/>
  <c r="DW21" i="2" a="1"/>
  <c r="DW21" i="2" s="1"/>
  <c r="DV21" i="2" a="1"/>
  <c r="DV21" i="2" s="1"/>
  <c r="DU21" i="2" a="1"/>
  <c r="DU21" i="2" s="1"/>
  <c r="DT21" i="2"/>
  <c r="DR21" i="2" a="1"/>
  <c r="DR21" i="2"/>
  <c r="DQ21" i="2" a="1"/>
  <c r="DQ21" i="2" s="1"/>
  <c r="DP21" i="2" a="1"/>
  <c r="DP21" i="2"/>
  <c r="DO21" i="2" a="1"/>
  <c r="DO21" i="2"/>
  <c r="DN21" i="2" a="1"/>
  <c r="DN21" i="2" s="1"/>
  <c r="DM21" i="2" a="1"/>
  <c r="DM21" i="2" s="1"/>
  <c r="DL21" i="2" a="1"/>
  <c r="DL21" i="2"/>
  <c r="DK21" i="2" a="1"/>
  <c r="DK21" i="2" s="1"/>
  <c r="DJ21" i="2" a="1"/>
  <c r="DJ21" i="2"/>
  <c r="DI21" i="2" a="1"/>
  <c r="DI21" i="2"/>
  <c r="DH21" i="2" a="1"/>
  <c r="DH21" i="2"/>
  <c r="DG21" i="2" a="1"/>
  <c r="DG21" i="2"/>
  <c r="DF21" i="2" a="1"/>
  <c r="DF21" i="2"/>
  <c r="DE21" i="2" a="1"/>
  <c r="DE21" i="2" s="1"/>
  <c r="DD21" i="2" a="1"/>
  <c r="DD21" i="2"/>
  <c r="DC21" i="2" a="1"/>
  <c r="DC21" i="2"/>
  <c r="DB21" i="2"/>
  <c r="CZ21" i="2"/>
  <c r="CV21" i="2"/>
  <c r="CQ21" i="2"/>
  <c r="CP21" i="2"/>
  <c r="CN21" i="2"/>
  <c r="CM21" i="2"/>
  <c r="CK21" i="2"/>
  <c r="CJ21" i="2"/>
  <c r="CH21" i="2"/>
  <c r="D21" i="2" a="1"/>
  <c r="D21" i="2" s="1"/>
  <c r="EJ20" i="2" a="1"/>
  <c r="EJ20" i="2" s="1"/>
  <c r="EI20" i="2" a="1"/>
  <c r="EI20" i="2"/>
  <c r="EH20" i="2" a="1"/>
  <c r="EH20" i="2"/>
  <c r="EG20" i="2" a="1"/>
  <c r="EG20" i="2" s="1"/>
  <c r="EF20" i="2" a="1"/>
  <c r="EF20" i="2"/>
  <c r="EE20" i="2" a="1"/>
  <c r="EE20" i="2"/>
  <c r="EC20" i="2" a="1"/>
  <c r="EC20" i="2" s="1"/>
  <c r="EB20" i="2" a="1"/>
  <c r="EB20" i="2"/>
  <c r="EA20" i="2" a="1"/>
  <c r="EA20" i="2"/>
  <c r="DZ20" i="2" a="1"/>
  <c r="DZ20" i="2"/>
  <c r="DY20" i="2" a="1"/>
  <c r="DY20" i="2"/>
  <c r="DX20" i="2" a="1"/>
  <c r="DX20" i="2" s="1"/>
  <c r="DW20" i="2" a="1"/>
  <c r="DW20" i="2"/>
  <c r="DV20" i="2" a="1"/>
  <c r="DV20" i="2"/>
  <c r="DU20" i="2" a="1"/>
  <c r="DU20" i="2"/>
  <c r="DT20" i="2"/>
  <c r="DR20" i="2" a="1"/>
  <c r="DR20" i="2" s="1"/>
  <c r="DQ20" i="2" a="1"/>
  <c r="DQ20" i="2"/>
  <c r="DP20" i="2" a="1"/>
  <c r="DP20" i="2"/>
  <c r="DO20" i="2" a="1"/>
  <c r="DO20" i="2" s="1"/>
  <c r="DN20" i="2" a="1"/>
  <c r="DN20" i="2" s="1"/>
  <c r="DM20" i="2" a="1"/>
  <c r="DM20" i="2" s="1"/>
  <c r="DL20" i="2" a="1"/>
  <c r="DL20" i="2"/>
  <c r="DK20" i="2" a="1"/>
  <c r="DK20" i="2"/>
  <c r="DJ20" i="2" a="1"/>
  <c r="DJ20" i="2" s="1"/>
  <c r="DI20" i="2" a="1"/>
  <c r="DI20" i="2" s="1"/>
  <c r="DH20" i="2" a="1"/>
  <c r="DH20" i="2"/>
  <c r="DG20" i="2" a="1"/>
  <c r="DG20" i="2" s="1"/>
  <c r="DF20" i="2" a="1"/>
  <c r="DF20" i="2" s="1"/>
  <c r="DE20" i="2" a="1"/>
  <c r="DE20" i="2" s="1"/>
  <c r="DD20" i="2" a="1"/>
  <c r="DD20" i="2" s="1"/>
  <c r="DC20" i="2" a="1"/>
  <c r="DC20" i="2" s="1"/>
  <c r="DB20" i="2"/>
  <c r="CZ20" i="2"/>
  <c r="CQ20" i="2"/>
  <c r="CP20" i="2"/>
  <c r="CN20" i="2"/>
  <c r="CM20" i="2"/>
  <c r="CK20" i="2"/>
  <c r="CJ20" i="2"/>
  <c r="CH20" i="2"/>
  <c r="D20" i="2" a="1"/>
  <c r="D20" i="2" s="1"/>
  <c r="CV20" i="2" s="1"/>
  <c r="EJ19" i="2" a="1"/>
  <c r="EJ19" i="2"/>
  <c r="EI19" i="2" a="1"/>
  <c r="EI19" i="2"/>
  <c r="EH19" i="2" a="1"/>
  <c r="EH19" i="2" s="1"/>
  <c r="EG19" i="2" a="1"/>
  <c r="EG19" i="2"/>
  <c r="EF19" i="2" a="1"/>
  <c r="EF19" i="2" s="1"/>
  <c r="EE19" i="2" a="1"/>
  <c r="EE19" i="2" s="1"/>
  <c r="ED19" i="2" a="1"/>
  <c r="ED19" i="2"/>
  <c r="EC19" i="2" a="1"/>
  <c r="EC19" i="2" s="1"/>
  <c r="EB19" i="2" a="1"/>
  <c r="EB19" i="2"/>
  <c r="EA19" i="2" a="1"/>
  <c r="EA19" i="2" s="1"/>
  <c r="DZ19" i="2" a="1"/>
  <c r="DZ19" i="2"/>
  <c r="DY19" i="2" a="1"/>
  <c r="DY19" i="2" s="1"/>
  <c r="DX19" i="2" a="1"/>
  <c r="DX19" i="2" s="1"/>
  <c r="DW19" i="2" a="1"/>
  <c r="DW19" i="2"/>
  <c r="DV19" i="2" a="1"/>
  <c r="DV19" i="2"/>
  <c r="DU19" i="2" a="1"/>
  <c r="DU19" i="2"/>
  <c r="DT19" i="2"/>
  <c r="DR19" i="2" a="1"/>
  <c r="DR19" i="2"/>
  <c r="DQ19" i="2" a="1"/>
  <c r="DQ19" i="2"/>
  <c r="DP19" i="2" a="1"/>
  <c r="DP19" i="2"/>
  <c r="DO19" i="2" a="1"/>
  <c r="DO19" i="2" s="1"/>
  <c r="DN19" i="2" a="1"/>
  <c r="DN19" i="2"/>
  <c r="DM19" i="2" a="1"/>
  <c r="DM19" i="2"/>
  <c r="DL19" i="2" a="1"/>
  <c r="DL19" i="2" s="1"/>
  <c r="DK19" i="2" a="1"/>
  <c r="DK19" i="2"/>
  <c r="DJ19" i="2" a="1"/>
  <c r="DJ19" i="2"/>
  <c r="DI19" i="2" a="1"/>
  <c r="DI19" i="2" s="1"/>
  <c r="DH19" i="2" a="1"/>
  <c r="DH19" i="2" s="1"/>
  <c r="DG19" i="2" a="1"/>
  <c r="DG19" i="2" s="1"/>
  <c r="DF19" i="2" a="1"/>
  <c r="DF19" i="2"/>
  <c r="DE19" i="2" a="1"/>
  <c r="DE19" i="2"/>
  <c r="DD19" i="2" a="1"/>
  <c r="DD19" i="2"/>
  <c r="DC19" i="2" a="1"/>
  <c r="DC19" i="2" s="1"/>
  <c r="DB19" i="2"/>
  <c r="CZ19" i="2"/>
  <c r="CQ19" i="2"/>
  <c r="CP19" i="2"/>
  <c r="CN19" i="2"/>
  <c r="CM19" i="2"/>
  <c r="CK19" i="2"/>
  <c r="CH19" i="2"/>
  <c r="D19" i="2" a="1"/>
  <c r="D19" i="2" s="1"/>
  <c r="CV19" i="2" s="1"/>
  <c r="EJ18" i="2" a="1"/>
  <c r="EJ18" i="2" s="1"/>
  <c r="EI18" i="2" a="1"/>
  <c r="EI18" i="2" s="1"/>
  <c r="EH18" i="2" a="1"/>
  <c r="EH18" i="2"/>
  <c r="EG18" i="2" a="1"/>
  <c r="EG18" i="2"/>
  <c r="EF18" i="2" a="1"/>
  <c r="EF18" i="2"/>
  <c r="EE18" i="2" a="1"/>
  <c r="EE18" i="2"/>
  <c r="ED18" i="2" a="1"/>
  <c r="ED18" i="2" s="1"/>
  <c r="EC18" i="2" a="1"/>
  <c r="EC18" i="2"/>
  <c r="EB18" i="2" a="1"/>
  <c r="EB18" i="2"/>
  <c r="EA18" i="2" a="1"/>
  <c r="EA18" i="2"/>
  <c r="DZ18" i="2" a="1"/>
  <c r="DZ18" i="2"/>
  <c r="DX18" i="2" a="1"/>
  <c r="DX18" i="2" s="1"/>
  <c r="DW18" i="2" a="1"/>
  <c r="DW18" i="2" s="1"/>
  <c r="DV18" i="2" a="1"/>
  <c r="DV18" i="2"/>
  <c r="DU18" i="2" a="1"/>
  <c r="DU18" i="2"/>
  <c r="DT18" i="2"/>
  <c r="DR18" i="2" a="1"/>
  <c r="DR18" i="2" s="1"/>
  <c r="DQ18" i="2" a="1"/>
  <c r="DQ18" i="2"/>
  <c r="DP18" i="2" a="1"/>
  <c r="DP18" i="2"/>
  <c r="DO18" i="2" a="1"/>
  <c r="DO18" i="2" s="1"/>
  <c r="DN18" i="2" a="1"/>
  <c r="DN18" i="2" s="1"/>
  <c r="DM18" i="2" a="1"/>
  <c r="DM18" i="2" s="1"/>
  <c r="DL18" i="2" a="1"/>
  <c r="DL18" i="2"/>
  <c r="DK18" i="2" a="1"/>
  <c r="DK18" i="2"/>
  <c r="DJ18" i="2" a="1"/>
  <c r="DJ18" i="2" s="1"/>
  <c r="DI18" i="2" a="1"/>
  <c r="DI18" i="2" s="1"/>
  <c r="DH18" i="2" a="1"/>
  <c r="DH18" i="2" s="1"/>
  <c r="DG18" i="2" a="1"/>
  <c r="DG18" i="2"/>
  <c r="DF18" i="2" a="1"/>
  <c r="DF18" i="2" s="1"/>
  <c r="DE18" i="2" a="1"/>
  <c r="DE18" i="2" s="1"/>
  <c r="DD18" i="2" a="1"/>
  <c r="DD18" i="2"/>
  <c r="DC18" i="2" a="1"/>
  <c r="DC18" i="2"/>
  <c r="DB18" i="2"/>
  <c r="CZ18" i="2"/>
  <c r="CR18" i="2"/>
  <c r="CQ18" i="2"/>
  <c r="CP18" i="2"/>
  <c r="CN18" i="2"/>
  <c r="CK18" i="2"/>
  <c r="CH18" i="2"/>
  <c r="CG18" i="2"/>
  <c r="D18" i="2" a="1"/>
  <c r="D18" i="2"/>
  <c r="CV18" i="2" s="1"/>
  <c r="EJ17" i="2" a="1"/>
  <c r="EJ17" i="2" s="1"/>
  <c r="EI17" i="2" a="1"/>
  <c r="EI17" i="2"/>
  <c r="EH17" i="2" a="1"/>
  <c r="EH17" i="2"/>
  <c r="EG17" i="2" a="1"/>
  <c r="EG17" i="2" s="1"/>
  <c r="EF17" i="2" a="1"/>
  <c r="EF17" i="2" s="1"/>
  <c r="EE17" i="2" a="1"/>
  <c r="EE17" i="2"/>
  <c r="ED17" i="2" a="1"/>
  <c r="ED17" i="2" s="1"/>
  <c r="EC17" i="2" a="1"/>
  <c r="EC17" i="2"/>
  <c r="EB17" i="2" a="1"/>
  <c r="EB17" i="2" s="1"/>
  <c r="EA17" i="2" a="1"/>
  <c r="EA17" i="2"/>
  <c r="DZ17" i="2" a="1"/>
  <c r="DZ17" i="2"/>
  <c r="DY17" i="2" a="1"/>
  <c r="DY17" i="2" s="1"/>
  <c r="DX17" i="2" a="1"/>
  <c r="DX17" i="2" s="1"/>
  <c r="DW17" i="2" a="1"/>
  <c r="DW17" i="2" s="1"/>
  <c r="DV17" i="2" a="1"/>
  <c r="DV17" i="2"/>
  <c r="DU17" i="2" a="1"/>
  <c r="DU17" i="2"/>
  <c r="DT17" i="2"/>
  <c r="DR17" i="2" a="1"/>
  <c r="DR17" i="2"/>
  <c r="DQ17" i="2" a="1"/>
  <c r="DQ17" i="2" s="1"/>
  <c r="DP17" i="2" a="1"/>
  <c r="DP17" i="2"/>
  <c r="DO17" i="2" a="1"/>
  <c r="DO17" i="2"/>
  <c r="DN17" i="2" a="1"/>
  <c r="DN17" i="2"/>
  <c r="DM17" i="2" a="1"/>
  <c r="DM17" i="2"/>
  <c r="DL17" i="2" a="1"/>
  <c r="DL17" i="2"/>
  <c r="DK17" i="2" a="1"/>
  <c r="DK17" i="2" s="1"/>
  <c r="DJ17" i="2" a="1"/>
  <c r="DJ17" i="2"/>
  <c r="DI17" i="2" a="1"/>
  <c r="DI17" i="2"/>
  <c r="DH17" i="2" a="1"/>
  <c r="DH17" i="2" s="1"/>
  <c r="DG17" i="2" a="1"/>
  <c r="DG17" i="2"/>
  <c r="DF17" i="2" a="1"/>
  <c r="DF17" i="2" s="1"/>
  <c r="DE17" i="2" a="1"/>
  <c r="DE17" i="2" s="1"/>
  <c r="DD17" i="2" a="1"/>
  <c r="DD17" i="2"/>
  <c r="DC17" i="2" a="1"/>
  <c r="DC17" i="2"/>
  <c r="DB17" i="2"/>
  <c r="CZ17" i="2"/>
  <c r="ED40" i="2" s="1" a="1"/>
  <c r="ED40" i="2" s="1"/>
  <c r="CR17" i="2"/>
  <c r="CQ17" i="2"/>
  <c r="CP17" i="2"/>
  <c r="CN17" i="2"/>
  <c r="CK17" i="2"/>
  <c r="CJ17" i="2"/>
  <c r="CH17" i="2"/>
  <c r="CI17" i="2" s="1"/>
  <c r="CG17" i="2"/>
  <c r="D17" i="2" a="1"/>
  <c r="D17" i="2" s="1"/>
  <c r="CV17" i="2" s="1"/>
  <c r="EJ16" i="2" a="1"/>
  <c r="EJ16" i="2" s="1"/>
  <c r="EI16" i="2" a="1"/>
  <c r="EI16" i="2"/>
  <c r="EH16" i="2" a="1"/>
  <c r="EH16" i="2" s="1"/>
  <c r="EG16" i="2" a="1"/>
  <c r="EG16" i="2" s="1"/>
  <c r="EF16" i="2" a="1"/>
  <c r="EF16" i="2"/>
  <c r="EE16" i="2" a="1"/>
  <c r="EE16" i="2"/>
  <c r="ED16" i="2" a="1"/>
  <c r="ED16" i="2" s="1"/>
  <c r="EC16" i="2" a="1"/>
  <c r="EC16" i="2" s="1"/>
  <c r="EB16" i="2" a="1"/>
  <c r="EB16" i="2"/>
  <c r="EA16" i="2" a="1"/>
  <c r="EA16" i="2"/>
  <c r="DZ16" i="2" a="1"/>
  <c r="DZ16" i="2"/>
  <c r="DY16" i="2" a="1"/>
  <c r="DY16" i="2"/>
  <c r="DX16" i="2" a="1"/>
  <c r="DX16" i="2" s="1"/>
  <c r="DW16" i="2" a="1"/>
  <c r="DW16" i="2"/>
  <c r="DV16" i="2" a="1"/>
  <c r="DV16" i="2"/>
  <c r="DU16" i="2" a="1"/>
  <c r="DU16" i="2" s="1"/>
  <c r="DT16" i="2"/>
  <c r="DR16" i="2" a="1"/>
  <c r="DR16" i="2" s="1"/>
  <c r="DQ16" i="2" a="1"/>
  <c r="DQ16" i="2"/>
  <c r="DP16" i="2" a="1"/>
  <c r="DP16" i="2"/>
  <c r="DO16" i="2" a="1"/>
  <c r="DO16" i="2"/>
  <c r="DN16" i="2" a="1"/>
  <c r="DN16" i="2"/>
  <c r="DM16" i="2" a="1"/>
  <c r="DM16" i="2" s="1"/>
  <c r="DL16" i="2" a="1"/>
  <c r="DL16" i="2"/>
  <c r="DK16" i="2" a="1"/>
  <c r="DK16" i="2"/>
  <c r="DJ16" i="2" a="1"/>
  <c r="DJ16" i="2" s="1"/>
  <c r="DI16" i="2" a="1"/>
  <c r="DI16" i="2"/>
  <c r="DH16" i="2" a="1"/>
  <c r="DH16" i="2"/>
  <c r="DG16" i="2" a="1"/>
  <c r="DG16" i="2" s="1"/>
  <c r="DF16" i="2" a="1"/>
  <c r="DF16" i="2"/>
  <c r="DE16" i="2" a="1"/>
  <c r="DE16" i="2" s="1"/>
  <c r="DD16" i="2" a="1"/>
  <c r="DD16" i="2" s="1"/>
  <c r="DC16" i="2" a="1"/>
  <c r="DC16" i="2"/>
  <c r="DB16" i="2"/>
  <c r="CZ16" i="2"/>
  <c r="CV16" i="2"/>
  <c r="CQ16" i="2"/>
  <c r="CP16" i="2"/>
  <c r="CN16" i="2"/>
  <c r="CM16" i="2"/>
  <c r="CK16" i="2"/>
  <c r="CJ16" i="2"/>
  <c r="CH16" i="2"/>
  <c r="CG16" i="2"/>
  <c r="CI16" i="2" s="1"/>
  <c r="D16" i="2" a="1"/>
  <c r="D16" i="2"/>
  <c r="EJ15" i="2" a="1"/>
  <c r="EJ15" i="2"/>
  <c r="EI15" i="2" a="1"/>
  <c r="EI15" i="2" s="1"/>
  <c r="EH15" i="2" a="1"/>
  <c r="EH15" i="2"/>
  <c r="EG15" i="2" a="1"/>
  <c r="EG15" i="2" s="1"/>
  <c r="EF15" i="2" a="1"/>
  <c r="EF15" i="2"/>
  <c r="EE15" i="2" a="1"/>
  <c r="EE15" i="2"/>
  <c r="ED15" i="2" a="1"/>
  <c r="ED15" i="2" s="1"/>
  <c r="EC15" i="2" a="1"/>
  <c r="EC15" i="2" s="1"/>
  <c r="EB15" i="2" a="1"/>
  <c r="EB15" i="2"/>
  <c r="EA15" i="2" a="1"/>
  <c r="EA15" i="2"/>
  <c r="DZ15" i="2" a="1"/>
  <c r="DZ15" i="2" s="1"/>
  <c r="DY15" i="2" a="1"/>
  <c r="DY15" i="2" s="1"/>
  <c r="DX15" i="2" a="1"/>
  <c r="DX15" i="2"/>
  <c r="DW15" i="2" a="1"/>
  <c r="DW15" i="2" s="1"/>
  <c r="DV15" i="2" a="1"/>
  <c r="DV15" i="2"/>
  <c r="DU15" i="2" a="1"/>
  <c r="DU15" i="2"/>
  <c r="DT15" i="2"/>
  <c r="DR15" i="2" a="1"/>
  <c r="DR15" i="2"/>
  <c r="DQ15" i="2" a="1"/>
  <c r="DQ15" i="2" s="1"/>
  <c r="DP15" i="2" a="1"/>
  <c r="DP15" i="2"/>
  <c r="DO15" i="2" a="1"/>
  <c r="DO15" i="2"/>
  <c r="DN15" i="2" a="1"/>
  <c r="DN15" i="2"/>
  <c r="DM15" i="2" a="1"/>
  <c r="DM15" i="2"/>
  <c r="DL15" i="2" a="1"/>
  <c r="DL15" i="2"/>
  <c r="DK15" i="2" a="1"/>
  <c r="DK15" i="2" s="1"/>
  <c r="DJ15" i="2" a="1"/>
  <c r="DJ15" i="2"/>
  <c r="DI15" i="2" a="1"/>
  <c r="DI15" i="2"/>
  <c r="DH15" i="2" a="1"/>
  <c r="DH15" i="2"/>
  <c r="DG15" i="2" a="1"/>
  <c r="DG15" i="2" s="1"/>
  <c r="DF15" i="2" a="1"/>
  <c r="DF15" i="2" s="1"/>
  <c r="DE15" i="2" a="1"/>
  <c r="DE15" i="2" s="1"/>
  <c r="DD15" i="2" a="1"/>
  <c r="DD15" i="2" s="1"/>
  <c r="DC15" i="2" a="1"/>
  <c r="DC15" i="2"/>
  <c r="DB15" i="2"/>
  <c r="CZ15" i="2"/>
  <c r="CV15" i="2"/>
  <c r="CR15" i="2"/>
  <c r="CQ15" i="2"/>
  <c r="CP15" i="2"/>
  <c r="CN15" i="2"/>
  <c r="CK15" i="2"/>
  <c r="CJ15" i="2"/>
  <c r="CI15" i="2"/>
  <c r="CH15" i="2"/>
  <c r="CG15" i="2"/>
  <c r="D15" i="2" a="1"/>
  <c r="D15" i="2" s="1"/>
  <c r="EJ14" i="2" a="1"/>
  <c r="EJ14" i="2" s="1"/>
  <c r="EI14" i="2" a="1"/>
  <c r="EI14" i="2"/>
  <c r="EH14" i="2" a="1"/>
  <c r="EH14" i="2"/>
  <c r="EG14" i="2" a="1"/>
  <c r="EG14" i="2"/>
  <c r="EF14" i="2" a="1"/>
  <c r="EF14" i="2"/>
  <c r="EE14" i="2" a="1"/>
  <c r="EE14" i="2"/>
  <c r="ED14" i="2" a="1"/>
  <c r="ED14" i="2" s="1"/>
  <c r="EC14" i="2" a="1"/>
  <c r="EC14" i="2"/>
  <c r="EB14" i="2" a="1"/>
  <c r="EB14" i="2" s="1"/>
  <c r="EA14" i="2" a="1"/>
  <c r="EA14" i="2"/>
  <c r="DZ14" i="2" a="1"/>
  <c r="DZ14" i="2" s="1"/>
  <c r="DX14" i="2" a="1"/>
  <c r="DX14" i="2"/>
  <c r="DW14" i="2" a="1"/>
  <c r="DW14" i="2"/>
  <c r="DV14" i="2" a="1"/>
  <c r="DV14" i="2"/>
  <c r="DU14" i="2" a="1"/>
  <c r="DU14" i="2" s="1"/>
  <c r="DT14" i="2"/>
  <c r="DR14" i="2" a="1"/>
  <c r="DR14" i="2" s="1"/>
  <c r="DQ14" i="2" a="1"/>
  <c r="DQ14" i="2" s="1"/>
  <c r="DP14" i="2" a="1"/>
  <c r="DP14" i="2"/>
  <c r="DO14" i="2" a="1"/>
  <c r="DO14" i="2"/>
  <c r="DN14" i="2" a="1"/>
  <c r="DN14" i="2" s="1"/>
  <c r="DM14" i="2" a="1"/>
  <c r="DM14" i="2"/>
  <c r="DL14" i="2" a="1"/>
  <c r="DL14" i="2" s="1"/>
  <c r="DK14" i="2" a="1"/>
  <c r="DK14" i="2"/>
  <c r="DJ14" i="2" a="1"/>
  <c r="DJ14" i="2"/>
  <c r="DI14" i="2" a="1"/>
  <c r="DI14" i="2" s="1"/>
  <c r="DH14" i="2" a="1"/>
  <c r="DH14" i="2" s="1"/>
  <c r="DG14" i="2" a="1"/>
  <c r="DG14" i="2" s="1"/>
  <c r="DF14" i="2" a="1"/>
  <c r="DF14" i="2" s="1"/>
  <c r="DE14" i="2" a="1"/>
  <c r="DE14" i="2" s="1"/>
  <c r="DD14" i="2" a="1"/>
  <c r="DD14" i="2" s="1"/>
  <c r="DC14" i="2" a="1"/>
  <c r="DC14" i="2"/>
  <c r="DB14" i="2"/>
  <c r="CZ14" i="2"/>
  <c r="CQ14" i="2"/>
  <c r="CP14" i="2"/>
  <c r="CN14" i="2"/>
  <c r="CK14" i="2"/>
  <c r="CI14" i="2"/>
  <c r="CH14" i="2"/>
  <c r="CG14" i="2"/>
  <c r="D14" i="2" a="1"/>
  <c r="D14" i="2" s="1"/>
  <c r="CV14" i="2" s="1"/>
  <c r="EJ13" i="2" a="1"/>
  <c r="EJ13" i="2"/>
  <c r="EI13" i="2" a="1"/>
  <c r="EI13" i="2" s="1"/>
  <c r="EH13" i="2" a="1"/>
  <c r="EH13" i="2" s="1"/>
  <c r="EG13" i="2" a="1"/>
  <c r="EG13" i="2"/>
  <c r="EF13" i="2" a="1"/>
  <c r="EF13" i="2" s="1"/>
  <c r="EE13" i="2" a="1"/>
  <c r="EE13" i="2"/>
  <c r="ED13" i="2" a="1"/>
  <c r="ED13" i="2" s="1"/>
  <c r="EC13" i="2" a="1"/>
  <c r="EC13" i="2"/>
  <c r="EB13" i="2" a="1"/>
  <c r="EB13" i="2" s="1"/>
  <c r="EA13" i="2" a="1"/>
  <c r="EA13" i="2" s="1"/>
  <c r="DZ13" i="2" a="1"/>
  <c r="DZ13" i="2"/>
  <c r="DY13" i="2" a="1"/>
  <c r="DY13" i="2" s="1"/>
  <c r="DX13" i="2" a="1"/>
  <c r="DX13" i="2"/>
  <c r="DW13" i="2" a="1"/>
  <c r="DW13" i="2"/>
  <c r="DV13" i="2" a="1"/>
  <c r="DV13" i="2" s="1"/>
  <c r="DU13" i="2" a="1"/>
  <c r="DU13" i="2"/>
  <c r="DT13" i="2"/>
  <c r="DR13" i="2" a="1"/>
  <c r="DR13" i="2"/>
  <c r="DQ13" i="2" a="1"/>
  <c r="DQ13" i="2" s="1"/>
  <c r="DP13" i="2" a="1"/>
  <c r="DP13" i="2"/>
  <c r="DO13" i="2" a="1"/>
  <c r="DO13" i="2"/>
  <c r="DN13" i="2" a="1"/>
  <c r="DN13" i="2"/>
  <c r="DM13" i="2" a="1"/>
  <c r="DM13" i="2" s="1"/>
  <c r="DL13" i="2" a="1"/>
  <c r="DL13" i="2"/>
  <c r="DK13" i="2" a="1"/>
  <c r="DK13" i="2" s="1"/>
  <c r="DJ13" i="2" a="1"/>
  <c r="DJ13" i="2"/>
  <c r="DI13" i="2" a="1"/>
  <c r="DI13" i="2"/>
  <c r="DH13" i="2" a="1"/>
  <c r="DH13" i="2"/>
  <c r="DG13" i="2" a="1"/>
  <c r="DG13" i="2" s="1"/>
  <c r="DF13" i="2" a="1"/>
  <c r="DF13" i="2"/>
  <c r="DE13" i="2" a="1"/>
  <c r="DE13" i="2" s="1"/>
  <c r="DD13" i="2" a="1"/>
  <c r="DD13" i="2"/>
  <c r="DC13" i="2" a="1"/>
  <c r="DC13" i="2"/>
  <c r="DB13" i="2"/>
  <c r="CZ13" i="2"/>
  <c r="CQ13" i="2"/>
  <c r="CR13" i="2" s="1"/>
  <c r="CP13" i="2"/>
  <c r="CN13" i="2"/>
  <c r="CK13" i="2"/>
  <c r="CH13" i="2"/>
  <c r="CG13" i="2"/>
  <c r="D13" i="2" a="1"/>
  <c r="D13" i="2" s="1"/>
  <c r="CV13" i="2" s="1"/>
  <c r="EJ12" i="2" a="1"/>
  <c r="EJ12" i="2"/>
  <c r="EI12" i="2" a="1"/>
  <c r="EI12" i="2"/>
  <c r="EH12" i="2" a="1"/>
  <c r="EH12" i="2"/>
  <c r="EG12" i="2" a="1"/>
  <c r="EG12" i="2"/>
  <c r="EF12" i="2" a="1"/>
  <c r="EF12" i="2" s="1"/>
  <c r="EE12" i="2" a="1"/>
  <c r="EE12" i="2" s="1"/>
  <c r="ED12" i="2" a="1"/>
  <c r="ED12" i="2"/>
  <c r="EC12" i="2" a="1"/>
  <c r="EC12" i="2"/>
  <c r="EB12" i="2" a="1"/>
  <c r="EB12" i="2" s="1"/>
  <c r="EA12" i="2" a="1"/>
  <c r="EA12" i="2"/>
  <c r="DZ12" i="2" a="1"/>
  <c r="DZ12" i="2"/>
  <c r="DY12" i="2" a="1"/>
  <c r="DY12" i="2" s="1"/>
  <c r="DW12" i="2" a="1"/>
  <c r="DW12" i="2" s="1"/>
  <c r="DV12" i="2" a="1"/>
  <c r="DV12" i="2" s="1"/>
  <c r="DU12" i="2" a="1"/>
  <c r="DU12" i="2"/>
  <c r="DT12" i="2"/>
  <c r="DR12" i="2" a="1"/>
  <c r="DR12" i="2"/>
  <c r="DQ12" i="2" a="1"/>
  <c r="DQ12" i="2" s="1"/>
  <c r="DP12" i="2" a="1"/>
  <c r="DP12" i="2"/>
  <c r="DO12" i="2" a="1"/>
  <c r="DO12" i="2" s="1"/>
  <c r="DN12" i="2" a="1"/>
  <c r="DN12" i="2"/>
  <c r="DM12" i="2" a="1"/>
  <c r="DM12" i="2"/>
  <c r="DL12" i="2" a="1"/>
  <c r="DL12" i="2" s="1"/>
  <c r="DK12" i="2" a="1"/>
  <c r="DK12" i="2" s="1"/>
  <c r="DJ12" i="2" a="1"/>
  <c r="DJ12" i="2" s="1"/>
  <c r="DI12" i="2" a="1"/>
  <c r="DI12" i="2"/>
  <c r="DH12" i="2" a="1"/>
  <c r="DH12" i="2"/>
  <c r="DG12" i="2" a="1"/>
  <c r="DG12" i="2"/>
  <c r="DF12" i="2" a="1"/>
  <c r="DF12" i="2"/>
  <c r="DE12" i="2" a="1"/>
  <c r="DE12" i="2" s="1"/>
  <c r="DD12" i="2" a="1"/>
  <c r="DD12" i="2"/>
  <c r="DC12" i="2" a="1"/>
  <c r="DC12" i="2"/>
  <c r="DB12" i="2"/>
  <c r="CZ12" i="2"/>
  <c r="DY45" i="2" s="1" a="1"/>
  <c r="CQ12" i="2"/>
  <c r="CP12" i="2"/>
  <c r="CN12" i="2"/>
  <c r="CK12" i="2"/>
  <c r="CH12" i="2"/>
  <c r="CG12" i="2"/>
  <c r="CR12" i="2" s="1"/>
  <c r="D12" i="2" a="1"/>
  <c r="D12" i="2"/>
  <c r="CV12" i="2" s="1"/>
  <c r="EJ11" i="2" a="1"/>
  <c r="EJ11" i="2"/>
  <c r="EI11" i="2" a="1"/>
  <c r="EI11" i="2" s="1"/>
  <c r="EH11" i="2" a="1"/>
  <c r="EH11" i="2"/>
  <c r="EG11" i="2" a="1"/>
  <c r="EG11" i="2" s="1"/>
  <c r="EF11" i="2" a="1"/>
  <c r="EF11" i="2" s="1"/>
  <c r="EE11" i="2" a="1"/>
  <c r="EE11" i="2"/>
  <c r="ED11" i="2" a="1"/>
  <c r="ED11" i="2" s="1"/>
  <c r="EC11" i="2" a="1"/>
  <c r="EC11" i="2"/>
  <c r="EB11" i="2" a="1"/>
  <c r="EB11" i="2"/>
  <c r="EA11" i="2" a="1"/>
  <c r="EA11" i="2" s="1"/>
  <c r="DZ11" i="2" a="1"/>
  <c r="DZ11" i="2"/>
  <c r="DY11" i="2" a="1"/>
  <c r="DY11" i="2" s="1"/>
  <c r="DX11" i="2" a="1"/>
  <c r="DX11" i="2"/>
  <c r="DW11" i="2" a="1"/>
  <c r="DW11" i="2"/>
  <c r="DV11" i="2" a="1"/>
  <c r="DV11" i="2" s="1"/>
  <c r="DU11" i="2" a="1"/>
  <c r="DU11" i="2" s="1"/>
  <c r="DT11" i="2"/>
  <c r="DR11" i="2" a="1"/>
  <c r="DR11" i="2"/>
  <c r="DQ11" i="2" a="1"/>
  <c r="DQ11" i="2"/>
  <c r="DP11" i="2" a="1"/>
  <c r="DP11" i="2"/>
  <c r="DO11" i="2" a="1"/>
  <c r="DO11" i="2"/>
  <c r="DN11" i="2" a="1"/>
  <c r="DN11" i="2" s="1"/>
  <c r="DM11" i="2" a="1"/>
  <c r="DM11" i="2"/>
  <c r="DL11" i="2" a="1"/>
  <c r="DL11" i="2"/>
  <c r="DK11" i="2" a="1"/>
  <c r="DK11" i="2"/>
  <c r="DJ11" i="2" a="1"/>
  <c r="DJ11" i="2" s="1"/>
  <c r="DI11" i="2" a="1"/>
  <c r="DI11" i="2"/>
  <c r="DH11" i="2" a="1"/>
  <c r="DH11" i="2" s="1"/>
  <c r="DG11" i="2" a="1"/>
  <c r="DG11" i="2"/>
  <c r="DF11" i="2" a="1"/>
  <c r="DF11" i="2" s="1"/>
  <c r="DE11" i="2" a="1"/>
  <c r="DE11" i="2"/>
  <c r="DD11" i="2" a="1"/>
  <c r="DD11" i="2"/>
  <c r="DC11" i="2" a="1"/>
  <c r="DC11" i="2"/>
  <c r="DB11" i="2"/>
  <c r="CZ11" i="2"/>
  <c r="CQ11" i="2"/>
  <c r="CP11" i="2"/>
  <c r="CN11" i="2"/>
  <c r="CM11" i="2"/>
  <c r="CK11" i="2"/>
  <c r="CJ11" i="2"/>
  <c r="CH11" i="2"/>
  <c r="CG11" i="2"/>
  <c r="D11" i="2" a="1"/>
  <c r="D11" i="2" s="1"/>
  <c r="CV11" i="2" s="1"/>
  <c r="EJ10" i="2" a="1"/>
  <c r="EJ10" i="2" s="1"/>
  <c r="EI10" i="2" a="1"/>
  <c r="EI10" i="2"/>
  <c r="EH10" i="2" a="1"/>
  <c r="EH10" i="2"/>
  <c r="EG10" i="2" a="1"/>
  <c r="EG10" i="2"/>
  <c r="EF10" i="2" a="1"/>
  <c r="EF10" i="2" s="1"/>
  <c r="EE10" i="2" a="1"/>
  <c r="EE10" i="2"/>
  <c r="ED10" i="2" a="1"/>
  <c r="ED10" i="2" s="1"/>
  <c r="EC10" i="2" a="1"/>
  <c r="EC10" i="2"/>
  <c r="EB10" i="2" a="1"/>
  <c r="EB10" i="2"/>
  <c r="EA10" i="2" a="1"/>
  <c r="EA10" i="2"/>
  <c r="DZ10" i="2" a="1"/>
  <c r="DZ10" i="2"/>
  <c r="DY10" i="2" a="1"/>
  <c r="DY10" i="2"/>
  <c r="DX10" i="2" a="1"/>
  <c r="DX10" i="2" s="1"/>
  <c r="DW10" i="2" a="1"/>
  <c r="DW10" i="2"/>
  <c r="DV10" i="2" a="1"/>
  <c r="DV10" i="2"/>
  <c r="DU10" i="2" a="1"/>
  <c r="DU10" i="2" s="1"/>
  <c r="DT10" i="2"/>
  <c r="DR10" i="2" a="1"/>
  <c r="DR10" i="2"/>
  <c r="DQ10" i="2" a="1"/>
  <c r="DQ10" i="2"/>
  <c r="DP10" i="2" a="1"/>
  <c r="DP10" i="2" s="1"/>
  <c r="DO10" i="2" a="1"/>
  <c r="DO10" i="2"/>
  <c r="DN10" i="2" a="1"/>
  <c r="DN10" i="2"/>
  <c r="DM10" i="2" a="1"/>
  <c r="DM10" i="2" s="1"/>
  <c r="DL10" i="2" a="1"/>
  <c r="DL10" i="2"/>
  <c r="DK10" i="2" a="1"/>
  <c r="DK10" i="2" s="1"/>
  <c r="DJ10" i="2" a="1"/>
  <c r="DJ10" i="2" s="1"/>
  <c r="DI10" i="2" a="1"/>
  <c r="DI10" i="2"/>
  <c r="DH10" i="2" a="1"/>
  <c r="DH10" i="2" s="1"/>
  <c r="DG10" i="2" a="1"/>
  <c r="DG10" i="2"/>
  <c r="DF10" i="2" a="1"/>
  <c r="DF10" i="2" s="1"/>
  <c r="DE10" i="2" a="1"/>
  <c r="DE10" i="2"/>
  <c r="DD10" i="2" a="1"/>
  <c r="DD10" i="2" s="1"/>
  <c r="DC10" i="2" a="1"/>
  <c r="DC10" i="2" s="1"/>
  <c r="DB10" i="2"/>
  <c r="CZ10" i="2"/>
  <c r="CQ10" i="2"/>
  <c r="CR10" i="2" s="1"/>
  <c r="CP10" i="2"/>
  <c r="CN10" i="2"/>
  <c r="CM10" i="2"/>
  <c r="CK10" i="2"/>
  <c r="CH10" i="2"/>
  <c r="CG10" i="2"/>
  <c r="D10" i="2" a="1"/>
  <c r="D10" i="2"/>
  <c r="CV10" i="2" s="1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EJ9" i="2" a="1"/>
  <c r="EJ9" i="2"/>
  <c r="EI9" i="2" a="1"/>
  <c r="EI9" i="2" s="1"/>
  <c r="EH9" i="2" a="1"/>
  <c r="EH9" i="2"/>
  <c r="EG9" i="2" a="1"/>
  <c r="EG9" i="2"/>
  <c r="EF9" i="2" a="1"/>
  <c r="EF9" i="2" s="1"/>
  <c r="EE9" i="2" a="1"/>
  <c r="EE9" i="2"/>
  <c r="ED9" i="2" a="1"/>
  <c r="ED9" i="2" s="1"/>
  <c r="EC9" i="2" a="1"/>
  <c r="EC9" i="2"/>
  <c r="EB9" i="2" a="1"/>
  <c r="EB9" i="2"/>
  <c r="EA9" i="2" a="1"/>
  <c r="EA9" i="2"/>
  <c r="DZ9" i="2" a="1"/>
  <c r="DZ9" i="2" s="1"/>
  <c r="DY9" i="2" a="1"/>
  <c r="DY9" i="2"/>
  <c r="DX9" i="2" a="1"/>
  <c r="DX9" i="2"/>
  <c r="DW9" i="2" a="1"/>
  <c r="DW9" i="2"/>
  <c r="DV9" i="2" a="1"/>
  <c r="DV9" i="2" s="1"/>
  <c r="DU9" i="2" a="1"/>
  <c r="DU9" i="2"/>
  <c r="DT9" i="2"/>
  <c r="DR9" i="2" a="1"/>
  <c r="DR9" i="2"/>
  <c r="DQ9" i="2" a="1"/>
  <c r="DQ9" i="2"/>
  <c r="DP9" i="2" a="1"/>
  <c r="DP9" i="2" s="1"/>
  <c r="DO9" i="2" a="1"/>
  <c r="DO9" i="2"/>
  <c r="DN9" i="2" a="1"/>
  <c r="DN9" i="2"/>
  <c r="DM9" i="2" a="1"/>
  <c r="DM9" i="2"/>
  <c r="DL9" i="2" a="1"/>
  <c r="DL9" i="2"/>
  <c r="DK9" i="2" a="1"/>
  <c r="DK9" i="2"/>
  <c r="DJ9" i="2" a="1"/>
  <c r="DJ9" i="2" s="1"/>
  <c r="DI9" i="2" a="1"/>
  <c r="DI9" i="2"/>
  <c r="DH9" i="2" a="1"/>
  <c r="DH9" i="2"/>
  <c r="DG9" i="2" a="1"/>
  <c r="DG9" i="2" s="1"/>
  <c r="DE9" i="2" a="1"/>
  <c r="DE9" i="2"/>
  <c r="DD9" i="2" a="1"/>
  <c r="DD9" i="2"/>
  <c r="DC9" i="2" a="1"/>
  <c r="DC9" i="2"/>
  <c r="DB9" i="2"/>
  <c r="CZ9" i="2"/>
  <c r="DD22" i="2" s="1" a="1"/>
  <c r="DD22" i="2" s="1"/>
  <c r="CQ9" i="2"/>
  <c r="CP9" i="2"/>
  <c r="CN9" i="2"/>
  <c r="CM9" i="2"/>
  <c r="CK9" i="2"/>
  <c r="CH9" i="2"/>
  <c r="D9" i="2" a="1"/>
  <c r="D9" i="2"/>
  <c r="CV9" i="2" s="1"/>
  <c r="B9" i="2"/>
  <c r="EJ8" i="2" a="1"/>
  <c r="EJ8" i="2" s="1"/>
  <c r="EI8" i="2" a="1"/>
  <c r="EI8" i="2"/>
  <c r="EH8" i="2" a="1"/>
  <c r="EH8" i="2"/>
  <c r="EG8" i="2" a="1"/>
  <c r="EG8" i="2" s="1"/>
  <c r="EF8" i="2" a="1"/>
  <c r="EF8" i="2"/>
  <c r="EE8" i="2" a="1"/>
  <c r="EE8" i="2"/>
  <c r="ED8" i="2" a="1"/>
  <c r="ED8" i="2" s="1"/>
  <c r="EC8" i="2" a="1"/>
  <c r="EC8" i="2"/>
  <c r="EB8" i="2" a="1"/>
  <c r="EB8" i="2"/>
  <c r="EA8" i="2" a="1"/>
  <c r="EA8" i="2"/>
  <c r="DZ8" i="2" a="1"/>
  <c r="DZ8" i="2"/>
  <c r="DY8" i="2" a="1"/>
  <c r="DY8" i="2"/>
  <c r="DX8" i="2" a="1"/>
  <c r="DX8" i="2" s="1"/>
  <c r="DW8" i="2" a="1"/>
  <c r="DW8" i="2"/>
  <c r="DV8" i="2" a="1"/>
  <c r="DV8" i="2"/>
  <c r="DU8" i="2" a="1"/>
  <c r="DU8" i="2"/>
  <c r="DT8" i="2"/>
  <c r="DR8" i="2" a="1"/>
  <c r="DR8" i="2"/>
  <c r="DQ8" i="2" a="1"/>
  <c r="DQ8" i="2"/>
  <c r="DP8" i="2" a="1"/>
  <c r="DP8" i="2"/>
  <c r="DO8" i="2" a="1"/>
  <c r="DO8" i="2" s="1"/>
  <c r="DN8" i="2" a="1"/>
  <c r="DN8" i="2"/>
  <c r="DM8" i="2" a="1"/>
  <c r="DM8" i="2"/>
  <c r="DL8" i="2" a="1"/>
  <c r="DL8" i="2" s="1"/>
  <c r="DK8" i="2" a="1"/>
  <c r="DK8" i="2"/>
  <c r="DJ8" i="2" a="1"/>
  <c r="DJ8" i="2" s="1"/>
  <c r="DI8" i="2" a="1"/>
  <c r="DI8" i="2" s="1"/>
  <c r="DH8" i="2" a="1"/>
  <c r="DH8" i="2" s="1"/>
  <c r="DG8" i="2" a="1"/>
  <c r="DG8" i="2"/>
  <c r="DF8" i="2" a="1"/>
  <c r="DF8" i="2" s="1"/>
  <c r="DE8" i="2" a="1"/>
  <c r="DE8" i="2"/>
  <c r="DD8" i="2" a="1"/>
  <c r="DD8" i="2"/>
  <c r="DC8" i="2" a="1"/>
  <c r="DC8" i="2" s="1"/>
  <c r="DB8" i="2"/>
  <c r="CZ8" i="2"/>
  <c r="CQ8" i="2"/>
  <c r="CR8" i="2" s="1"/>
  <c r="CP8" i="2"/>
  <c r="CN8" i="2"/>
  <c r="CK8" i="2"/>
  <c r="CJ8" i="2"/>
  <c r="CI8" i="2"/>
  <c r="CH8" i="2"/>
  <c r="CG8" i="2"/>
  <c r="D8" i="2" a="1"/>
  <c r="D8" i="2" s="1"/>
  <c r="B8" i="2"/>
  <c r="B6" i="2"/>
  <c r="CF5" i="2"/>
  <c r="CE5" i="2"/>
  <c r="CA5" i="2"/>
  <c r="BZ5" i="2"/>
  <c r="BV5" i="2"/>
  <c r="BU5" i="2"/>
  <c r="BQ5" i="2"/>
  <c r="BP5" i="2"/>
  <c r="BL5" i="2"/>
  <c r="BK5" i="2"/>
  <c r="BG5" i="2"/>
  <c r="BF5" i="2"/>
  <c r="BB5" i="2"/>
  <c r="BA5" i="2"/>
  <c r="AW5" i="2"/>
  <c r="AV5" i="2"/>
  <c r="AR5" i="2"/>
  <c r="AQ5" i="2"/>
  <c r="AM5" i="2"/>
  <c r="AL5" i="2"/>
  <c r="AH5" i="2"/>
  <c r="AG5" i="2"/>
  <c r="AC5" i="2"/>
  <c r="AB5" i="2"/>
  <c r="X5" i="2"/>
  <c r="W5" i="2"/>
  <c r="S5" i="2"/>
  <c r="R5" i="2"/>
  <c r="N5" i="2"/>
  <c r="M5" i="2"/>
  <c r="I5" i="2"/>
  <c r="H5" i="2"/>
  <c r="C5" i="2"/>
  <c r="B5" i="2" s="1"/>
  <c r="J4" i="2"/>
  <c r="E4" i="2"/>
  <c r="B4" i="2"/>
  <c r="CM38" i="2" s="1"/>
  <c r="O3" i="2"/>
  <c r="D3" i="2"/>
  <c r="AU63" i="2" s="1"/>
  <c r="P56" i="1"/>
  <c r="M56" i="1"/>
  <c r="J56" i="1"/>
  <c r="I56" i="1"/>
  <c r="B56" i="1"/>
  <c r="Q55" i="1"/>
  <c r="Q56" i="1" s="1"/>
  <c r="P55" i="1"/>
  <c r="O55" i="1"/>
  <c r="O56" i="1" s="1"/>
  <c r="N55" i="1"/>
  <c r="N56" i="1" s="1"/>
  <c r="M55" i="1"/>
  <c r="L55" i="1"/>
  <c r="L56" i="1" s="1"/>
  <c r="K55" i="1"/>
  <c r="K56" i="1" s="1"/>
  <c r="J55" i="1"/>
  <c r="I55" i="1"/>
  <c r="H55" i="1"/>
  <c r="H56" i="1" s="1"/>
  <c r="G55" i="1"/>
  <c r="G56" i="1" s="1"/>
  <c r="F55" i="1"/>
  <c r="F56" i="1" s="1"/>
  <c r="U28" i="1" s="1"/>
  <c r="E55" i="1"/>
  <c r="E56" i="1" s="1"/>
  <c r="V54" i="1"/>
  <c r="H54" i="1"/>
  <c r="D54" i="1"/>
  <c r="U53" i="1"/>
  <c r="R53" i="1"/>
  <c r="T53" i="1" s="1"/>
  <c r="U52" i="1"/>
  <c r="S52" i="1"/>
  <c r="R52" i="1"/>
  <c r="T52" i="1" s="1"/>
  <c r="U51" i="1"/>
  <c r="R51" i="1"/>
  <c r="U50" i="1"/>
  <c r="R50" i="1"/>
  <c r="T50" i="1" s="1"/>
  <c r="U49" i="1"/>
  <c r="R49" i="1"/>
  <c r="S49" i="1" s="1"/>
  <c r="R48" i="1"/>
  <c r="U47" i="1"/>
  <c r="T47" i="1"/>
  <c r="R47" i="1"/>
  <c r="S47" i="1" s="1"/>
  <c r="U46" i="1"/>
  <c r="R46" i="1"/>
  <c r="T46" i="1" s="1"/>
  <c r="U45" i="1"/>
  <c r="T45" i="1"/>
  <c r="S45" i="1"/>
  <c r="R45" i="1"/>
  <c r="U44" i="1"/>
  <c r="T44" i="1"/>
  <c r="S44" i="1"/>
  <c r="R44" i="1"/>
  <c r="R43" i="1"/>
  <c r="S43" i="1" s="1"/>
  <c r="R42" i="1"/>
  <c r="S42" i="1" s="1"/>
  <c r="R41" i="1"/>
  <c r="T41" i="1" s="1"/>
  <c r="R40" i="1"/>
  <c r="S40" i="1" s="1"/>
  <c r="R39" i="1"/>
  <c r="S39" i="1" s="1"/>
  <c r="R38" i="1"/>
  <c r="T38" i="1" s="1"/>
  <c r="T37" i="1"/>
  <c r="S37" i="1"/>
  <c r="R37" i="1"/>
  <c r="R36" i="1"/>
  <c r="S36" i="1" s="1"/>
  <c r="R35" i="1"/>
  <c r="S35" i="1" s="1"/>
  <c r="R34" i="1"/>
  <c r="T33" i="1"/>
  <c r="R33" i="1"/>
  <c r="S33" i="1" s="1"/>
  <c r="R32" i="1"/>
  <c r="T32" i="1" s="1"/>
  <c r="R31" i="1"/>
  <c r="S31" i="1" s="1"/>
  <c r="R30" i="1"/>
  <c r="T30" i="1" s="1"/>
  <c r="R29" i="1"/>
  <c r="S29" i="1" s="1"/>
  <c r="R28" i="1"/>
  <c r="T28" i="1" s="1"/>
  <c r="U27" i="1"/>
  <c r="R27" i="1"/>
  <c r="S27" i="1" s="1"/>
  <c r="T26" i="1"/>
  <c r="S26" i="1"/>
  <c r="R26" i="1"/>
  <c r="R25" i="1"/>
  <c r="S25" i="1" s="1"/>
  <c r="T24" i="1"/>
  <c r="S24" i="1"/>
  <c r="R24" i="1"/>
  <c r="R23" i="1"/>
  <c r="T23" i="1" s="1"/>
  <c r="R22" i="1"/>
  <c r="T22" i="1" s="1"/>
  <c r="U21" i="1"/>
  <c r="R21" i="1"/>
  <c r="T21" i="1" s="1"/>
  <c r="T20" i="1"/>
  <c r="S20" i="1"/>
  <c r="R20" i="1"/>
  <c r="T19" i="1"/>
  <c r="S19" i="1"/>
  <c r="R19" i="1"/>
  <c r="S18" i="1"/>
  <c r="R18" i="1"/>
  <c r="T18" i="1" s="1"/>
  <c r="R17" i="1"/>
  <c r="S17" i="1" s="1"/>
  <c r="U16" i="1"/>
  <c r="R16" i="1"/>
  <c r="U15" i="1"/>
  <c r="R15" i="1"/>
  <c r="S15" i="1" s="1"/>
  <c r="R14" i="1"/>
  <c r="T14" i="1" s="1"/>
  <c r="R13" i="1"/>
  <c r="S13" i="1" s="1"/>
  <c r="R12" i="1"/>
  <c r="T12" i="1" s="1"/>
  <c r="R11" i="1"/>
  <c r="S11" i="1" s="1"/>
  <c r="R10" i="1"/>
  <c r="T10" i="1" s="1"/>
  <c r="R9" i="1"/>
  <c r="T9" i="1" s="1"/>
  <c r="T8" i="1"/>
  <c r="S8" i="1"/>
  <c r="R8" i="1"/>
  <c r="R7" i="1"/>
  <c r="T6" i="1"/>
  <c r="R6" i="1"/>
  <c r="S6" i="1" s="1"/>
  <c r="R5" i="1"/>
  <c r="T5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R4" i="1"/>
  <c r="A4" i="1"/>
  <c r="S32" i="1" l="1"/>
  <c r="U32" i="1"/>
  <c r="U30" i="1"/>
  <c r="U24" i="1"/>
  <c r="U12" i="1"/>
  <c r="K137" i="5"/>
  <c r="M72" i="3"/>
  <c r="N72" i="3" s="1"/>
  <c r="K134" i="5"/>
  <c r="K136" i="5"/>
  <c r="CO10" i="2"/>
  <c r="CL8" i="2"/>
  <c r="CL9" i="4"/>
  <c r="DO41" i="2" a="1"/>
  <c r="DO41" i="2" s="1"/>
  <c r="DO42" i="2" a="1"/>
  <c r="DO42" i="2" s="1"/>
  <c r="CZ24" i="2"/>
  <c r="CZ25" i="2" s="1"/>
  <c r="DO30" i="2" a="1"/>
  <c r="DO30" i="2" s="1"/>
  <c r="CR25" i="2"/>
  <c r="CL25" i="2"/>
  <c r="CO25" i="2"/>
  <c r="CI25" i="2"/>
  <c r="U41" i="1"/>
  <c r="U29" i="1"/>
  <c r="U17" i="1"/>
  <c r="U5" i="1"/>
  <c r="U39" i="1"/>
  <c r="U26" i="1"/>
  <c r="U8" i="1"/>
  <c r="U33" i="1"/>
  <c r="U10" i="1"/>
  <c r="U42" i="1"/>
  <c r="U18" i="1"/>
  <c r="U6" i="1"/>
  <c r="U38" i="1"/>
  <c r="U23" i="1"/>
  <c r="U14" i="1"/>
  <c r="U43" i="1"/>
  <c r="U35" i="1"/>
  <c r="U20" i="1"/>
  <c r="U11" i="1"/>
  <c r="U40" i="1"/>
  <c r="U37" i="1"/>
  <c r="U31" i="1"/>
  <c r="U25" i="1"/>
  <c r="U48" i="1"/>
  <c r="U34" i="1"/>
  <c r="U22" i="1"/>
  <c r="U19" i="1"/>
  <c r="U13" i="1"/>
  <c r="U7" i="1"/>
  <c r="U4" i="1"/>
  <c r="CL14" i="2"/>
  <c r="CO24" i="2"/>
  <c r="CL24" i="2"/>
  <c r="CI24" i="2"/>
  <c r="CR24" i="2"/>
  <c r="T4" i="1"/>
  <c r="S4" i="1"/>
  <c r="N32" i="2"/>
  <c r="AW28" i="2"/>
  <c r="T48" i="1"/>
  <c r="S48" i="1"/>
  <c r="S7" i="1"/>
  <c r="T7" i="1"/>
  <c r="S51" i="1"/>
  <c r="T51" i="1"/>
  <c r="CL57" i="2"/>
  <c r="CR57" i="2"/>
  <c r="CO57" i="2"/>
  <c r="CI57" i="2"/>
  <c r="S42" i="2"/>
  <c r="CO18" i="2"/>
  <c r="CO26" i="2"/>
  <c r="CI11" i="2"/>
  <c r="CL11" i="2"/>
  <c r="CR11" i="2"/>
  <c r="CO11" i="2"/>
  <c r="CV8" i="2"/>
  <c r="AN3" i="2"/>
  <c r="AY3" i="2" s="1"/>
  <c r="CU5" i="2" s="1"/>
  <c r="AC3" i="2"/>
  <c r="I39" i="2"/>
  <c r="CL18" i="2"/>
  <c r="T16" i="1"/>
  <c r="S16" i="1"/>
  <c r="U9" i="1"/>
  <c r="U36" i="1"/>
  <c r="BL56" i="2"/>
  <c r="BL46" i="2"/>
  <c r="BL21" i="2"/>
  <c r="BL30" i="2"/>
  <c r="BL47" i="2"/>
  <c r="S10" i="1"/>
  <c r="T25" i="1"/>
  <c r="S28" i="1"/>
  <c r="T31" i="1"/>
  <c r="T40" i="1"/>
  <c r="T43" i="1"/>
  <c r="I44" i="2"/>
  <c r="I45" i="2"/>
  <c r="I28" i="2"/>
  <c r="AM33" i="2"/>
  <c r="AM26" i="2"/>
  <c r="AM13" i="2"/>
  <c r="BQ57" i="2"/>
  <c r="BQ30" i="2"/>
  <c r="BQ18" i="2"/>
  <c r="BQ33" i="2"/>
  <c r="AH11" i="2"/>
  <c r="S16" i="2"/>
  <c r="CL17" i="2"/>
  <c r="BL18" i="2"/>
  <c r="BB19" i="2"/>
  <c r="AH21" i="2"/>
  <c r="CR27" i="2"/>
  <c r="CR29" i="2"/>
  <c r="N30" i="2"/>
  <c r="CF36" i="2"/>
  <c r="CF37" i="2"/>
  <c r="CM41" i="2"/>
  <c r="N44" i="2"/>
  <c r="CI47" i="2"/>
  <c r="CR47" i="2"/>
  <c r="X66" i="2"/>
  <c r="AF85" i="2" s="1"/>
  <c r="BL75" i="2"/>
  <c r="CV9" i="4"/>
  <c r="AN3" i="4"/>
  <c r="CI18" i="4"/>
  <c r="CR18" i="4"/>
  <c r="CO18" i="4"/>
  <c r="CI32" i="2"/>
  <c r="BV9" i="2"/>
  <c r="T49" i="1"/>
  <c r="BV42" i="2"/>
  <c r="BV37" i="2"/>
  <c r="N43" i="2"/>
  <c r="S28" i="2"/>
  <c r="S37" i="2"/>
  <c r="CI13" i="2"/>
  <c r="CL23" i="2"/>
  <c r="CO32" i="2"/>
  <c r="BV33" i="2"/>
  <c r="CM34" i="2"/>
  <c r="CG38" i="2"/>
  <c r="S43" i="2"/>
  <c r="CF74" i="2"/>
  <c r="AC3" i="4"/>
  <c r="CV52" i="4"/>
  <c r="AP91" i="2"/>
  <c r="X91" i="2"/>
  <c r="O91" i="2"/>
  <c r="F91" i="2"/>
  <c r="B93" i="2" a="1"/>
  <c r="B93" i="2" s="1"/>
  <c r="AY91" i="2"/>
  <c r="AG91" i="2"/>
  <c r="B91" i="2"/>
  <c r="BL36" i="2"/>
  <c r="T13" i="1"/>
  <c r="T34" i="1"/>
  <c r="S34" i="1"/>
  <c r="CL31" i="2"/>
  <c r="AR11" i="2"/>
  <c r="CI12" i="2"/>
  <c r="AM51" i="2"/>
  <c r="BL53" i="2"/>
  <c r="S14" i="1"/>
  <c r="BQ19" i="2"/>
  <c r="AM22" i="2"/>
  <c r="CA37" i="4"/>
  <c r="T17" i="1"/>
  <c r="S38" i="1"/>
  <c r="S41" i="1"/>
  <c r="AR16" i="2"/>
  <c r="N18" i="2"/>
  <c r="AH23" i="2"/>
  <c r="S27" i="2"/>
  <c r="N34" i="2"/>
  <c r="S50" i="1"/>
  <c r="S53" i="1"/>
  <c r="CM8" i="2"/>
  <c r="CO8" i="2" s="1"/>
  <c r="S9" i="2"/>
  <c r="CJ9" i="2"/>
  <c r="BQ11" i="2"/>
  <c r="CL13" i="2"/>
  <c r="AM17" i="2"/>
  <c r="CM17" i="2"/>
  <c r="CO17" i="2" s="1"/>
  <c r="CG19" i="2"/>
  <c r="X27" i="2"/>
  <c r="CO27" i="2"/>
  <c r="X29" i="2"/>
  <c r="CM29" i="2"/>
  <c r="CO29" i="2" s="1"/>
  <c r="CJ35" i="2"/>
  <c r="CV38" i="2"/>
  <c r="CA39" i="2"/>
  <c r="CG42" i="2"/>
  <c r="CG44" i="2"/>
  <c r="BL73" i="2"/>
  <c r="CR21" i="4"/>
  <c r="CO21" i="4"/>
  <c r="CI21" i="4"/>
  <c r="S22" i="1"/>
  <c r="BV35" i="2"/>
  <c r="T35" i="1"/>
  <c r="X18" i="2"/>
  <c r="CI18" i="2"/>
  <c r="BQ25" i="2"/>
  <c r="CR32" i="2"/>
  <c r="CG33" i="2"/>
  <c r="N37" i="2"/>
  <c r="AW41" i="2"/>
  <c r="AH47" i="2"/>
  <c r="N58" i="5"/>
  <c r="Q111" i="5" s="1"/>
  <c r="G139" i="5" s="1"/>
  <c r="Q139" i="5" s="1"/>
  <c r="AU63" i="4"/>
  <c r="N3" i="5"/>
  <c r="AL82" i="4"/>
  <c r="S46" i="1"/>
  <c r="AR53" i="2"/>
  <c r="AR48" i="2"/>
  <c r="AR27" i="2"/>
  <c r="AR26" i="2"/>
  <c r="AH26" i="2"/>
  <c r="CV41" i="4"/>
  <c r="CV44" i="4"/>
  <c r="CV42" i="4"/>
  <c r="CV18" i="4"/>
  <c r="CV29" i="4"/>
  <c r="CV15" i="4"/>
  <c r="CV47" i="4"/>
  <c r="CV21" i="4"/>
  <c r="CV45" i="4"/>
  <c r="CV24" i="4"/>
  <c r="CV22" i="4"/>
  <c r="AY3" i="4"/>
  <c r="CU5" i="4" s="1"/>
  <c r="T29" i="1"/>
  <c r="AL82" i="2"/>
  <c r="Q3" i="3"/>
  <c r="Q56" i="3" s="1"/>
  <c r="G84" i="3" s="1"/>
  <c r="Q84" i="3" s="1"/>
  <c r="BB46" i="2"/>
  <c r="BB37" i="2"/>
  <c r="BB32" i="2"/>
  <c r="BB18" i="2"/>
  <c r="CF54" i="2"/>
  <c r="CF57" i="2"/>
  <c r="CF28" i="2"/>
  <c r="CF53" i="2"/>
  <c r="CA14" i="2"/>
  <c r="T15" i="1"/>
  <c r="CR31" i="2"/>
  <c r="CM35" i="2"/>
  <c r="BB41" i="2"/>
  <c r="CF43" i="2"/>
  <c r="I47" i="2"/>
  <c r="CV11" i="4"/>
  <c r="CV34" i="4"/>
  <c r="F83" i="2"/>
  <c r="J64" i="2"/>
  <c r="AH37" i="2"/>
  <c r="AH52" i="2"/>
  <c r="AH39" i="2"/>
  <c r="O4" i="2"/>
  <c r="CO16" i="2"/>
  <c r="CL16" i="2"/>
  <c r="CI31" i="2"/>
  <c r="CL50" i="2"/>
  <c r="CI50" i="2"/>
  <c r="CR50" i="2"/>
  <c r="BH91" i="2"/>
  <c r="N55" i="2"/>
  <c r="N29" i="2"/>
  <c r="N40" i="2"/>
  <c r="CO53" i="2"/>
  <c r="CL53" i="2"/>
  <c r="CR53" i="2"/>
  <c r="CI53" i="2"/>
  <c r="CV17" i="4"/>
  <c r="S5" i="1"/>
  <c r="T11" i="1"/>
  <c r="S23" i="1"/>
  <c r="CA28" i="2"/>
  <c r="X55" i="2"/>
  <c r="X53" i="2"/>
  <c r="X50" i="2"/>
  <c r="X57" i="2"/>
  <c r="CL10" i="2"/>
  <c r="CI10" i="2"/>
  <c r="CF15" i="2"/>
  <c r="S9" i="1"/>
  <c r="S12" i="1"/>
  <c r="S21" i="1"/>
  <c r="S30" i="1"/>
  <c r="T42" i="1"/>
  <c r="CR14" i="2"/>
  <c r="CL15" i="2"/>
  <c r="X19" i="2"/>
  <c r="I20" i="2"/>
  <c r="ED20" i="2" a="1"/>
  <c r="ED20" i="2" s="1"/>
  <c r="CF22" i="2"/>
  <c r="CL26" i="2"/>
  <c r="AH29" i="2"/>
  <c r="T27" i="1"/>
  <c r="T36" i="1"/>
  <c r="T39" i="1"/>
  <c r="R54" i="1"/>
  <c r="CM45" i="2"/>
  <c r="CJ42" i="2"/>
  <c r="CG39" i="2"/>
  <c r="CM33" i="2"/>
  <c r="CJ30" i="2"/>
  <c r="CG21" i="2"/>
  <c r="CJ18" i="2"/>
  <c r="CM15" i="2"/>
  <c r="CO15" i="2" s="1"/>
  <c r="CG9" i="2"/>
  <c r="CM43" i="2"/>
  <c r="CJ38" i="2"/>
  <c r="CG45" i="2"/>
  <c r="CJ36" i="2"/>
  <c r="CJ34" i="2"/>
  <c r="CG28" i="2"/>
  <c r="CM26" i="2"/>
  <c r="CM14" i="2"/>
  <c r="CO14" i="2" s="1"/>
  <c r="CM13" i="2"/>
  <c r="CO13" i="2" s="1"/>
  <c r="CM12" i="2"/>
  <c r="CO12" i="2" s="1"/>
  <c r="CJ33" i="2"/>
  <c r="CM31" i="2"/>
  <c r="CO31" i="2" s="1"/>
  <c r="CM27" i="2"/>
  <c r="CM25" i="2"/>
  <c r="CM23" i="2"/>
  <c r="CO23" i="2" s="1"/>
  <c r="CM22" i="2"/>
  <c r="CG40" i="2"/>
  <c r="CM37" i="2"/>
  <c r="CG35" i="2"/>
  <c r="CJ41" i="2"/>
  <c r="CJ32" i="2"/>
  <c r="CL32" i="2" s="1"/>
  <c r="CM44" i="2"/>
  <c r="CJ37" i="2"/>
  <c r="CG36" i="2"/>
  <c r="CG34" i="2"/>
  <c r="CM30" i="2"/>
  <c r="CJ27" i="2"/>
  <c r="CL27" i="2" s="1"/>
  <c r="CJ26" i="2"/>
  <c r="CM18" i="2"/>
  <c r="CJ14" i="2"/>
  <c r="CJ13" i="2"/>
  <c r="CJ12" i="2"/>
  <c r="CL12" i="2" s="1"/>
  <c r="CG41" i="2"/>
  <c r="CG37" i="2"/>
  <c r="CM40" i="2"/>
  <c r="CG30" i="2"/>
  <c r="CJ29" i="2"/>
  <c r="CL29" i="2" s="1"/>
  <c r="AC50" i="2"/>
  <c r="AC41" i="2"/>
  <c r="AC55" i="2"/>
  <c r="AC8" i="2"/>
  <c r="AC44" i="2"/>
  <c r="BG52" i="2"/>
  <c r="BG13" i="2"/>
  <c r="BG30" i="2"/>
  <c r="BG39" i="2"/>
  <c r="BQ8" i="2"/>
  <c r="AR9" i="2"/>
  <c r="CJ10" i="2"/>
  <c r="CR16" i="2"/>
  <c r="AH18" i="2"/>
  <c r="CJ19" i="2"/>
  <c r="CG20" i="2"/>
  <c r="I21" i="2"/>
  <c r="CG22" i="2"/>
  <c r="BV23" i="2"/>
  <c r="CR23" i="2"/>
  <c r="I33" i="2"/>
  <c r="AR36" i="2"/>
  <c r="CJ39" i="2"/>
  <c r="CM42" i="2"/>
  <c r="CG43" i="2"/>
  <c r="CJ44" i="2"/>
  <c r="BB68" i="2"/>
  <c r="W95" i="2" s="1" a="1"/>
  <c r="W95" i="2" s="1"/>
  <c r="BV68" i="2"/>
  <c r="BP95" i="2" s="1" a="1"/>
  <c r="BP95" i="2" s="1"/>
  <c r="S73" i="2"/>
  <c r="DJ36" i="4" a="1"/>
  <c r="DJ36" i="4" s="1"/>
  <c r="DJ33" i="4" a="1"/>
  <c r="DJ33" i="4" s="1"/>
  <c r="DJ27" i="4" a="1"/>
  <c r="DJ27" i="4" s="1"/>
  <c r="DJ44" i="4" a="1"/>
  <c r="DJ44" i="4" s="1"/>
  <c r="DJ34" i="4" a="1"/>
  <c r="DJ34" i="4" s="1"/>
  <c r="EB29" i="4" a="1"/>
  <c r="EB29" i="4" s="1"/>
  <c r="DJ24" i="4" a="1"/>
  <c r="DJ24" i="4" s="1"/>
  <c r="DJ46" i="4" a="1"/>
  <c r="DJ46" i="4" s="1"/>
  <c r="EB12" i="4" a="1"/>
  <c r="EB12" i="4" s="1"/>
  <c r="EB14" i="4" a="1"/>
  <c r="EB14" i="4" s="1"/>
  <c r="DJ35" i="4" a="1"/>
  <c r="DJ35" i="4" s="1"/>
  <c r="DJ31" i="4" a="1"/>
  <c r="DJ31" i="4" s="1"/>
  <c r="EB25" i="4" a="1"/>
  <c r="EB25" i="4" s="1"/>
  <c r="EB10" i="4" a="1"/>
  <c r="EB10" i="4" s="1"/>
  <c r="EB23" i="4" a="1"/>
  <c r="EB23" i="4" s="1"/>
  <c r="EB21" i="4" a="1"/>
  <c r="EB21" i="4" s="1"/>
  <c r="EB8" i="4" a="1"/>
  <c r="EB8" i="4" s="1"/>
  <c r="EJ59" i="4" s="1" a="1"/>
  <c r="EJ59" i="4" s="1"/>
  <c r="EG59" i="4" s="1" a="1"/>
  <c r="EG59" i="4" s="1"/>
  <c r="DJ37" i="4" a="1"/>
  <c r="DJ37" i="4" s="1"/>
  <c r="DJ22" i="4" a="1"/>
  <c r="DJ22" i="4" s="1"/>
  <c r="EB16" i="4" a="1"/>
  <c r="EB16" i="4" s="1"/>
  <c r="EB9" i="4" a="1"/>
  <c r="EB9" i="4" s="1"/>
  <c r="EB28" i="4" a="1"/>
  <c r="EB28" i="4" s="1"/>
  <c r="EB13" i="4" a="1"/>
  <c r="EB13" i="4" s="1"/>
  <c r="EB30" i="4" a="1"/>
  <c r="EB30" i="4" s="1"/>
  <c r="EB19" i="4" a="1"/>
  <c r="EB19" i="4" s="1"/>
  <c r="DJ20" i="4" a="1"/>
  <c r="DJ20" i="4" s="1"/>
  <c r="EB17" i="4" a="1"/>
  <c r="EB17" i="4" s="1"/>
  <c r="EB18" i="4" a="1"/>
  <c r="EB18" i="4" s="1"/>
  <c r="CO48" i="2"/>
  <c r="CL48" i="2"/>
  <c r="BG66" i="2"/>
  <c r="AF93" i="2" s="1" a="1"/>
  <c r="AF93" i="2" s="1"/>
  <c r="S70" i="2"/>
  <c r="W89" i="2" s="1"/>
  <c r="BV70" i="2"/>
  <c r="CA75" i="2"/>
  <c r="B96" i="4" a="1"/>
  <c r="B96" i="4" s="1"/>
  <c r="S48" i="2"/>
  <c r="AW72" i="2"/>
  <c r="AC74" i="2"/>
  <c r="AH75" i="2"/>
  <c r="AR57" i="2"/>
  <c r="CF20" i="4"/>
  <c r="CZ24" i="4"/>
  <c r="CZ25" i="4" s="1"/>
  <c r="CO47" i="4"/>
  <c r="CR47" i="4"/>
  <c r="CI47" i="4"/>
  <c r="AW37" i="2"/>
  <c r="AW56" i="2"/>
  <c r="CA44" i="2"/>
  <c r="CA55" i="2"/>
  <c r="DF37" i="2" a="1"/>
  <c r="DF37" i="2" s="1"/>
  <c r="DX12" i="2" a="1"/>
  <c r="DX12" i="2" s="1"/>
  <c r="DF9" i="2" a="1"/>
  <c r="DF9" i="2" s="1"/>
  <c r="DX43" i="2" a="1"/>
  <c r="DX43" i="2" s="1"/>
  <c r="DF39" i="2" a="1"/>
  <c r="DF39" i="2" s="1"/>
  <c r="DY44" i="2" a="1"/>
  <c r="DY44" i="2" s="1"/>
  <c r="DG35" i="2" a="1"/>
  <c r="DG35" i="2" s="1"/>
  <c r="DY14" i="2" a="1"/>
  <c r="DY14" i="2" s="1"/>
  <c r="EH59" i="2" s="1" a="1"/>
  <c r="DY42" i="2" a="1"/>
  <c r="DY42" i="2" s="1"/>
  <c r="AW17" i="2"/>
  <c r="AW19" i="2"/>
  <c r="DG32" i="2" a="1"/>
  <c r="DG32" i="2" s="1"/>
  <c r="DF33" i="2" a="1"/>
  <c r="DF33" i="2" s="1"/>
  <c r="S34" i="2"/>
  <c r="DG41" i="2" a="1"/>
  <c r="DG41" i="2" s="1"/>
  <c r="AH72" i="2"/>
  <c r="N74" i="2"/>
  <c r="AX95" i="2" a="1"/>
  <c r="AX95" i="2" s="1"/>
  <c r="AF97" i="2" a="1"/>
  <c r="AF97" i="2" s="1"/>
  <c r="D106" i="6"/>
  <c r="D106" i="4"/>
  <c r="D110" i="6"/>
  <c r="D110" i="4"/>
  <c r="D110" i="2"/>
  <c r="D69" i="3"/>
  <c r="K69" i="3"/>
  <c r="AC57" i="4"/>
  <c r="AC51" i="4"/>
  <c r="AC14" i="4"/>
  <c r="AC34" i="4"/>
  <c r="AC32" i="4"/>
  <c r="AC11" i="4"/>
  <c r="AC30" i="4"/>
  <c r="AC23" i="4"/>
  <c r="AC29" i="4"/>
  <c r="AC41" i="4"/>
  <c r="BG41" i="4"/>
  <c r="BG51" i="4"/>
  <c r="BG12" i="4"/>
  <c r="BG33" i="4"/>
  <c r="BG17" i="4"/>
  <c r="BG27" i="4"/>
  <c r="BG45" i="4"/>
  <c r="BG13" i="4"/>
  <c r="BG39" i="4"/>
  <c r="BG8" i="4"/>
  <c r="DF42" i="2" a="1"/>
  <c r="DF42" i="2" s="1"/>
  <c r="AW44" i="2"/>
  <c r="CA52" i="2"/>
  <c r="BV78" i="2"/>
  <c r="BG94" i="2" a="1"/>
  <c r="BG94" i="2" s="1"/>
  <c r="CV8" i="4"/>
  <c r="CL12" i="4"/>
  <c r="CR12" i="4"/>
  <c r="CV33" i="4"/>
  <c r="DY38" i="2" a="1"/>
  <c r="DY38" i="2" s="1"/>
  <c r="CV39" i="2"/>
  <c r="CA42" i="2"/>
  <c r="DF45" i="2" a="1"/>
  <c r="DF45" i="2" s="1"/>
  <c r="DP59" i="2" s="1" a="1"/>
  <c r="D103" i="6"/>
  <c r="D103" i="4"/>
  <c r="D111" i="6"/>
  <c r="D111" i="4"/>
  <c r="D111" i="2"/>
  <c r="AX98" i="4" a="1"/>
  <c r="AX98" i="4" s="1"/>
  <c r="BP97" i="4" a="1"/>
  <c r="BP97" i="4" s="1"/>
  <c r="AX97" i="4" a="1"/>
  <c r="AX97" i="4" s="1"/>
  <c r="AF97" i="4" a="1"/>
  <c r="AF97" i="4" s="1"/>
  <c r="N97" i="4" a="1"/>
  <c r="N97" i="4" s="1"/>
  <c r="BP96" i="4" a="1"/>
  <c r="BP96" i="4" s="1"/>
  <c r="AX96" i="4" a="1"/>
  <c r="AX96" i="4" s="1"/>
  <c r="AF96" i="4" a="1"/>
  <c r="AF96" i="4" s="1"/>
  <c r="N96" i="4" a="1"/>
  <c r="N96" i="4" s="1"/>
  <c r="B98" i="4" a="1"/>
  <c r="B98" i="4" s="1"/>
  <c r="AP96" i="4" a="1"/>
  <c r="AP96" i="4" s="1"/>
  <c r="E96" i="4" a="1"/>
  <c r="E96" i="4" s="1"/>
  <c r="B91" i="4"/>
  <c r="AY98" i="4" a="1"/>
  <c r="AY98" i="4" s="1"/>
  <c r="X96" i="4" a="1"/>
  <c r="X96" i="4" s="1"/>
  <c r="AG95" i="4" a="1"/>
  <c r="AG95" i="4" s="1"/>
  <c r="BH93" i="4" a="1"/>
  <c r="BH93" i="4" s="1"/>
  <c r="W93" i="4" a="1"/>
  <c r="W93" i="4" s="1"/>
  <c r="AG98" i="4" a="1"/>
  <c r="AG98" i="4" s="1"/>
  <c r="B95" i="4" a="1"/>
  <c r="B95" i="4" s="1"/>
  <c r="AX94" i="4" a="1"/>
  <c r="AX94" i="4" s="1"/>
  <c r="AG93" i="4" a="1"/>
  <c r="AG93" i="4" s="1"/>
  <c r="N93" i="4" a="1"/>
  <c r="N93" i="4" s="1"/>
  <c r="AP91" i="4"/>
  <c r="AP95" i="4" a="1"/>
  <c r="AP95" i="4" s="1"/>
  <c r="AP94" i="4" a="1"/>
  <c r="AP94" i="4" s="1"/>
  <c r="B93" i="4" a="1"/>
  <c r="B93" i="4" s="1"/>
  <c r="X98" i="4" a="1"/>
  <c r="X98" i="4" s="1"/>
  <c r="W97" i="4" a="1"/>
  <c r="W97" i="4" s="1"/>
  <c r="B97" i="4" a="1"/>
  <c r="B97" i="4" s="1"/>
  <c r="AO95" i="4" a="1"/>
  <c r="AO95" i="4" s="1"/>
  <c r="O95" i="4" a="1"/>
  <c r="O95" i="4" s="1"/>
  <c r="BP93" i="4" a="1"/>
  <c r="BP93" i="4" s="1"/>
  <c r="AO96" i="4" a="1"/>
  <c r="AO96" i="4" s="1"/>
  <c r="O96" i="4" a="1"/>
  <c r="O96" i="4" s="1"/>
  <c r="BH95" i="4" a="1"/>
  <c r="BH95" i="4" s="1"/>
  <c r="N95" i="4" a="1"/>
  <c r="N95" i="4" s="1"/>
  <c r="O94" i="4" a="1"/>
  <c r="O94" i="4" s="1"/>
  <c r="AP93" i="4" a="1"/>
  <c r="AP93" i="4" s="1"/>
  <c r="BH91" i="4"/>
  <c r="AP98" i="4" a="1"/>
  <c r="AP98" i="4" s="1"/>
  <c r="AG96" i="4" a="1"/>
  <c r="AG96" i="4" s="1"/>
  <c r="AF95" i="4" a="1"/>
  <c r="AF95" i="4" s="1"/>
  <c r="AG94" i="4" a="1"/>
  <c r="AG94" i="4" s="1"/>
  <c r="X91" i="4"/>
  <c r="BH94" i="4" a="1"/>
  <c r="BH94" i="4" s="1"/>
  <c r="AY91" i="4"/>
  <c r="BH96" i="4" a="1"/>
  <c r="BH96" i="4" s="1"/>
  <c r="X95" i="4" a="1"/>
  <c r="X95" i="4" s="1"/>
  <c r="X94" i="4" a="1"/>
  <c r="X94" i="4" s="1"/>
  <c r="AG91" i="4"/>
  <c r="W96" i="4" a="1"/>
  <c r="W96" i="4" s="1"/>
  <c r="AY95" i="4" a="1"/>
  <c r="AY95" i="4" s="1"/>
  <c r="BG93" i="4" a="1"/>
  <c r="BG93" i="4" s="1"/>
  <c r="O91" i="4"/>
  <c r="BH97" i="4" a="1"/>
  <c r="BH97" i="4" s="1"/>
  <c r="X97" i="4" a="1"/>
  <c r="X97" i="4" s="1"/>
  <c r="W95" i="4" a="1"/>
  <c r="W95" i="4" s="1"/>
  <c r="W94" i="4" a="1"/>
  <c r="W94" i="4" s="1"/>
  <c r="X93" i="4" a="1"/>
  <c r="X93" i="4" s="1"/>
  <c r="F91" i="4"/>
  <c r="BH98" i="4" a="1"/>
  <c r="BH98" i="4" s="1"/>
  <c r="F98" i="4" a="1"/>
  <c r="F98" i="4" s="1"/>
  <c r="O97" i="4" a="1"/>
  <c r="O97" i="4" s="1"/>
  <c r="N94" i="4" a="1"/>
  <c r="N94" i="4" s="1"/>
  <c r="E98" i="4" a="1"/>
  <c r="E98" i="4" s="1"/>
  <c r="F97" i="4" a="1"/>
  <c r="F97" i="4" s="1"/>
  <c r="F94" i="4" a="1"/>
  <c r="F94" i="4" s="1"/>
  <c r="AF93" i="4" a="1"/>
  <c r="AF93" i="4" s="1"/>
  <c r="AY94" i="4" a="1"/>
  <c r="AY94" i="4" s="1"/>
  <c r="E94" i="4" a="1"/>
  <c r="E94" i="4" s="1"/>
  <c r="O93" i="4" a="1"/>
  <c r="O93" i="4" s="1"/>
  <c r="BG95" i="2" a="1"/>
  <c r="BG95" i="2" s="1"/>
  <c r="AO95" i="2" a="1"/>
  <c r="AO95" i="2" s="1"/>
  <c r="BH93" i="2" a="1"/>
  <c r="BH93" i="2" s="1"/>
  <c r="AP93" i="2" a="1"/>
  <c r="AP93" i="2" s="1"/>
  <c r="X93" i="2" a="1"/>
  <c r="X93" i="2" s="1"/>
  <c r="F93" i="2" a="1"/>
  <c r="F93" i="2" s="1"/>
  <c r="F96" i="4" a="1"/>
  <c r="F96" i="4" s="1"/>
  <c r="F95" i="4" a="1"/>
  <c r="F95" i="4" s="1"/>
  <c r="E93" i="4" a="1"/>
  <c r="E93" i="4" s="1"/>
  <c r="AG97" i="4" a="1"/>
  <c r="AG97" i="4" s="1"/>
  <c r="B94" i="4" a="1"/>
  <c r="B94" i="4" s="1"/>
  <c r="AY97" i="2" a="1"/>
  <c r="AY97" i="2" s="1"/>
  <c r="AG97" i="2" a="1"/>
  <c r="AG97" i="2" s="1"/>
  <c r="O97" i="2" a="1"/>
  <c r="O97" i="2" s="1"/>
  <c r="B97" i="2" a="1"/>
  <c r="B97" i="2" s="1"/>
  <c r="W98" i="4" a="1"/>
  <c r="W98" i="4" s="1"/>
  <c r="E95" i="4" a="1"/>
  <c r="E95" i="4" s="1"/>
  <c r="AY93" i="4" a="1"/>
  <c r="AY93" i="4" s="1"/>
  <c r="O98" i="2" a="1"/>
  <c r="O98" i="2" s="1"/>
  <c r="BP97" i="2" a="1"/>
  <c r="BP97" i="2" s="1"/>
  <c r="X97" i="2" a="1"/>
  <c r="X97" i="2" s="1"/>
  <c r="E97" i="2" a="1"/>
  <c r="E97" i="2" s="1"/>
  <c r="AP95" i="2" a="1"/>
  <c r="AP95" i="2" s="1"/>
  <c r="B95" i="2" a="1"/>
  <c r="B95" i="2" s="1"/>
  <c r="AF94" i="2" a="1"/>
  <c r="AF94" i="2" s="1"/>
  <c r="AO93" i="4" a="1"/>
  <c r="AO93" i="4" s="1"/>
  <c r="BG98" i="2" a="1"/>
  <c r="BG98" i="2" s="1"/>
  <c r="N98" i="2" a="1"/>
  <c r="N98" i="2" s="1"/>
  <c r="AY96" i="2" a="1"/>
  <c r="AY96" i="2" s="1"/>
  <c r="AF96" i="2" a="1"/>
  <c r="AF96" i="2" s="1"/>
  <c r="AX94" i="2" a="1"/>
  <c r="AX94" i="2" s="1"/>
  <c r="E93" i="2" a="1"/>
  <c r="E93" i="2" s="1"/>
  <c r="AY96" i="4" a="1"/>
  <c r="AY96" i="4" s="1"/>
  <c r="AG98" i="2" a="1"/>
  <c r="AG98" i="2" s="1"/>
  <c r="AP97" i="2" a="1"/>
  <c r="AP97" i="2" s="1"/>
  <c r="W97" i="2" a="1"/>
  <c r="W97" i="2" s="1"/>
  <c r="BH95" i="2" a="1"/>
  <c r="BH95" i="2" s="1"/>
  <c r="O95" i="2" a="1"/>
  <c r="O95" i="2" s="1"/>
  <c r="W93" i="2" a="1"/>
  <c r="W93" i="2" s="1"/>
  <c r="O98" i="4" a="1"/>
  <c r="O98" i="4" s="1"/>
  <c r="AF98" i="2" a="1"/>
  <c r="AF98" i="2" s="1"/>
  <c r="AX96" i="2" a="1"/>
  <c r="AX96" i="2" s="1"/>
  <c r="F96" i="2" a="1"/>
  <c r="F96" i="2" s="1"/>
  <c r="BP94" i="2" a="1"/>
  <c r="BP94" i="2" s="1"/>
  <c r="F94" i="2" a="1"/>
  <c r="F94" i="2" s="1"/>
  <c r="AO93" i="2" a="1"/>
  <c r="AO93" i="2" s="1"/>
  <c r="F93" i="4" a="1"/>
  <c r="F93" i="4" s="1"/>
  <c r="AX98" i="2" a="1"/>
  <c r="AX98" i="2" s="1"/>
  <c r="F98" i="2" a="1"/>
  <c r="F98" i="2" s="1"/>
  <c r="BP96" i="2" a="1"/>
  <c r="BP96" i="2" s="1"/>
  <c r="X96" i="2" a="1"/>
  <c r="X96" i="2" s="1"/>
  <c r="E96" i="2" a="1"/>
  <c r="E96" i="2" s="1"/>
  <c r="AP94" i="2" a="1"/>
  <c r="AP94" i="2" s="1"/>
  <c r="W94" i="2" a="1"/>
  <c r="W94" i="2" s="1"/>
  <c r="AY97" i="4" a="1"/>
  <c r="AY97" i="4" s="1"/>
  <c r="AF94" i="4" a="1"/>
  <c r="AF94" i="4" s="1"/>
  <c r="AP97" i="4" a="1"/>
  <c r="AP97" i="4" s="1"/>
  <c r="AX95" i="4" a="1"/>
  <c r="AX95" i="4" s="1"/>
  <c r="AY98" i="2" a="1"/>
  <c r="AY98" i="2" s="1"/>
  <c r="N97" i="2" a="1"/>
  <c r="N97" i="2" s="1"/>
  <c r="BG96" i="2" a="1"/>
  <c r="BG96" i="2" s="1"/>
  <c r="O96" i="2" a="1"/>
  <c r="O96" i="2" s="1"/>
  <c r="N95" i="2" a="1"/>
  <c r="N95" i="2" s="1"/>
  <c r="AX97" i="2" a="1"/>
  <c r="AX97" i="2" s="1"/>
  <c r="N96" i="2" a="1"/>
  <c r="N96" i="2" s="1"/>
  <c r="AY94" i="2" a="1"/>
  <c r="AY94" i="2" s="1"/>
  <c r="O94" i="2" a="1"/>
  <c r="O94" i="2" s="1"/>
  <c r="AP96" i="2" a="1"/>
  <c r="AP96" i="2" s="1"/>
  <c r="F95" i="2" a="1"/>
  <c r="F95" i="2" s="1"/>
  <c r="AY93" i="2" a="1"/>
  <c r="AY93" i="2" s="1"/>
  <c r="O93" i="2" a="1"/>
  <c r="O93" i="2" s="1"/>
  <c r="AP98" i="2" a="1"/>
  <c r="AP98" i="2" s="1"/>
  <c r="E98" i="2" a="1"/>
  <c r="E98" i="2" s="1"/>
  <c r="AO97" i="2" a="1"/>
  <c r="AO97" i="2" s="1"/>
  <c r="F97" i="2" a="1"/>
  <c r="F97" i="2" s="1"/>
  <c r="AO94" i="2" a="1"/>
  <c r="AO94" i="2" s="1"/>
  <c r="N94" i="2" a="1"/>
  <c r="N94" i="2" s="1"/>
  <c r="AO96" i="2" a="1"/>
  <c r="AO96" i="2" s="1"/>
  <c r="B96" i="2" a="1"/>
  <c r="B96" i="2" s="1"/>
  <c r="AG95" i="2" a="1"/>
  <c r="AG95" i="2" s="1"/>
  <c r="E94" i="2" a="1"/>
  <c r="E94" i="2" s="1"/>
  <c r="AX93" i="2" a="1"/>
  <c r="AX93" i="2" s="1"/>
  <c r="N93" i="2" a="1"/>
  <c r="N93" i="2" s="1"/>
  <c r="AO98" i="2" a="1"/>
  <c r="AO98" i="2" s="1"/>
  <c r="AF95" i="2" a="1"/>
  <c r="AF95" i="2" s="1"/>
  <c r="AH52" i="4"/>
  <c r="AH42" i="4"/>
  <c r="AH39" i="4"/>
  <c r="AH33" i="4"/>
  <c r="AH50" i="4"/>
  <c r="AH47" i="4"/>
  <c r="AH56" i="4"/>
  <c r="AH38" i="4"/>
  <c r="AH27" i="4"/>
  <c r="AH35" i="4"/>
  <c r="AH44" i="4"/>
  <c r="AH40" i="4"/>
  <c r="BL20" i="4"/>
  <c r="BL18" i="4"/>
  <c r="BL32" i="4"/>
  <c r="BL49" i="4"/>
  <c r="BL28" i="4"/>
  <c r="BL43" i="4"/>
  <c r="BL53" i="4"/>
  <c r="BL52" i="4"/>
  <c r="BL31" i="4"/>
  <c r="BL8" i="4"/>
  <c r="BL23" i="4"/>
  <c r="BL19" i="4"/>
  <c r="CV23" i="4"/>
  <c r="CL47" i="4"/>
  <c r="CO54" i="4"/>
  <c r="CI54" i="4"/>
  <c r="CR54" i="4"/>
  <c r="CL54" i="4"/>
  <c r="E64" i="2"/>
  <c r="B83" i="2"/>
  <c r="DR59" i="2" a="1"/>
  <c r="AW9" i="2"/>
  <c r="DY18" i="2" a="1"/>
  <c r="DY18" i="2" s="1"/>
  <c r="DY24" i="2" a="1"/>
  <c r="DY24" i="2" s="1"/>
  <c r="DX41" i="2" a="1"/>
  <c r="DX41" i="2" s="1"/>
  <c r="CA43" i="2"/>
  <c r="DF44" i="2" a="1"/>
  <c r="DF44" i="2" s="1"/>
  <c r="CV47" i="2"/>
  <c r="CA47" i="2"/>
  <c r="CA49" i="2"/>
  <c r="AW55" i="2"/>
  <c r="BG76" i="2"/>
  <c r="CA76" i="2"/>
  <c r="BG78" i="2"/>
  <c r="CA78" i="2"/>
  <c r="BG97" i="2" a="1"/>
  <c r="BG97" i="2" s="1"/>
  <c r="CI12" i="4"/>
  <c r="CI32" i="4"/>
  <c r="CR32" i="4"/>
  <c r="CV43" i="4"/>
  <c r="CR15" i="4"/>
  <c r="CO15" i="4"/>
  <c r="CL15" i="4"/>
  <c r="CV37" i="4"/>
  <c r="CG43" i="4"/>
  <c r="CJ45" i="4"/>
  <c r="AR77" i="4"/>
  <c r="S78" i="4"/>
  <c r="AC57" i="2"/>
  <c r="AC66" i="2"/>
  <c r="AO85" i="2" s="1"/>
  <c r="AR68" i="2"/>
  <c r="BP87" i="2" s="1"/>
  <c r="BG70" i="2"/>
  <c r="BV72" i="2"/>
  <c r="D113" i="6"/>
  <c r="D113" i="4"/>
  <c r="D113" i="2"/>
  <c r="CM12" i="4"/>
  <c r="CO12" i="4" s="1"/>
  <c r="CI15" i="4"/>
  <c r="CV28" i="4"/>
  <c r="CR55" i="2"/>
  <c r="CG27" i="4"/>
  <c r="CG45" i="4"/>
  <c r="CG42" i="4"/>
  <c r="CJ46" i="4"/>
  <c r="CJ43" i="4"/>
  <c r="CJ40" i="4"/>
  <c r="CJ37" i="4"/>
  <c r="CJ34" i="4"/>
  <c r="CJ31" i="4"/>
  <c r="CJ28" i="4"/>
  <c r="CJ26" i="4"/>
  <c r="CM44" i="4"/>
  <c r="CM41" i="4"/>
  <c r="CG46" i="4"/>
  <c r="CG44" i="4"/>
  <c r="CM36" i="4"/>
  <c r="CG34" i="4"/>
  <c r="CG29" i="4"/>
  <c r="CJ36" i="4"/>
  <c r="CG40" i="4"/>
  <c r="CJ38" i="4"/>
  <c r="CJ35" i="4"/>
  <c r="CM32" i="4"/>
  <c r="CO32" i="4" s="1"/>
  <c r="CM28" i="4"/>
  <c r="CG25" i="4"/>
  <c r="CJ19" i="4"/>
  <c r="CJ14" i="4"/>
  <c r="CM46" i="4"/>
  <c r="CM45" i="4"/>
  <c r="CM42" i="4"/>
  <c r="CG39" i="4"/>
  <c r="CG41" i="4"/>
  <c r="CG37" i="4"/>
  <c r="CG36" i="4"/>
  <c r="CG35" i="4"/>
  <c r="CM34" i="4"/>
  <c r="CJ27" i="4"/>
  <c r="CM26" i="4"/>
  <c r="CJ23" i="4"/>
  <c r="CJ13" i="4"/>
  <c r="CJ10" i="4"/>
  <c r="CJ8" i="4"/>
  <c r="CJ42" i="4"/>
  <c r="CG38" i="4"/>
  <c r="CJ32" i="4"/>
  <c r="CL32" i="4" s="1"/>
  <c r="CM35" i="4"/>
  <c r="CG24" i="4"/>
  <c r="CG23" i="4"/>
  <c r="CM19" i="4"/>
  <c r="CJ16" i="4"/>
  <c r="CG14" i="4"/>
  <c r="CG10" i="4"/>
  <c r="CJ39" i="4"/>
  <c r="CM38" i="4"/>
  <c r="CM31" i="4"/>
  <c r="CG30" i="4"/>
  <c r="CG28" i="4"/>
  <c r="CM27" i="4"/>
  <c r="CG26" i="4"/>
  <c r="CJ21" i="4"/>
  <c r="CL21" i="4" s="1"/>
  <c r="CM20" i="4"/>
  <c r="CO20" i="4" s="1"/>
  <c r="CJ18" i="4"/>
  <c r="CL18" i="4" s="1"/>
  <c r="CM11" i="4"/>
  <c r="CO11" i="4" s="1"/>
  <c r="CG8" i="4"/>
  <c r="CM33" i="4"/>
  <c r="CM29" i="4"/>
  <c r="CM17" i="4"/>
  <c r="CM15" i="4"/>
  <c r="CJ20" i="4"/>
  <c r="CL20" i="4" s="1"/>
  <c r="CG16" i="4"/>
  <c r="CG13" i="4"/>
  <c r="CM9" i="4"/>
  <c r="CO9" i="4" s="1"/>
  <c r="CJ33" i="4"/>
  <c r="CG31" i="4"/>
  <c r="CJ29" i="4"/>
  <c r="CG19" i="4"/>
  <c r="CJ17" i="4"/>
  <c r="CJ15" i="4"/>
  <c r="CJ41" i="4"/>
  <c r="CG33" i="4"/>
  <c r="CM30" i="4"/>
  <c r="CM23" i="4"/>
  <c r="CJ22" i="4"/>
  <c r="N10" i="4"/>
  <c r="AR29" i="4"/>
  <c r="BV22" i="4"/>
  <c r="CV13" i="4"/>
  <c r="CM13" i="4"/>
  <c r="CG17" i="4"/>
  <c r="CJ30" i="4"/>
  <c r="CM40" i="4"/>
  <c r="CM43" i="4"/>
  <c r="AH53" i="2"/>
  <c r="CF55" i="2"/>
  <c r="BB56" i="2"/>
  <c r="N66" i="2"/>
  <c r="N85" i="2" s="1"/>
  <c r="AC68" i="2"/>
  <c r="AO87" i="2" s="1"/>
  <c r="AR70" i="2"/>
  <c r="BP89" i="2" s="1"/>
  <c r="BG72" i="2"/>
  <c r="D61" i="3"/>
  <c r="K61" i="3"/>
  <c r="N31" i="4"/>
  <c r="AR41" i="4"/>
  <c r="X12" i="4"/>
  <c r="S22" i="4"/>
  <c r="X55" i="4"/>
  <c r="J64" i="4"/>
  <c r="F83" i="4"/>
  <c r="O4" i="4"/>
  <c r="CR11" i="4"/>
  <c r="CL11" i="4"/>
  <c r="CI11" i="4"/>
  <c r="CA20" i="4"/>
  <c r="X24" i="4"/>
  <c r="M133" i="5"/>
  <c r="N133" i="5" s="1"/>
  <c r="K133" i="5"/>
  <c r="AC56" i="6"/>
  <c r="AC53" i="6"/>
  <c r="AC33" i="6"/>
  <c r="AC42" i="6"/>
  <c r="AC52" i="6"/>
  <c r="AC32" i="6"/>
  <c r="AC38" i="6"/>
  <c r="AC35" i="6"/>
  <c r="AC46" i="6"/>
  <c r="AC19" i="6"/>
  <c r="AC17" i="6"/>
  <c r="AC15" i="6"/>
  <c r="AC22" i="6"/>
  <c r="AC9" i="6"/>
  <c r="BG52" i="6"/>
  <c r="BG45" i="6"/>
  <c r="BG47" i="6"/>
  <c r="BG33" i="6"/>
  <c r="BG30" i="6"/>
  <c r="BG43" i="6"/>
  <c r="BG17" i="6"/>
  <c r="BG13" i="6"/>
  <c r="BG11" i="6"/>
  <c r="BG14" i="6"/>
  <c r="BG25" i="6"/>
  <c r="BG8" i="6"/>
  <c r="BG10" i="6"/>
  <c r="BG96" i="6" a="1"/>
  <c r="BG96" i="6" s="1"/>
  <c r="B9" i="6"/>
  <c r="N68" i="2"/>
  <c r="N87" i="2" s="1"/>
  <c r="AC70" i="2"/>
  <c r="AO89" i="2" s="1"/>
  <c r="AR72" i="2"/>
  <c r="BG57" i="2"/>
  <c r="I55" i="2"/>
  <c r="BB52" i="2"/>
  <c r="AM49" i="2"/>
  <c r="BV48" i="2"/>
  <c r="N48" i="2"/>
  <c r="CF46" i="2"/>
  <c r="X46" i="2"/>
  <c r="I43" i="2"/>
  <c r="AR42" i="2"/>
  <c r="S41" i="2"/>
  <c r="AC39" i="2"/>
  <c r="BL38" i="2"/>
  <c r="BV36" i="2"/>
  <c r="X34" i="2"/>
  <c r="BG33" i="2"/>
  <c r="AH32" i="2"/>
  <c r="BQ31" i="2"/>
  <c r="I31" i="2"/>
  <c r="AR30" i="2"/>
  <c r="CA29" i="2"/>
  <c r="BB28" i="2"/>
  <c r="AW25" i="2"/>
  <c r="N24" i="2"/>
  <c r="AM23" i="2"/>
  <c r="BL22" i="2"/>
  <c r="AC21" i="2"/>
  <c r="BB20" i="2"/>
  <c r="CA19" i="2"/>
  <c r="S19" i="2"/>
  <c r="AH16" i="2"/>
  <c r="CF14" i="2"/>
  <c r="X14" i="2"/>
  <c r="BV12" i="2"/>
  <c r="N12" i="2"/>
  <c r="AM11" i="2"/>
  <c r="BL10" i="2"/>
  <c r="AC56" i="2"/>
  <c r="BL55" i="2"/>
  <c r="AM54" i="2"/>
  <c r="BV53" i="2"/>
  <c r="AW52" i="2"/>
  <c r="CF51" i="2"/>
  <c r="BG50" i="2"/>
  <c r="AW57" i="2"/>
  <c r="CF56" i="2"/>
  <c r="X56" i="2"/>
  <c r="BG55" i="2"/>
  <c r="AH54" i="2"/>
  <c r="BQ53" i="2"/>
  <c r="I53" i="2"/>
  <c r="CA51" i="2"/>
  <c r="BL48" i="2"/>
  <c r="BV46" i="2"/>
  <c r="N46" i="2"/>
  <c r="AW45" i="2"/>
  <c r="CF44" i="2"/>
  <c r="X44" i="2"/>
  <c r="BG43" i="2"/>
  <c r="AH42" i="2"/>
  <c r="U58" i="2"/>
  <c r="BQ56" i="2"/>
  <c r="I56" i="2"/>
  <c r="CA54" i="2"/>
  <c r="S54" i="2"/>
  <c r="BB53" i="2"/>
  <c r="AC52" i="2"/>
  <c r="BL51" i="2"/>
  <c r="S27" i="4"/>
  <c r="S52" i="4"/>
  <c r="S48" i="4"/>
  <c r="S46" i="4"/>
  <c r="S37" i="4"/>
  <c r="S16" i="4"/>
  <c r="S38" i="4"/>
  <c r="S19" i="4"/>
  <c r="S13" i="4"/>
  <c r="S33" i="4"/>
  <c r="AW55" i="4"/>
  <c r="AW51" i="4"/>
  <c r="AW49" i="4"/>
  <c r="AW20" i="4"/>
  <c r="AW56" i="4"/>
  <c r="AW41" i="4"/>
  <c r="AW37" i="4"/>
  <c r="AW29" i="4"/>
  <c r="AW25" i="4"/>
  <c r="AW44" i="4"/>
  <c r="CA27" i="4"/>
  <c r="CA53" i="4"/>
  <c r="CA48" i="4"/>
  <c r="CA29" i="4"/>
  <c r="CA55" i="4"/>
  <c r="CA36" i="4"/>
  <c r="CA31" i="4"/>
  <c r="CA52" i="4"/>
  <c r="CA14" i="4"/>
  <c r="CA10" i="4"/>
  <c r="CA51" i="4"/>
  <c r="CA21" i="4"/>
  <c r="CA18" i="4"/>
  <c r="CV16" i="4"/>
  <c r="CM16" i="4"/>
  <c r="AW33" i="4"/>
  <c r="AW39" i="4"/>
  <c r="BB41" i="4"/>
  <c r="CR9" i="4"/>
  <c r="CJ25" i="4"/>
  <c r="CV30" i="4"/>
  <c r="CJ44" i="4"/>
  <c r="BV66" i="2"/>
  <c r="BP93" i="2" s="1" a="1"/>
  <c r="BP93" i="2" s="1"/>
  <c r="N70" i="2"/>
  <c r="N89" i="2" s="1"/>
  <c r="AC72" i="2"/>
  <c r="M73" i="3"/>
  <c r="N73" i="3" s="1"/>
  <c r="K73" i="3"/>
  <c r="X25" i="4"/>
  <c r="X23" i="4"/>
  <c r="X19" i="4"/>
  <c r="X54" i="4"/>
  <c r="X57" i="4"/>
  <c r="X28" i="4"/>
  <c r="X8" i="4"/>
  <c r="X16" i="4"/>
  <c r="X13" i="4"/>
  <c r="X20" i="4"/>
  <c r="BB40" i="4"/>
  <c r="BB37" i="4"/>
  <c r="BB31" i="4"/>
  <c r="BB28" i="4"/>
  <c r="BB26" i="4"/>
  <c r="BB44" i="4"/>
  <c r="BB13" i="4"/>
  <c r="BB8" i="4"/>
  <c r="BB54" i="4"/>
  <c r="BB57" i="4"/>
  <c r="CF53" i="4"/>
  <c r="CF48" i="4"/>
  <c r="CF33" i="4"/>
  <c r="CF30" i="4"/>
  <c r="CF25" i="4"/>
  <c r="CF16" i="4"/>
  <c r="CF11" i="4"/>
  <c r="CF40" i="4"/>
  <c r="CF44" i="4"/>
  <c r="CF31" i="4"/>
  <c r="CF24" i="4"/>
  <c r="CF14" i="4"/>
  <c r="CF28" i="4"/>
  <c r="CF26" i="4"/>
  <c r="CF54" i="4"/>
  <c r="DD11" i="4" a="1"/>
  <c r="DD11" i="4" s="1"/>
  <c r="DD15" i="4" a="1"/>
  <c r="DD15" i="4" s="1"/>
  <c r="CV10" i="4"/>
  <c r="CG22" i="4"/>
  <c r="CV26" i="4"/>
  <c r="CM37" i="4"/>
  <c r="S47" i="4"/>
  <c r="AM54" i="4"/>
  <c r="CO56" i="4"/>
  <c r="CI56" i="4"/>
  <c r="CR56" i="4"/>
  <c r="AH76" i="4"/>
  <c r="BB76" i="4"/>
  <c r="AR71" i="4"/>
  <c r="BP90" i="4" s="1"/>
  <c r="BL71" i="4"/>
  <c r="AO98" i="4" s="1" a="1"/>
  <c r="AO98" i="4" s="1"/>
  <c r="BV76" i="4"/>
  <c r="E64" i="4"/>
  <c r="B83" i="4"/>
  <c r="BQ8" i="4"/>
  <c r="DN25" i="4" a="1"/>
  <c r="DN25" i="4" s="1"/>
  <c r="DN8" i="4" a="1"/>
  <c r="DN8" i="4" s="1"/>
  <c r="DN30" i="4" a="1"/>
  <c r="DN30" i="4" s="1"/>
  <c r="AR22" i="4"/>
  <c r="AR24" i="4"/>
  <c r="BV27" i="4"/>
  <c r="N48" i="4"/>
  <c r="BV55" i="4"/>
  <c r="CL56" i="4"/>
  <c r="X69" i="4"/>
  <c r="AF88" i="4" s="1"/>
  <c r="BV70" i="4"/>
  <c r="AM73" i="4"/>
  <c r="N74" i="4"/>
  <c r="CF75" i="4"/>
  <c r="AY98" i="6" a="1"/>
  <c r="AY98" i="6" s="1"/>
  <c r="AG98" i="6" a="1"/>
  <c r="AG98" i="6" s="1"/>
  <c r="O98" i="6" a="1"/>
  <c r="O98" i="6" s="1"/>
  <c r="B98" i="6" a="1"/>
  <c r="B98" i="6" s="1"/>
  <c r="AY97" i="6" a="1"/>
  <c r="AY97" i="6" s="1"/>
  <c r="AG97" i="6" a="1"/>
  <c r="AG97" i="6" s="1"/>
  <c r="O97" i="6" a="1"/>
  <c r="O97" i="6" s="1"/>
  <c r="B97" i="6" a="1"/>
  <c r="B97" i="6" s="1"/>
  <c r="AY96" i="6" a="1"/>
  <c r="AY96" i="6" s="1"/>
  <c r="AG96" i="6" a="1"/>
  <c r="AG96" i="6" s="1"/>
  <c r="O96" i="6" a="1"/>
  <c r="O96" i="6" s="1"/>
  <c r="B96" i="6" a="1"/>
  <c r="B96" i="6" s="1"/>
  <c r="AY95" i="6" a="1"/>
  <c r="AY95" i="6" s="1"/>
  <c r="AG95" i="6" a="1"/>
  <c r="AG95" i="6" s="1"/>
  <c r="O95" i="6" a="1"/>
  <c r="O95" i="6" s="1"/>
  <c r="B95" i="6" a="1"/>
  <c r="B95" i="6" s="1"/>
  <c r="AY94" i="6" a="1"/>
  <c r="AY94" i="6" s="1"/>
  <c r="AG94" i="6" a="1"/>
  <c r="AG94" i="6" s="1"/>
  <c r="O94" i="6" a="1"/>
  <c r="O94" i="6" s="1"/>
  <c r="B94" i="6" a="1"/>
  <c r="B94" i="6" s="1"/>
  <c r="AY93" i="6" a="1"/>
  <c r="AY93" i="6" s="1"/>
  <c r="AG93" i="6" a="1"/>
  <c r="AG93" i="6" s="1"/>
  <c r="O93" i="6" a="1"/>
  <c r="O93" i="6" s="1"/>
  <c r="B93" i="6" a="1"/>
  <c r="B93" i="6" s="1"/>
  <c r="BP98" i="6" a="1"/>
  <c r="BP98" i="6" s="1"/>
  <c r="AX98" i="6" a="1"/>
  <c r="AX98" i="6" s="1"/>
  <c r="AF98" i="6" a="1"/>
  <c r="AF98" i="6" s="1"/>
  <c r="N98" i="6" a="1"/>
  <c r="N98" i="6" s="1"/>
  <c r="BP97" i="6" a="1"/>
  <c r="BP97" i="6" s="1"/>
  <c r="AX97" i="6" a="1"/>
  <c r="AX97" i="6" s="1"/>
  <c r="AF97" i="6" a="1"/>
  <c r="AF97" i="6" s="1"/>
  <c r="N97" i="6" a="1"/>
  <c r="N97" i="6" s="1"/>
  <c r="BP96" i="6" a="1"/>
  <c r="BP96" i="6" s="1"/>
  <c r="AX96" i="6" a="1"/>
  <c r="AX96" i="6" s="1"/>
  <c r="AF96" i="6" a="1"/>
  <c r="AF96" i="6" s="1"/>
  <c r="N96" i="6" a="1"/>
  <c r="N96" i="6" s="1"/>
  <c r="BP95" i="6" a="1"/>
  <c r="BP95" i="6" s="1"/>
  <c r="AX95" i="6" a="1"/>
  <c r="AX95" i="6" s="1"/>
  <c r="AF95" i="6" a="1"/>
  <c r="AF95" i="6" s="1"/>
  <c r="N95" i="6" a="1"/>
  <c r="N95" i="6" s="1"/>
  <c r="BP94" i="6" a="1"/>
  <c r="BP94" i="6" s="1"/>
  <c r="AX94" i="6" a="1"/>
  <c r="AX94" i="6" s="1"/>
  <c r="AF94" i="6" a="1"/>
  <c r="AF94" i="6" s="1"/>
  <c r="N94" i="6" a="1"/>
  <c r="N94" i="6" s="1"/>
  <c r="BP93" i="6" a="1"/>
  <c r="BP93" i="6" s="1"/>
  <c r="AX93" i="6" a="1"/>
  <c r="AX93" i="6" s="1"/>
  <c r="AF93" i="6" a="1"/>
  <c r="AF93" i="6" s="1"/>
  <c r="N93" i="6" a="1"/>
  <c r="N93" i="6" s="1"/>
  <c r="BH91" i="6"/>
  <c r="AY91" i="6"/>
  <c r="AP91" i="6"/>
  <c r="E98" i="6" a="1"/>
  <c r="E98" i="6" s="1"/>
  <c r="AP97" i="6" a="1"/>
  <c r="AP97" i="6" s="1"/>
  <c r="E95" i="6" a="1"/>
  <c r="E95" i="6" s="1"/>
  <c r="AP94" i="6" a="1"/>
  <c r="AP94" i="6" s="1"/>
  <c r="AG91" i="6"/>
  <c r="BH98" i="6" a="1"/>
  <c r="BH98" i="6" s="1"/>
  <c r="W96" i="6" a="1"/>
  <c r="W96" i="6" s="1"/>
  <c r="BH95" i="6" a="1"/>
  <c r="BH95" i="6" s="1"/>
  <c r="W93" i="6" a="1"/>
  <c r="W93" i="6" s="1"/>
  <c r="X91" i="6"/>
  <c r="AO97" i="6" a="1"/>
  <c r="AO97" i="6" s="1"/>
  <c r="F97" i="6" a="1"/>
  <c r="F97" i="6" s="1"/>
  <c r="AO94" i="6" a="1"/>
  <c r="AO94" i="6" s="1"/>
  <c r="F94" i="6" a="1"/>
  <c r="F94" i="6" s="1"/>
  <c r="O91" i="6"/>
  <c r="X98" i="6" a="1"/>
  <c r="X98" i="6" s="1"/>
  <c r="E97" i="6" a="1"/>
  <c r="E97" i="6" s="1"/>
  <c r="AP96" i="6" a="1"/>
  <c r="AP96" i="6" s="1"/>
  <c r="E94" i="6" a="1"/>
  <c r="E94" i="6" s="1"/>
  <c r="AP93" i="6" a="1"/>
  <c r="AP93" i="6" s="1"/>
  <c r="B91" i="6"/>
  <c r="W98" i="6" a="1"/>
  <c r="W98" i="6" s="1"/>
  <c r="BH97" i="6" a="1"/>
  <c r="BH97" i="6" s="1"/>
  <c r="W95" i="6" a="1"/>
  <c r="W95" i="6" s="1"/>
  <c r="BH94" i="6" a="1"/>
  <c r="BH94" i="6" s="1"/>
  <c r="AO96" i="6" a="1"/>
  <c r="AO96" i="6" s="1"/>
  <c r="F96" i="6" a="1"/>
  <c r="F96" i="6" s="1"/>
  <c r="AO93" i="6" a="1"/>
  <c r="AO93" i="6" s="1"/>
  <c r="F93" i="6" a="1"/>
  <c r="F93" i="6" s="1"/>
  <c r="X97" i="6" a="1"/>
  <c r="X97" i="6" s="1"/>
  <c r="X94" i="6" a="1"/>
  <c r="X94" i="6" s="1"/>
  <c r="AP98" i="6" a="1"/>
  <c r="AP98" i="6" s="1"/>
  <c r="E96" i="6" a="1"/>
  <c r="E96" i="6" s="1"/>
  <c r="AP95" i="6" a="1"/>
  <c r="AP95" i="6" s="1"/>
  <c r="E93" i="6" a="1"/>
  <c r="E93" i="6" s="1"/>
  <c r="W97" i="6" a="1"/>
  <c r="W97" i="6" s="1"/>
  <c r="BH96" i="6" a="1"/>
  <c r="BH96" i="6" s="1"/>
  <c r="W94" i="6" a="1"/>
  <c r="W94" i="6" s="1"/>
  <c r="BH93" i="6" a="1"/>
  <c r="BH93" i="6" s="1"/>
  <c r="F91" i="6"/>
  <c r="X96" i="6" a="1"/>
  <c r="X96" i="6" s="1"/>
  <c r="AO98" i="6" a="1"/>
  <c r="AO98" i="6" s="1"/>
  <c r="F98" i="6" a="1"/>
  <c r="F98" i="6" s="1"/>
  <c r="AO95" i="6" a="1"/>
  <c r="AO95" i="6" s="1"/>
  <c r="BG93" i="6" a="1"/>
  <c r="BG93" i="6" s="1"/>
  <c r="X95" i="6" a="1"/>
  <c r="X95" i="6" s="1"/>
  <c r="F95" i="6" a="1"/>
  <c r="F95" i="6" s="1"/>
  <c r="X93" i="6" a="1"/>
  <c r="X93" i="6" s="1"/>
  <c r="AH9" i="6"/>
  <c r="AH13" i="6"/>
  <c r="BL20" i="6"/>
  <c r="AC3" i="6"/>
  <c r="CV8" i="6"/>
  <c r="AN3" i="6"/>
  <c r="AY3" i="6" s="1"/>
  <c r="CU5" i="6" s="1"/>
  <c r="D105" i="6"/>
  <c r="D105" i="4"/>
  <c r="BQ12" i="4"/>
  <c r="CV14" i="4"/>
  <c r="I21" i="4"/>
  <c r="BQ23" i="4"/>
  <c r="CV27" i="4"/>
  <c r="CV32" i="4"/>
  <c r="CL51" i="4"/>
  <c r="CI51" i="4"/>
  <c r="CO51" i="4"/>
  <c r="CR51" i="4"/>
  <c r="D109" i="6"/>
  <c r="D109" i="4"/>
  <c r="D67" i="3"/>
  <c r="I47" i="4"/>
  <c r="I55" i="4"/>
  <c r="I52" i="4"/>
  <c r="I49" i="4"/>
  <c r="I42" i="4"/>
  <c r="I36" i="4"/>
  <c r="AM51" i="4"/>
  <c r="AM49" i="4"/>
  <c r="AM43" i="4"/>
  <c r="AM40" i="4"/>
  <c r="AM52" i="4"/>
  <c r="AM23" i="4"/>
  <c r="AM20" i="4"/>
  <c r="BQ54" i="4"/>
  <c r="BQ50" i="4"/>
  <c r="BQ51" i="4"/>
  <c r="I10" i="4"/>
  <c r="DM43" i="4" a="1"/>
  <c r="DM43" i="4" s="1"/>
  <c r="DM40" i="4" a="1"/>
  <c r="DM40" i="4" s="1"/>
  <c r="DM34" i="4" a="1"/>
  <c r="DM34" i="4" s="1"/>
  <c r="DM28" i="4" a="1"/>
  <c r="DM28" i="4" s="1"/>
  <c r="DR59" i="4" s="1" a="1"/>
  <c r="DR59" i="4" s="1"/>
  <c r="DO59" i="4" s="1" a="1"/>
  <c r="DO59" i="4" s="1"/>
  <c r="DM14" i="4" a="1"/>
  <c r="DM14" i="4" s="1"/>
  <c r="DM38" i="4" a="1"/>
  <c r="DM38" i="4" s="1"/>
  <c r="DM39" i="4" a="1"/>
  <c r="DM39" i="4" s="1"/>
  <c r="DN21" i="4" a="1"/>
  <c r="DN21" i="4" s="1"/>
  <c r="CV38" i="4"/>
  <c r="AM41" i="4"/>
  <c r="AM68" i="4"/>
  <c r="BL9" i="6"/>
  <c r="D105" i="2"/>
  <c r="D114" i="6"/>
  <c r="D114" i="4"/>
  <c r="EE31" i="4" a="1"/>
  <c r="EE31" i="4" s="1"/>
  <c r="CV35" i="4"/>
  <c r="AM37" i="4"/>
  <c r="BQ40" i="4"/>
  <c r="I67" i="4"/>
  <c r="E86" i="4" s="1"/>
  <c r="D102" i="2"/>
  <c r="D114" i="2"/>
  <c r="N50" i="4"/>
  <c r="N43" i="4"/>
  <c r="N54" i="4"/>
  <c r="N36" i="4"/>
  <c r="N25" i="4"/>
  <c r="N18" i="4"/>
  <c r="AR49" i="4"/>
  <c r="AR46" i="4"/>
  <c r="AR40" i="4"/>
  <c r="AR37" i="4"/>
  <c r="AR34" i="4"/>
  <c r="AR50" i="4"/>
  <c r="AR45" i="4"/>
  <c r="AR56" i="4"/>
  <c r="AR13" i="4"/>
  <c r="AR10" i="4"/>
  <c r="BV38" i="4"/>
  <c r="BV35" i="4"/>
  <c r="BV29" i="4"/>
  <c r="BV37" i="4"/>
  <c r="BV33" i="4"/>
  <c r="BV11" i="4"/>
  <c r="BV9" i="4"/>
  <c r="BG97" i="4" a="1"/>
  <c r="BG97" i="4" s="1"/>
  <c r="B10" i="4"/>
  <c r="I12" i="4"/>
  <c r="BQ36" i="4"/>
  <c r="CV39" i="4"/>
  <c r="DN42" i="4" a="1"/>
  <c r="DN42" i="4" s="1"/>
  <c r="DM44" i="4" a="1"/>
  <c r="DM44" i="4" s="1"/>
  <c r="CL49" i="4"/>
  <c r="CI49" i="4"/>
  <c r="CO49" i="4"/>
  <c r="CV46" i="4"/>
  <c r="N67" i="4"/>
  <c r="N86" i="4" s="1"/>
  <c r="BQ72" i="4"/>
  <c r="D104" i="6"/>
  <c r="AC44" i="6" s="1"/>
  <c r="D104" i="4"/>
  <c r="AC13" i="4" s="1"/>
  <c r="D116" i="6"/>
  <c r="D116" i="4"/>
  <c r="AM66" i="4"/>
  <c r="BG85" i="4" s="1"/>
  <c r="AH72" i="4"/>
  <c r="BQ78" i="4"/>
  <c r="CV40" i="4"/>
  <c r="CL15" i="6"/>
  <c r="CI15" i="6"/>
  <c r="CO15" i="6"/>
  <c r="D104" i="2"/>
  <c r="CF39" i="2" s="1"/>
  <c r="D108" i="6"/>
  <c r="D108" i="4"/>
  <c r="BG96" i="4" a="1"/>
  <c r="BG96" i="4" s="1"/>
  <c r="S72" i="4"/>
  <c r="BB78" i="4"/>
  <c r="X66" i="4"/>
  <c r="AF85" i="4" s="1"/>
  <c r="AH67" i="4"/>
  <c r="AX86" i="4" s="1"/>
  <c r="AW71" i="4"/>
  <c r="N98" i="4" s="1" a="1"/>
  <c r="N98" i="4" s="1"/>
  <c r="X74" i="4"/>
  <c r="BQ75" i="4"/>
  <c r="AC78" i="4"/>
  <c r="BQ17" i="6"/>
  <c r="K127" i="5"/>
  <c r="M127" i="5"/>
  <c r="N127" i="5" s="1"/>
  <c r="I66" i="4"/>
  <c r="E85" i="4" s="1"/>
  <c r="CA70" i="4"/>
  <c r="BG79" i="4"/>
  <c r="N10" i="6"/>
  <c r="N9" i="6"/>
  <c r="N12" i="6"/>
  <c r="N38" i="6"/>
  <c r="N15" i="6"/>
  <c r="N13" i="6"/>
  <c r="N34" i="6"/>
  <c r="AR37" i="6"/>
  <c r="AR33" i="6"/>
  <c r="AR23" i="6"/>
  <c r="AR13" i="6"/>
  <c r="AR11" i="6"/>
  <c r="BV33" i="6"/>
  <c r="BV16" i="6"/>
  <c r="BV31" i="6"/>
  <c r="BV28" i="6"/>
  <c r="BV56" i="6"/>
  <c r="BV44" i="6"/>
  <c r="CI55" i="4"/>
  <c r="AC66" i="4"/>
  <c r="AO85" i="4" s="1"/>
  <c r="AM69" i="4"/>
  <c r="BG88" i="4" s="1"/>
  <c r="N70" i="4"/>
  <c r="N89" i="4" s="1"/>
  <c r="BL70" i="4"/>
  <c r="AO97" i="4" s="1" a="1"/>
  <c r="AO97" i="4" s="1"/>
  <c r="S73" i="4"/>
  <c r="AC74" i="4"/>
  <c r="AM77" i="4"/>
  <c r="BV77" i="4"/>
  <c r="K119" i="5"/>
  <c r="D119" i="5"/>
  <c r="CV47" i="6"/>
  <c r="CV11" i="6"/>
  <c r="CV13" i="6"/>
  <c r="N20" i="6"/>
  <c r="AR21" i="6"/>
  <c r="BV50" i="6"/>
  <c r="BV68" i="4"/>
  <c r="BP95" i="4" s="1" a="1"/>
  <c r="BP95" i="4" s="1"/>
  <c r="AC69" i="4"/>
  <c r="AO88" i="4" s="1"/>
  <c r="I72" i="4"/>
  <c r="AR76" i="4"/>
  <c r="N79" i="4"/>
  <c r="CI57" i="4"/>
  <c r="CL57" i="4"/>
  <c r="CF66" i="4"/>
  <c r="BG68" i="4"/>
  <c r="BL73" i="4"/>
  <c r="X75" i="4"/>
  <c r="X78" i="4"/>
  <c r="X14" i="6"/>
  <c r="BB37" i="6"/>
  <c r="CZ24" i="6"/>
  <c r="CZ25" i="6" s="1"/>
  <c r="BQ66" i="4"/>
  <c r="AX93" i="4" s="1" a="1"/>
  <c r="AX93" i="4" s="1"/>
  <c r="BV67" i="4"/>
  <c r="BP94" i="4" s="1" a="1"/>
  <c r="BP94" i="4" s="1"/>
  <c r="BV71" i="4"/>
  <c r="BP98" i="4" s="1" a="1"/>
  <c r="BP98" i="4" s="1"/>
  <c r="AW73" i="4"/>
  <c r="BB74" i="4"/>
  <c r="BG75" i="4"/>
  <c r="D122" i="5"/>
  <c r="K122" i="5"/>
  <c r="X15" i="6"/>
  <c r="BB33" i="6"/>
  <c r="CI52" i="4"/>
  <c r="AC68" i="4"/>
  <c r="AO87" i="4" s="1"/>
  <c r="CA68" i="4"/>
  <c r="BG71" i="4"/>
  <c r="AF98" i="4" s="1" a="1"/>
  <c r="AF98" i="4" s="1"/>
  <c r="I75" i="4"/>
  <c r="AW76" i="4"/>
  <c r="I78" i="4"/>
  <c r="EJ59" i="6" a="1"/>
  <c r="EJ59" i="6" s="1"/>
  <c r="EG59" i="6" s="1" a="1"/>
  <c r="EG59" i="6" s="1"/>
  <c r="EH59" i="6" a="1"/>
  <c r="EH59" i="6" s="1"/>
  <c r="EI59" i="6" a="1"/>
  <c r="EI59" i="6" s="1"/>
  <c r="CL24" i="6"/>
  <c r="CI24" i="6"/>
  <c r="CR24" i="6"/>
  <c r="CO24" i="6"/>
  <c r="AM75" i="4"/>
  <c r="BG77" i="4"/>
  <c r="CA79" i="4"/>
  <c r="BV56" i="4"/>
  <c r="N56" i="4"/>
  <c r="BB55" i="4"/>
  <c r="AH54" i="4"/>
  <c r="BV53" i="4"/>
  <c r="AH51" i="4"/>
  <c r="AM57" i="4"/>
  <c r="N68" i="4"/>
  <c r="N87" i="4" s="1"/>
  <c r="AH70" i="4"/>
  <c r="AX89" i="4" s="1"/>
  <c r="BB72" i="4"/>
  <c r="BV74" i="4"/>
  <c r="N77" i="4"/>
  <c r="AH79" i="4"/>
  <c r="M128" i="5"/>
  <c r="N128" i="5" s="1"/>
  <c r="K128" i="5"/>
  <c r="AH56" i="6"/>
  <c r="AH53" i="6"/>
  <c r="AH54" i="6"/>
  <c r="AH51" i="6"/>
  <c r="AH26" i="6"/>
  <c r="AH48" i="6"/>
  <c r="AH42" i="6"/>
  <c r="AH34" i="6"/>
  <c r="AH52" i="6"/>
  <c r="AH44" i="6"/>
  <c r="AH35" i="6"/>
  <c r="AH31" i="6"/>
  <c r="AH30" i="6"/>
  <c r="AH21" i="6"/>
  <c r="AH20" i="6"/>
  <c r="AH46" i="6"/>
  <c r="AH19" i="6"/>
  <c r="AH18" i="6"/>
  <c r="AH14" i="6"/>
  <c r="AH10" i="6"/>
  <c r="AH22" i="6"/>
  <c r="AH12" i="6"/>
  <c r="AH11" i="6"/>
  <c r="AH41" i="6"/>
  <c r="AH39" i="6"/>
  <c r="AH23" i="6"/>
  <c r="BL52" i="6"/>
  <c r="BL49" i="6"/>
  <c r="BL46" i="6"/>
  <c r="BL45" i="6"/>
  <c r="BL42" i="6"/>
  <c r="BL39" i="6"/>
  <c r="BL36" i="6"/>
  <c r="BL33" i="6"/>
  <c r="BL35" i="6"/>
  <c r="BL38" i="6"/>
  <c r="BL34" i="6"/>
  <c r="BL26" i="6"/>
  <c r="BL15" i="6"/>
  <c r="BL14" i="6"/>
  <c r="BL29" i="6"/>
  <c r="BL13" i="6"/>
  <c r="BL23" i="6"/>
  <c r="BL51" i="6"/>
  <c r="BL24" i="6"/>
  <c r="BL21" i="6"/>
  <c r="BL28" i="6"/>
  <c r="BL18" i="6"/>
  <c r="BL8" i="6"/>
  <c r="BL41" i="6"/>
  <c r="CV14" i="6"/>
  <c r="I21" i="6"/>
  <c r="AH25" i="6"/>
  <c r="S79" i="4"/>
  <c r="B83" i="6"/>
  <c r="E64" i="6"/>
  <c r="I13" i="6"/>
  <c r="I12" i="6"/>
  <c r="I23" i="6"/>
  <c r="I30" i="6"/>
  <c r="I19" i="6"/>
  <c r="I18" i="6"/>
  <c r="I14" i="6"/>
  <c r="AM20" i="6"/>
  <c r="AM19" i="6"/>
  <c r="AM18" i="6"/>
  <c r="AM17" i="6"/>
  <c r="BQ13" i="6"/>
  <c r="BQ12" i="6"/>
  <c r="BQ22" i="6"/>
  <c r="BQ11" i="6"/>
  <c r="BQ10" i="6"/>
  <c r="BQ51" i="6"/>
  <c r="BQ24" i="6"/>
  <c r="BQ33" i="6"/>
  <c r="BQ37" i="6"/>
  <c r="BQ41" i="6"/>
  <c r="BQ19" i="6"/>
  <c r="DP59" i="6" a="1"/>
  <c r="DP59" i="6" s="1"/>
  <c r="DR59" i="6" a="1"/>
  <c r="DR59" i="6" s="1"/>
  <c r="DO59" i="6" s="1" a="1"/>
  <c r="DO59" i="6" s="1"/>
  <c r="DQ59" i="6" a="1"/>
  <c r="DQ59" i="6" s="1"/>
  <c r="AM14" i="6"/>
  <c r="I15" i="6"/>
  <c r="CL17" i="6"/>
  <c r="CI17" i="6"/>
  <c r="CR17" i="6"/>
  <c r="BL67" i="4"/>
  <c r="AO94" i="4" s="1" a="1"/>
  <c r="AO94" i="4" s="1"/>
  <c r="CF69" i="4"/>
  <c r="X72" i="4"/>
  <c r="AR74" i="4"/>
  <c r="BL76" i="4"/>
  <c r="CF78" i="4"/>
  <c r="J4" i="6"/>
  <c r="BQ32" i="6"/>
  <c r="CR11" i="6"/>
  <c r="CO11" i="6"/>
  <c r="CL11" i="6"/>
  <c r="CI11" i="6"/>
  <c r="BQ14" i="6"/>
  <c r="CR25" i="6"/>
  <c r="CO25" i="6"/>
  <c r="CL25" i="6"/>
  <c r="CI25" i="6"/>
  <c r="BQ35" i="6"/>
  <c r="BB19" i="6"/>
  <c r="BB31" i="6"/>
  <c r="CO52" i="6"/>
  <c r="CL52" i="6"/>
  <c r="CI52" i="6"/>
  <c r="CR52" i="6"/>
  <c r="CF38" i="6"/>
  <c r="CO42" i="6"/>
  <c r="CR42" i="6"/>
  <c r="CL42" i="6"/>
  <c r="CI42" i="6"/>
  <c r="X29" i="6"/>
  <c r="CR51" i="6"/>
  <c r="CL51" i="6"/>
  <c r="CI51" i="6"/>
  <c r="CO51" i="6"/>
  <c r="CV17" i="6"/>
  <c r="X21" i="6"/>
  <c r="S11" i="6"/>
  <c r="S55" i="6"/>
  <c r="S23" i="6"/>
  <c r="S9" i="6"/>
  <c r="S8" i="6"/>
  <c r="S20" i="6"/>
  <c r="S26" i="6"/>
  <c r="AW16" i="6"/>
  <c r="AW26" i="6"/>
  <c r="AW21" i="6"/>
  <c r="AW15" i="6"/>
  <c r="AW14" i="6"/>
  <c r="AW13" i="6"/>
  <c r="AW34" i="6"/>
  <c r="CA30" i="6"/>
  <c r="CO13" i="6"/>
  <c r="CL13" i="6"/>
  <c r="CI26" i="6"/>
  <c r="CO26" i="6"/>
  <c r="CL26" i="6"/>
  <c r="CR26" i="6"/>
  <c r="AW33" i="6"/>
  <c r="S51" i="6"/>
  <c r="BB23" i="6"/>
  <c r="X56" i="6"/>
  <c r="X53" i="6"/>
  <c r="X50" i="6"/>
  <c r="X43" i="6"/>
  <c r="X40" i="6"/>
  <c r="X37" i="6"/>
  <c r="X34" i="6"/>
  <c r="X31" i="6"/>
  <c r="X36" i="6"/>
  <c r="X44" i="6"/>
  <c r="X38" i="6"/>
  <c r="X35" i="6"/>
  <c r="X27" i="6"/>
  <c r="X23" i="6"/>
  <c r="X22" i="6"/>
  <c r="X55" i="6"/>
  <c r="X26" i="6"/>
  <c r="X30" i="6"/>
  <c r="X24" i="6"/>
  <c r="BB57" i="6"/>
  <c r="BB54" i="6"/>
  <c r="BB53" i="6"/>
  <c r="BB51" i="6"/>
  <c r="BB44" i="6"/>
  <c r="BB47" i="6"/>
  <c r="BB28" i="6"/>
  <c r="BB49" i="6"/>
  <c r="BB46" i="6"/>
  <c r="BB40" i="6"/>
  <c r="BB36" i="6"/>
  <c r="BB43" i="6"/>
  <c r="BB35" i="6"/>
  <c r="BB16" i="6"/>
  <c r="BB26" i="6"/>
  <c r="BB21" i="6"/>
  <c r="BB15" i="6"/>
  <c r="BB14" i="6"/>
  <c r="BB13" i="6"/>
  <c r="BB12" i="6"/>
  <c r="CF54" i="6"/>
  <c r="CF53" i="6"/>
  <c r="CF50" i="6"/>
  <c r="CF47" i="6"/>
  <c r="CF55" i="6"/>
  <c r="CF43" i="6"/>
  <c r="CF40" i="6"/>
  <c r="CF37" i="6"/>
  <c r="CF34" i="6"/>
  <c r="CF30" i="6"/>
  <c r="CF29" i="6"/>
  <c r="CF41" i="6"/>
  <c r="CF36" i="6"/>
  <c r="CF33" i="6"/>
  <c r="CF25" i="6"/>
  <c r="CF22" i="6"/>
  <c r="CF11" i="6"/>
  <c r="CF18" i="6"/>
  <c r="CF27" i="6"/>
  <c r="X11" i="6"/>
  <c r="CI13" i="6"/>
  <c r="CF16" i="6"/>
  <c r="X17" i="6"/>
  <c r="CF21" i="6"/>
  <c r="BB22" i="6"/>
  <c r="CI21" i="6"/>
  <c r="CO21" i="6"/>
  <c r="CL21" i="6"/>
  <c r="BB27" i="6"/>
  <c r="X39" i="6"/>
  <c r="CA18" i="6"/>
  <c r="N19" i="6"/>
  <c r="CA19" i="6"/>
  <c r="CA20" i="6"/>
  <c r="AR25" i="6"/>
  <c r="CR28" i="6"/>
  <c r="CL28" i="6"/>
  <c r="CI28" i="6"/>
  <c r="N3" i="7"/>
  <c r="N58" i="7" s="1"/>
  <c r="Q111" i="7" s="1"/>
  <c r="G139" i="7" s="1"/>
  <c r="Q139" i="7" s="1"/>
  <c r="AL82" i="6"/>
  <c r="AU63" i="6"/>
  <c r="I56" i="6"/>
  <c r="I57" i="6"/>
  <c r="I54" i="6"/>
  <c r="I55" i="6"/>
  <c r="I52" i="6"/>
  <c r="I44" i="6"/>
  <c r="I38" i="6"/>
  <c r="I51" i="6"/>
  <c r="I37" i="6"/>
  <c r="I41" i="6"/>
  <c r="I50" i="6"/>
  <c r="I29" i="6"/>
  <c r="I43" i="6"/>
  <c r="I36" i="6"/>
  <c r="I33" i="6"/>
  <c r="I25" i="6"/>
  <c r="AM56" i="6"/>
  <c r="AM43" i="6"/>
  <c r="AM40" i="6"/>
  <c r="AM54" i="6"/>
  <c r="AM51" i="6"/>
  <c r="AM41" i="6"/>
  <c r="AM38" i="6"/>
  <c r="AM29" i="6"/>
  <c r="AM45" i="6"/>
  <c r="AM42" i="6"/>
  <c r="AM47" i="6"/>
  <c r="AM33" i="6"/>
  <c r="AM27" i="6"/>
  <c r="BQ57" i="6"/>
  <c r="BQ54" i="6"/>
  <c r="BQ55" i="6"/>
  <c r="BQ52" i="6"/>
  <c r="BQ45" i="6"/>
  <c r="BQ42" i="6"/>
  <c r="BQ39" i="6"/>
  <c r="BQ47" i="6"/>
  <c r="BQ29" i="6"/>
  <c r="BQ48" i="6"/>
  <c r="BQ44" i="6"/>
  <c r="BQ31" i="6"/>
  <c r="BQ34" i="6"/>
  <c r="I8" i="6"/>
  <c r="BV8" i="6"/>
  <c r="I9" i="6"/>
  <c r="CR19" i="6"/>
  <c r="BV32" i="6"/>
  <c r="CA35" i="6"/>
  <c r="BQ50" i="6"/>
  <c r="CA9" i="6"/>
  <c r="AR15" i="6"/>
  <c r="CA23" i="6"/>
  <c r="N55" i="6"/>
  <c r="N47" i="6"/>
  <c r="N56" i="6"/>
  <c r="N27" i="6"/>
  <c r="N50" i="6"/>
  <c r="N49" i="6"/>
  <c r="N21" i="6"/>
  <c r="N52" i="6"/>
  <c r="N51" i="6"/>
  <c r="N41" i="6"/>
  <c r="N43" i="6"/>
  <c r="N28" i="6"/>
  <c r="N33" i="6"/>
  <c r="N44" i="6"/>
  <c r="N31" i="6"/>
  <c r="N24" i="6"/>
  <c r="N45" i="6"/>
  <c r="AR55" i="6"/>
  <c r="AR48" i="6"/>
  <c r="AR45" i="6"/>
  <c r="AR56" i="6"/>
  <c r="AR53" i="6"/>
  <c r="AR44" i="6"/>
  <c r="AR41" i="6"/>
  <c r="AR38" i="6"/>
  <c r="AR35" i="6"/>
  <c r="AR50" i="6"/>
  <c r="AR47" i="6"/>
  <c r="AR34" i="6"/>
  <c r="AR28" i="6"/>
  <c r="AR31" i="6"/>
  <c r="AR43" i="6"/>
  <c r="AR27" i="6"/>
  <c r="AR40" i="6"/>
  <c r="BV39" i="6"/>
  <c r="BV47" i="6"/>
  <c r="BV46" i="6"/>
  <c r="BV27" i="6"/>
  <c r="BV48" i="6"/>
  <c r="BV25" i="6"/>
  <c r="BV43" i="6"/>
  <c r="BV40" i="6"/>
  <c r="BV30" i="6"/>
  <c r="BV26" i="6"/>
  <c r="BV38" i="6"/>
  <c r="BV34" i="6"/>
  <c r="BV41" i="6"/>
  <c r="BV10" i="6"/>
  <c r="BV11" i="6"/>
  <c r="AR16" i="6"/>
  <c r="CI35" i="6"/>
  <c r="CL35" i="6"/>
  <c r="CO35" i="6"/>
  <c r="AR36" i="6"/>
  <c r="CA10" i="6"/>
  <c r="N11" i="6"/>
  <c r="CA11" i="6"/>
  <c r="AR17" i="6"/>
  <c r="I22" i="6"/>
  <c r="CA22" i="6"/>
  <c r="CR30" i="6"/>
  <c r="CO30" i="6"/>
  <c r="CL30" i="6"/>
  <c r="BQ36" i="6"/>
  <c r="AM37" i="6"/>
  <c r="CV39" i="6"/>
  <c r="AM46" i="6"/>
  <c r="CA54" i="6"/>
  <c r="CA32" i="6"/>
  <c r="S35" i="6"/>
  <c r="CV40" i="6"/>
  <c r="CV43" i="6"/>
  <c r="S25" i="6"/>
  <c r="S54" i="6"/>
  <c r="S53" i="6"/>
  <c r="S43" i="6"/>
  <c r="S40" i="6"/>
  <c r="S37" i="6"/>
  <c r="S34" i="6"/>
  <c r="S31" i="6"/>
  <c r="AW56" i="6"/>
  <c r="AW57" i="6"/>
  <c r="AW54" i="6"/>
  <c r="AW53" i="6"/>
  <c r="AW51" i="6"/>
  <c r="AW44" i="6"/>
  <c r="AW52" i="6"/>
  <c r="AW45" i="6"/>
  <c r="AW55" i="6"/>
  <c r="AW43" i="6"/>
  <c r="AW39" i="6"/>
  <c r="AW35" i="6"/>
  <c r="CA46" i="6"/>
  <c r="CA55" i="6"/>
  <c r="CA48" i="6"/>
  <c r="CA25" i="6"/>
  <c r="CA34" i="6"/>
  <c r="CA31" i="6"/>
  <c r="CA38" i="6"/>
  <c r="CA44" i="6"/>
  <c r="CA39" i="6"/>
  <c r="CA53" i="6"/>
  <c r="CA51" i="6"/>
  <c r="CA41" i="6"/>
  <c r="CR46" i="6"/>
  <c r="CO46" i="6"/>
  <c r="CL46" i="6"/>
  <c r="CI46" i="6"/>
  <c r="S44" i="6"/>
  <c r="CR45" i="6"/>
  <c r="CO45" i="6"/>
  <c r="S52" i="6"/>
  <c r="S32" i="6"/>
  <c r="S33" i="6"/>
  <c r="CI45" i="6"/>
  <c r="CR34" i="6"/>
  <c r="CL34" i="6"/>
  <c r="S47" i="6"/>
  <c r="CR39" i="6"/>
  <c r="CL41" i="6"/>
  <c r="CI41" i="6"/>
  <c r="CR54" i="6"/>
  <c r="CO54" i="6"/>
  <c r="CL54" i="6"/>
  <c r="CR44" i="6"/>
  <c r="CO44" i="6"/>
  <c r="CL44" i="6"/>
  <c r="CI54" i="6"/>
  <c r="CI44" i="6"/>
  <c r="CL38" i="6"/>
  <c r="CI38" i="6"/>
  <c r="CI39" i="6"/>
  <c r="CO47" i="6"/>
  <c r="CI48" i="6"/>
  <c r="CR56" i="6"/>
  <c r="BG87" i="6"/>
  <c r="BG95" i="6" a="1"/>
  <c r="BG95" i="6" s="1"/>
  <c r="CI56" i="6"/>
  <c r="CL56" i="6"/>
  <c r="N57" i="6"/>
  <c r="BV57" i="6"/>
  <c r="U58" i="6"/>
  <c r="X57" i="6"/>
  <c r="CF57" i="6"/>
  <c r="BB75" i="6"/>
  <c r="AH76" i="6"/>
  <c r="N77" i="6"/>
  <c r="BV77" i="6"/>
  <c r="BB78" i="6"/>
  <c r="AH79" i="6"/>
  <c r="M134" i="7"/>
  <c r="N134" i="7" s="1"/>
  <c r="M136" i="7"/>
  <c r="N136" i="7" s="1"/>
  <c r="K136" i="7"/>
  <c r="M127" i="7"/>
  <c r="N127" i="7" s="1"/>
  <c r="M128" i="7"/>
  <c r="N128" i="7" s="1"/>
  <c r="M133" i="7"/>
  <c r="N133" i="7" s="1"/>
  <c r="K137" i="7"/>
  <c r="AO114" i="7" l="1" a="1"/>
  <c r="AO114" i="5" a="1"/>
  <c r="DP60" i="2"/>
  <c r="DP59" i="2"/>
  <c r="DP61" i="2"/>
  <c r="AS114" i="7" a="1"/>
  <c r="AS114" i="5" a="1"/>
  <c r="P96" i="6" a="1"/>
  <c r="P96" i="6" s="1"/>
  <c r="P98" i="6" a="1"/>
  <c r="P98" i="6" s="1"/>
  <c r="P95" i="6" a="1"/>
  <c r="P95" i="6" s="1"/>
  <c r="P94" i="6" a="1"/>
  <c r="P94" i="6" s="1"/>
  <c r="P97" i="6" a="1"/>
  <c r="P97" i="6" s="1"/>
  <c r="P93" i="6" a="1"/>
  <c r="P93" i="6" s="1"/>
  <c r="CL31" i="4"/>
  <c r="CI31" i="4"/>
  <c r="CR31" i="4"/>
  <c r="CO31" i="4"/>
  <c r="CL46" i="4"/>
  <c r="CI46" i="4"/>
  <c r="CO46" i="4"/>
  <c r="CR46" i="4"/>
  <c r="CR45" i="4"/>
  <c r="CL45" i="4"/>
  <c r="CO45" i="4"/>
  <c r="CI45" i="4"/>
  <c r="P95" i="4" a="1"/>
  <c r="P95" i="4" s="1"/>
  <c r="P96" i="4" a="1"/>
  <c r="P96" i="4" s="1"/>
  <c r="P94" i="4" a="1"/>
  <c r="P94" i="4" s="1"/>
  <c r="P93" i="4" a="1"/>
  <c r="P93" i="4" s="1"/>
  <c r="P98" i="4" a="1"/>
  <c r="P98" i="4" s="1"/>
  <c r="P97" i="4" a="1"/>
  <c r="P97" i="4" s="1"/>
  <c r="DP59" i="4" a="1"/>
  <c r="DP59" i="4" s="1"/>
  <c r="F83" i="6"/>
  <c r="J64" i="6"/>
  <c r="O4" i="6"/>
  <c r="DR61" i="2"/>
  <c r="DR59" i="2"/>
  <c r="DO59" i="2" s="1" a="1"/>
  <c r="DO59" i="2" s="1"/>
  <c r="DR60" i="2"/>
  <c r="CR22" i="2"/>
  <c r="CL22" i="2"/>
  <c r="CI22" i="2"/>
  <c r="CO22" i="2"/>
  <c r="CO41" i="2"/>
  <c r="CL41" i="2"/>
  <c r="CI41" i="2"/>
  <c r="CR41" i="2"/>
  <c r="CO21" i="2"/>
  <c r="CL21" i="2"/>
  <c r="CR21" i="2"/>
  <c r="CI21" i="2"/>
  <c r="BG87" i="4"/>
  <c r="BG95" i="4" a="1"/>
  <c r="BG95" i="4" s="1"/>
  <c r="CR23" i="4"/>
  <c r="CL23" i="4"/>
  <c r="CI23" i="4"/>
  <c r="CO23" i="4"/>
  <c r="CV58" i="4"/>
  <c r="CO38" i="2"/>
  <c r="CL38" i="2"/>
  <c r="CI38" i="2"/>
  <c r="CR38" i="2"/>
  <c r="BV40" i="4"/>
  <c r="BV32" i="4"/>
  <c r="AR32" i="4"/>
  <c r="AR43" i="4"/>
  <c r="N52" i="4"/>
  <c r="BQ52" i="4"/>
  <c r="BQ56" i="4"/>
  <c r="AM46" i="4"/>
  <c r="I17" i="4"/>
  <c r="I18" i="4"/>
  <c r="AQ98" i="6" a="1"/>
  <c r="AQ98" i="6" s="1"/>
  <c r="AQ97" i="6" a="1"/>
  <c r="AQ97" i="6" s="1"/>
  <c r="AQ96" i="6" a="1"/>
  <c r="AQ96" i="6" s="1"/>
  <c r="AQ95" i="6" a="1"/>
  <c r="AQ95" i="6" s="1"/>
  <c r="AQ94" i="6" a="1"/>
  <c r="AQ94" i="6" s="1"/>
  <c r="AQ93" i="6" a="1"/>
  <c r="AQ93" i="6" s="1"/>
  <c r="BQ26" i="4"/>
  <c r="CF10" i="4"/>
  <c r="CF9" i="4"/>
  <c r="CF36" i="4"/>
  <c r="BB10" i="4"/>
  <c r="BB34" i="4"/>
  <c r="X18" i="4"/>
  <c r="X21" i="4"/>
  <c r="BB35" i="4"/>
  <c r="CA35" i="4"/>
  <c r="CA44" i="4"/>
  <c r="CA56" i="4"/>
  <c r="AW54" i="4"/>
  <c r="AW57" i="4"/>
  <c r="S31" i="4"/>
  <c r="BG9" i="6"/>
  <c r="BG46" i="6"/>
  <c r="AC21" i="6"/>
  <c r="BV52" i="4"/>
  <c r="S55" i="4"/>
  <c r="S35" i="4"/>
  <c r="C90" i="2" a="1"/>
  <c r="C90" i="2" s="1"/>
  <c r="C86" i="2" a="1"/>
  <c r="C86" i="2" s="1"/>
  <c r="C89" i="2" a="1"/>
  <c r="C89" i="2" s="1"/>
  <c r="C87" i="2" a="1"/>
  <c r="C87" i="2" s="1"/>
  <c r="C85" i="2" a="1"/>
  <c r="C85" i="2" s="1"/>
  <c r="C88" i="2" a="1"/>
  <c r="C88" i="2" s="1"/>
  <c r="BL55" i="4"/>
  <c r="BL33" i="4"/>
  <c r="AH9" i="4"/>
  <c r="AH26" i="4"/>
  <c r="AH45" i="4"/>
  <c r="BG93" i="2" a="1"/>
  <c r="BG93" i="2" s="1"/>
  <c r="BG24" i="4"/>
  <c r="BG30" i="4"/>
  <c r="AC24" i="4"/>
  <c r="AC15" i="4"/>
  <c r="BL41" i="2"/>
  <c r="CL20" i="2"/>
  <c r="CO20" i="2"/>
  <c r="CR20" i="2"/>
  <c r="CI20" i="2"/>
  <c r="BG42" i="2"/>
  <c r="AC37" i="2"/>
  <c r="X54" i="2"/>
  <c r="N52" i="2"/>
  <c r="O64" i="2"/>
  <c r="O83" i="2"/>
  <c r="T4" i="2"/>
  <c r="S46" i="2"/>
  <c r="CF29" i="2"/>
  <c r="BB43" i="2"/>
  <c r="AR37" i="2"/>
  <c r="AW34" i="2"/>
  <c r="CF33" i="2"/>
  <c r="CF10" i="2"/>
  <c r="BQ22" i="2"/>
  <c r="AM44" i="2"/>
  <c r="AM12" i="2"/>
  <c r="BL52" i="2"/>
  <c r="C89" i="4" a="1"/>
  <c r="C89" i="4" s="1"/>
  <c r="C86" i="4" a="1"/>
  <c r="C86" i="4" s="1"/>
  <c r="C85" i="4" a="1"/>
  <c r="C85" i="4" s="1"/>
  <c r="C87" i="4" a="1"/>
  <c r="C87" i="4" s="1"/>
  <c r="C90" i="4" a="1"/>
  <c r="C90" i="4" s="1"/>
  <c r="C88" i="4" a="1"/>
  <c r="C88" i="4" s="1"/>
  <c r="CR25" i="4"/>
  <c r="CI25" i="4"/>
  <c r="CO25" i="4"/>
  <c r="CL25" i="4"/>
  <c r="CI27" i="4"/>
  <c r="CL27" i="4"/>
  <c r="CR27" i="4"/>
  <c r="CO27" i="4"/>
  <c r="EH59" i="2"/>
  <c r="AP59" i="3" s="1" a="1"/>
  <c r="EH60" i="2"/>
  <c r="S40" i="2"/>
  <c r="I35" i="2"/>
  <c r="BG17" i="2"/>
  <c r="BG38" i="2"/>
  <c r="AC36" i="2"/>
  <c r="BL16" i="2"/>
  <c r="N54" i="2"/>
  <c r="AH33" i="2"/>
  <c r="BB35" i="2"/>
  <c r="BV30" i="2"/>
  <c r="BL11" i="2"/>
  <c r="I27" i="2"/>
  <c r="BV52" i="2"/>
  <c r="AW33" i="2"/>
  <c r="BQ9" i="2"/>
  <c r="AM27" i="2"/>
  <c r="BG97" i="6" a="1"/>
  <c r="BG97" i="6" s="1"/>
  <c r="B10" i="6"/>
  <c r="EH59" i="4" a="1"/>
  <c r="EH59" i="4" s="1"/>
  <c r="Y98" i="6" a="1"/>
  <c r="Y98" i="6" s="1"/>
  <c r="Y97" i="6" a="1"/>
  <c r="Y97" i="6" s="1"/>
  <c r="Y96" i="6" a="1"/>
  <c r="Y96" i="6" s="1"/>
  <c r="Y95" i="6" a="1"/>
  <c r="Y95" i="6" s="1"/>
  <c r="Y94" i="6" a="1"/>
  <c r="Y94" i="6" s="1"/>
  <c r="Y93" i="6" a="1"/>
  <c r="Y93" i="6" s="1"/>
  <c r="BI98" i="6" a="1"/>
  <c r="BI98" i="6" s="1"/>
  <c r="BI97" i="6" a="1"/>
  <c r="BI97" i="6" s="1"/>
  <c r="BI96" i="6" a="1"/>
  <c r="BI96" i="6" s="1"/>
  <c r="BI95" i="6" a="1"/>
  <c r="BI95" i="6" s="1"/>
  <c r="BI94" i="6" a="1"/>
  <c r="BI94" i="6" s="1"/>
  <c r="BI93" i="6" a="1"/>
  <c r="BI93" i="6" s="1"/>
  <c r="CL28" i="4"/>
  <c r="CI28" i="4"/>
  <c r="CR28" i="4"/>
  <c r="CO28" i="4"/>
  <c r="EI59" i="4" a="1"/>
  <c r="EI59" i="4" s="1"/>
  <c r="I46" i="4"/>
  <c r="C98" i="6" a="1"/>
  <c r="C98" i="6" s="1"/>
  <c r="C95" i="6" a="1"/>
  <c r="C95" i="6" s="1"/>
  <c r="C97" i="6" a="1"/>
  <c r="C97" i="6" s="1"/>
  <c r="C94" i="6" a="1"/>
  <c r="C94" i="6" s="1"/>
  <c r="C96" i="6" a="1"/>
  <c r="C96" i="6" s="1"/>
  <c r="C93" i="6" a="1"/>
  <c r="C93" i="6" s="1"/>
  <c r="BQ45" i="4"/>
  <c r="BB21" i="4"/>
  <c r="BB43" i="4"/>
  <c r="CA24" i="4"/>
  <c r="AW31" i="4"/>
  <c r="AH8" i="4"/>
  <c r="BL25" i="4"/>
  <c r="AH49" i="4"/>
  <c r="CS49" i="4" s="1"/>
  <c r="G97" i="4" a="1"/>
  <c r="G97" i="4" s="1"/>
  <c r="G98" i="4" a="1"/>
  <c r="G98" i="4" s="1"/>
  <c r="G94" i="4" a="1"/>
  <c r="G94" i="4" s="1"/>
  <c r="G96" i="4" a="1"/>
  <c r="G96" i="4" s="1"/>
  <c r="G95" i="4" a="1"/>
  <c r="G95" i="4" s="1"/>
  <c r="G93" i="4" a="1"/>
  <c r="G93" i="4" s="1"/>
  <c r="BG47" i="4"/>
  <c r="I58" i="6"/>
  <c r="I59" i="6"/>
  <c r="I60" i="6"/>
  <c r="AW19" i="6"/>
  <c r="AW12" i="6"/>
  <c r="S30" i="6"/>
  <c r="S27" i="6"/>
  <c r="AW22" i="6"/>
  <c r="CA21" i="6"/>
  <c r="S24" i="6"/>
  <c r="AW23" i="6"/>
  <c r="S14" i="6"/>
  <c r="CA26" i="6"/>
  <c r="AW18" i="6"/>
  <c r="S12" i="6"/>
  <c r="CS12" i="6" s="1"/>
  <c r="CA17" i="6"/>
  <c r="S13" i="6"/>
  <c r="CA36" i="6"/>
  <c r="S29" i="6"/>
  <c r="AW37" i="6"/>
  <c r="CF15" i="6"/>
  <c r="S22" i="6"/>
  <c r="AW20" i="6"/>
  <c r="BB32" i="6"/>
  <c r="S21" i="6"/>
  <c r="CS21" i="6" s="1"/>
  <c r="X16" i="6"/>
  <c r="BB11" i="6"/>
  <c r="CF10" i="6"/>
  <c r="AW32" i="6"/>
  <c r="S16" i="6"/>
  <c r="AW11" i="6"/>
  <c r="CA52" i="6"/>
  <c r="AW28" i="6"/>
  <c r="CA27" i="6"/>
  <c r="CF24" i="6"/>
  <c r="CF12" i="6"/>
  <c r="X12" i="6"/>
  <c r="AW10" i="6"/>
  <c r="AM9" i="6"/>
  <c r="CS9" i="6" s="1"/>
  <c r="AM10" i="6"/>
  <c r="CA13" i="6"/>
  <c r="X10" i="6"/>
  <c r="I34" i="6"/>
  <c r="S10" i="6"/>
  <c r="AM13" i="6"/>
  <c r="BQ8" i="6"/>
  <c r="BB8" i="6"/>
  <c r="BV20" i="6"/>
  <c r="BB17" i="6"/>
  <c r="AW8" i="6"/>
  <c r="BQ20" i="6"/>
  <c r="S17" i="6"/>
  <c r="BB10" i="6"/>
  <c r="AM8" i="6"/>
  <c r="CA16" i="6"/>
  <c r="CF14" i="6"/>
  <c r="N16" i="6"/>
  <c r="CA14" i="6"/>
  <c r="BB20" i="6"/>
  <c r="I16" i="6"/>
  <c r="CA15" i="6"/>
  <c r="BV14" i="6"/>
  <c r="BV15" i="6"/>
  <c r="CA12" i="6"/>
  <c r="AR12" i="6"/>
  <c r="AW9" i="6"/>
  <c r="CA8" i="6"/>
  <c r="I26" i="6"/>
  <c r="AH15" i="6"/>
  <c r="AH47" i="6"/>
  <c r="S15" i="6"/>
  <c r="CS15" i="6" s="1"/>
  <c r="N26" i="6"/>
  <c r="BL27" i="6"/>
  <c r="AH8" i="6"/>
  <c r="AR9" i="6"/>
  <c r="AM28" i="6"/>
  <c r="BQ53" i="6"/>
  <c r="AM11" i="6"/>
  <c r="BG53" i="6"/>
  <c r="AC51" i="6"/>
  <c r="AC31" i="6"/>
  <c r="AC26" i="6"/>
  <c r="AC41" i="6"/>
  <c r="BG42" i="6"/>
  <c r="BG49" i="6"/>
  <c r="BG12" i="6"/>
  <c r="BG20" i="6"/>
  <c r="N8" i="6"/>
  <c r="CS8" i="6" s="1"/>
  <c r="BV13" i="6"/>
  <c r="BV18" i="6"/>
  <c r="S38" i="6"/>
  <c r="CF17" i="6"/>
  <c r="CF26" i="6"/>
  <c r="AH37" i="6"/>
  <c r="AH57" i="6"/>
  <c r="AH29" i="6"/>
  <c r="BL50" i="6"/>
  <c r="BL30" i="6"/>
  <c r="BL54" i="6"/>
  <c r="BL31" i="6"/>
  <c r="I24" i="6"/>
  <c r="AM34" i="6"/>
  <c r="BQ21" i="6"/>
  <c r="CF42" i="6"/>
  <c r="S19" i="6"/>
  <c r="CS19" i="6" s="1"/>
  <c r="AW29" i="6"/>
  <c r="X47" i="6"/>
  <c r="X33" i="6"/>
  <c r="X46" i="6"/>
  <c r="BB38" i="6"/>
  <c r="BB30" i="6"/>
  <c r="BB29" i="6"/>
  <c r="CF44" i="6"/>
  <c r="CF52" i="6"/>
  <c r="CF35" i="6"/>
  <c r="I47" i="6"/>
  <c r="I31" i="6"/>
  <c r="AM57" i="6"/>
  <c r="AM35" i="6"/>
  <c r="AM30" i="6"/>
  <c r="BQ43" i="6"/>
  <c r="BV9" i="6"/>
  <c r="BQ30" i="6"/>
  <c r="N25" i="6"/>
  <c r="N40" i="6"/>
  <c r="AR54" i="6"/>
  <c r="AR24" i="6"/>
  <c r="AR30" i="6"/>
  <c r="BV23" i="6"/>
  <c r="BV29" i="6"/>
  <c r="N54" i="6"/>
  <c r="AR18" i="6"/>
  <c r="S48" i="6"/>
  <c r="S28" i="6"/>
  <c r="AW41" i="6"/>
  <c r="CA42" i="6"/>
  <c r="CA28" i="6"/>
  <c r="AW40" i="6"/>
  <c r="BB52" i="6"/>
  <c r="CF32" i="6"/>
  <c r="CA33" i="6"/>
  <c r="I45" i="6"/>
  <c r="AM32" i="6"/>
  <c r="BQ56" i="6"/>
  <c r="AR14" i="6"/>
  <c r="N23" i="6"/>
  <c r="N36" i="6"/>
  <c r="CS36" i="6" s="1"/>
  <c r="AR22" i="6"/>
  <c r="BV21" i="6"/>
  <c r="CA29" i="6"/>
  <c r="S56" i="6"/>
  <c r="AW38" i="6"/>
  <c r="CA49" i="6"/>
  <c r="BB56" i="6"/>
  <c r="CS56" i="6" s="1"/>
  <c r="AC47" i="6"/>
  <c r="AC24" i="6"/>
  <c r="BG36" i="6"/>
  <c r="BG23" i="6"/>
  <c r="AC45" i="6"/>
  <c r="AC27" i="6"/>
  <c r="AC30" i="6"/>
  <c r="AC13" i="6"/>
  <c r="BG39" i="6"/>
  <c r="BG26" i="6"/>
  <c r="BG22" i="6"/>
  <c r="BG28" i="6"/>
  <c r="N35" i="6"/>
  <c r="BV12" i="6"/>
  <c r="AW46" i="6"/>
  <c r="AH45" i="6"/>
  <c r="AH55" i="6"/>
  <c r="CS55" i="6" s="1"/>
  <c r="AH27" i="6"/>
  <c r="BL47" i="6"/>
  <c r="BL43" i="6"/>
  <c r="BL48" i="6"/>
  <c r="BL32" i="6"/>
  <c r="I17" i="6"/>
  <c r="AM39" i="6"/>
  <c r="BQ16" i="6"/>
  <c r="S18" i="6"/>
  <c r="AW25" i="6"/>
  <c r="X49" i="6"/>
  <c r="X52" i="6"/>
  <c r="CS52" i="6" s="1"/>
  <c r="X19" i="6"/>
  <c r="BB48" i="6"/>
  <c r="BB25" i="6"/>
  <c r="CF46" i="6"/>
  <c r="CF20" i="6"/>
  <c r="I46" i="6"/>
  <c r="AM50" i="6"/>
  <c r="BQ40" i="6"/>
  <c r="AM36" i="6"/>
  <c r="AR51" i="6"/>
  <c r="AR26" i="6"/>
  <c r="BV53" i="6"/>
  <c r="N22" i="6"/>
  <c r="CS22" i="6" s="1"/>
  <c r="S46" i="6"/>
  <c r="CA47" i="6"/>
  <c r="AC55" i="6"/>
  <c r="AC18" i="6"/>
  <c r="BG57" i="6"/>
  <c r="BG27" i="6"/>
  <c r="BG34" i="6"/>
  <c r="AC57" i="6"/>
  <c r="AC48" i="6"/>
  <c r="AC36" i="6"/>
  <c r="AC12" i="6"/>
  <c r="AC25" i="6"/>
  <c r="BG44" i="6"/>
  <c r="BG50" i="6"/>
  <c r="BG15" i="6"/>
  <c r="BG24" i="6"/>
  <c r="AC40" i="6"/>
  <c r="AC28" i="6"/>
  <c r="AC20" i="6"/>
  <c r="AC29" i="6"/>
  <c r="BG55" i="6"/>
  <c r="BG29" i="6"/>
  <c r="BG21" i="6"/>
  <c r="BG32" i="6"/>
  <c r="I28" i="4"/>
  <c r="BV18" i="4"/>
  <c r="BV44" i="4"/>
  <c r="AR53" i="4"/>
  <c r="N22" i="4"/>
  <c r="N57" i="4"/>
  <c r="AM33" i="4"/>
  <c r="AM50" i="4"/>
  <c r="I48" i="4"/>
  <c r="AM28" i="4"/>
  <c r="CF52" i="4"/>
  <c r="X46" i="4"/>
  <c r="X11" i="4"/>
  <c r="CA30" i="4"/>
  <c r="AW17" i="4"/>
  <c r="AW26" i="4"/>
  <c r="S30" i="4"/>
  <c r="BG16" i="6"/>
  <c r="BG19" i="6"/>
  <c r="AC54" i="6"/>
  <c r="BQ28" i="4"/>
  <c r="BQ25" i="4"/>
  <c r="BL36" i="4"/>
  <c r="AH31" i="4"/>
  <c r="AQ96" i="4" a="1"/>
  <c r="AQ96" i="4" s="1"/>
  <c r="AQ93" i="4" a="1"/>
  <c r="AQ93" i="4" s="1"/>
  <c r="AQ97" i="4" a="1"/>
  <c r="AQ97" i="4" s="1"/>
  <c r="AQ95" i="4" a="1"/>
  <c r="AQ95" i="4" s="1"/>
  <c r="AQ98" i="4" a="1"/>
  <c r="AQ98" i="4" s="1"/>
  <c r="AQ94" i="4" a="1"/>
  <c r="AQ94" i="4" s="1"/>
  <c r="C93" i="4" a="1"/>
  <c r="C93" i="4" s="1"/>
  <c r="C98" i="4" a="1"/>
  <c r="C98" i="4" s="1"/>
  <c r="C95" i="4" a="1"/>
  <c r="C95" i="4" s="1"/>
  <c r="C94" i="4" a="1"/>
  <c r="C94" i="4" s="1"/>
  <c r="C96" i="4" a="1"/>
  <c r="C96" i="4" s="1"/>
  <c r="C97" i="4" a="1"/>
  <c r="C97" i="4" s="1"/>
  <c r="BG23" i="4"/>
  <c r="AC40" i="4"/>
  <c r="AC39" i="6"/>
  <c r="AW30" i="6"/>
  <c r="CA37" i="6"/>
  <c r="AW27" i="6"/>
  <c r="S57" i="6"/>
  <c r="CS57" i="6" s="1"/>
  <c r="S49" i="6"/>
  <c r="BV54" i="6"/>
  <c r="BV42" i="6"/>
  <c r="AR42" i="6"/>
  <c r="AR57" i="6"/>
  <c r="N29" i="6"/>
  <c r="CS29" i="6" s="1"/>
  <c r="N48" i="6"/>
  <c r="BQ23" i="6"/>
  <c r="BQ38" i="6"/>
  <c r="AM48" i="6"/>
  <c r="AM44" i="6"/>
  <c r="I40" i="6"/>
  <c r="I27" i="6"/>
  <c r="CA56" i="6"/>
  <c r="CF19" i="6"/>
  <c r="CF39" i="6"/>
  <c r="CF56" i="6"/>
  <c r="BB24" i="6"/>
  <c r="BB50" i="6"/>
  <c r="X18" i="6"/>
  <c r="X42" i="6"/>
  <c r="X45" i="6"/>
  <c r="AW24" i="6"/>
  <c r="AM25" i="6"/>
  <c r="BQ26" i="6"/>
  <c r="AM23" i="6"/>
  <c r="I53" i="6"/>
  <c r="BL10" i="6"/>
  <c r="BL25" i="6"/>
  <c r="BL55" i="6"/>
  <c r="AH16" i="6"/>
  <c r="AH38" i="6"/>
  <c r="AH40" i="6"/>
  <c r="BV51" i="6"/>
  <c r="AR10" i="6"/>
  <c r="N14" i="6"/>
  <c r="I35" i="6"/>
  <c r="CS35" i="6" s="1"/>
  <c r="I60" i="2"/>
  <c r="I59" i="2"/>
  <c r="BG16" i="2"/>
  <c r="BG12" i="2"/>
  <c r="CF19" i="2"/>
  <c r="AC13" i="2"/>
  <c r="S32" i="2"/>
  <c r="AC25" i="2"/>
  <c r="X17" i="2"/>
  <c r="BB15" i="2"/>
  <c r="AC12" i="2"/>
  <c r="CA9" i="2"/>
  <c r="S44" i="2"/>
  <c r="CS44" i="2" s="1"/>
  <c r="CU44" i="2" s="1"/>
  <c r="CT44" i="4" s="1"/>
  <c r="S39" i="2"/>
  <c r="BB33" i="2"/>
  <c r="S30" i="2"/>
  <c r="S17" i="2"/>
  <c r="AW14" i="2"/>
  <c r="S8" i="2"/>
  <c r="CA37" i="2"/>
  <c r="BG29" i="2"/>
  <c r="CF27" i="2"/>
  <c r="AR19" i="2"/>
  <c r="CF8" i="2"/>
  <c r="AM35" i="2"/>
  <c r="S21" i="2"/>
  <c r="AW18" i="2"/>
  <c r="CF16" i="2"/>
  <c r="I16" i="2"/>
  <c r="AC15" i="2"/>
  <c r="CF12" i="2"/>
  <c r="S11" i="2"/>
  <c r="AM10" i="2"/>
  <c r="AC18" i="2"/>
  <c r="BG8" i="2"/>
  <c r="CF9" i="2"/>
  <c r="X52" i="2"/>
  <c r="X23" i="2"/>
  <c r="BG14" i="2"/>
  <c r="X42" i="2"/>
  <c r="AC24" i="2"/>
  <c r="BG10" i="2"/>
  <c r="CA34" i="2"/>
  <c r="X33" i="2"/>
  <c r="S26" i="2"/>
  <c r="S24" i="2"/>
  <c r="AC20" i="2"/>
  <c r="N16" i="2"/>
  <c r="X11" i="2"/>
  <c r="CA48" i="2"/>
  <c r="BB29" i="2"/>
  <c r="BV27" i="2"/>
  <c r="AC27" i="2"/>
  <c r="BG11" i="2"/>
  <c r="AC30" i="2"/>
  <c r="AC16" i="2"/>
  <c r="X8" i="2"/>
  <c r="AC26" i="2"/>
  <c r="S23" i="2"/>
  <c r="BG19" i="2"/>
  <c r="CA13" i="2"/>
  <c r="N50" i="2"/>
  <c r="I58" i="2"/>
  <c r="AC43" i="2"/>
  <c r="AC32" i="2"/>
  <c r="BG28" i="2"/>
  <c r="AW42" i="2"/>
  <c r="CF38" i="2"/>
  <c r="AW20" i="2"/>
  <c r="CA18" i="2"/>
  <c r="BB11" i="2"/>
  <c r="S56" i="2"/>
  <c r="S52" i="2"/>
  <c r="CA38" i="2"/>
  <c r="X12" i="2"/>
  <c r="AR35" i="2"/>
  <c r="N25" i="2"/>
  <c r="X22" i="2"/>
  <c r="X21" i="2"/>
  <c r="BG18" i="2"/>
  <c r="CF17" i="2"/>
  <c r="BV54" i="2"/>
  <c r="AR46" i="2"/>
  <c r="BV34" i="2"/>
  <c r="CA31" i="2"/>
  <c r="I24" i="2"/>
  <c r="CS24" i="2" s="1"/>
  <c r="CU24" i="2" s="1"/>
  <c r="CT24" i="4" s="1"/>
  <c r="CF23" i="2"/>
  <c r="S22" i="2"/>
  <c r="X20" i="2"/>
  <c r="AM19" i="2"/>
  <c r="CA17" i="2"/>
  <c r="AC14" i="2"/>
  <c r="BV13" i="2"/>
  <c r="BG9" i="2"/>
  <c r="CA8" i="2"/>
  <c r="BG26" i="2"/>
  <c r="AC23" i="2"/>
  <c r="BG20" i="2"/>
  <c r="AC17" i="2"/>
  <c r="X13" i="2"/>
  <c r="AC40" i="2"/>
  <c r="S13" i="2"/>
  <c r="X25" i="2"/>
  <c r="X16" i="2"/>
  <c r="N42" i="2"/>
  <c r="AC38" i="2"/>
  <c r="BQ37" i="2"/>
  <c r="S33" i="2"/>
  <c r="AC28" i="2"/>
  <c r="AC22" i="2"/>
  <c r="CF13" i="2"/>
  <c r="S12" i="2"/>
  <c r="BB10" i="2"/>
  <c r="CF48" i="2"/>
  <c r="BB47" i="2"/>
  <c r="BG46" i="2"/>
  <c r="AR10" i="2"/>
  <c r="I25" i="2"/>
  <c r="BB55" i="2"/>
  <c r="I50" i="2"/>
  <c r="AM46" i="2"/>
  <c r="CA23" i="2"/>
  <c r="BV17" i="2"/>
  <c r="S14" i="2"/>
  <c r="AW36" i="2"/>
  <c r="CA16" i="2"/>
  <c r="AH19" i="2"/>
  <c r="AM18" i="2"/>
  <c r="BV8" i="2"/>
  <c r="N22" i="2"/>
  <c r="X15" i="2"/>
  <c r="N33" i="2"/>
  <c r="BQ13" i="2"/>
  <c r="CF32" i="2"/>
  <c r="AW29" i="2"/>
  <c r="AC10" i="2"/>
  <c r="BL37" i="2"/>
  <c r="BQ34" i="2"/>
  <c r="N21" i="2"/>
  <c r="CS21" i="2" s="1"/>
  <c r="CU21" i="2" s="1"/>
  <c r="CT21" i="4" s="1"/>
  <c r="BQ27" i="2"/>
  <c r="S38" i="2"/>
  <c r="AH35" i="2"/>
  <c r="AC47" i="2"/>
  <c r="S20" i="2"/>
  <c r="CA12" i="2"/>
  <c r="N11" i="2"/>
  <c r="BV31" i="2"/>
  <c r="BL54" i="2"/>
  <c r="BB9" i="2"/>
  <c r="BG48" i="2"/>
  <c r="BV41" i="2"/>
  <c r="AC54" i="2"/>
  <c r="AR15" i="2"/>
  <c r="BL20" i="2"/>
  <c r="I57" i="2"/>
  <c r="AM55" i="2"/>
  <c r="BQ52" i="2"/>
  <c r="BQ46" i="2"/>
  <c r="N17" i="2"/>
  <c r="BV29" i="2"/>
  <c r="BV32" i="2"/>
  <c r="BL14" i="2"/>
  <c r="AH30" i="2"/>
  <c r="BL44" i="2"/>
  <c r="AR12" i="2"/>
  <c r="AM30" i="2"/>
  <c r="BV14" i="2"/>
  <c r="AR34" i="2"/>
  <c r="AH31" i="2"/>
  <c r="I12" i="2"/>
  <c r="AR56" i="2"/>
  <c r="AR23" i="2"/>
  <c r="BB22" i="2"/>
  <c r="CF47" i="2"/>
  <c r="CF31" i="2"/>
  <c r="AM36" i="2"/>
  <c r="AH51" i="2"/>
  <c r="N27" i="2"/>
  <c r="CA36" i="2"/>
  <c r="X36" i="2"/>
  <c r="I14" i="2"/>
  <c r="BQ23" i="2"/>
  <c r="AC48" i="2"/>
  <c r="BG53" i="2"/>
  <c r="BG25" i="2"/>
  <c r="X10" i="2"/>
  <c r="AC19" i="2"/>
  <c r="AR29" i="2"/>
  <c r="AW21" i="2"/>
  <c r="CA45" i="2"/>
  <c r="AW11" i="2"/>
  <c r="AR54" i="2"/>
  <c r="BG45" i="2"/>
  <c r="N36" i="2"/>
  <c r="BB27" i="2"/>
  <c r="AR18" i="2"/>
  <c r="AC9" i="2"/>
  <c r="AH49" i="2"/>
  <c r="S51" i="2"/>
  <c r="BQ41" i="2"/>
  <c r="AM50" i="2"/>
  <c r="AW26" i="2"/>
  <c r="AR20" i="2"/>
  <c r="BQ20" i="2"/>
  <c r="BB44" i="2"/>
  <c r="X9" i="2"/>
  <c r="AH45" i="2"/>
  <c r="X49" i="2"/>
  <c r="BV25" i="2"/>
  <c r="AC35" i="2"/>
  <c r="BG21" i="2"/>
  <c r="BL31" i="2"/>
  <c r="AW39" i="2"/>
  <c r="AW51" i="2"/>
  <c r="S53" i="2"/>
  <c r="CF34" i="2"/>
  <c r="I17" i="2"/>
  <c r="I48" i="2"/>
  <c r="BV18" i="2"/>
  <c r="X37" i="2"/>
  <c r="BL19" i="2"/>
  <c r="I49" i="2"/>
  <c r="AM56" i="2"/>
  <c r="BQ49" i="2"/>
  <c r="BQ42" i="2"/>
  <c r="BV57" i="2"/>
  <c r="BL33" i="2"/>
  <c r="BL15" i="2"/>
  <c r="N31" i="2"/>
  <c r="N45" i="2"/>
  <c r="CS45" i="2" s="1"/>
  <c r="CU45" i="2" s="1"/>
  <c r="CT45" i="4" s="1"/>
  <c r="AH22" i="2"/>
  <c r="AW27" i="2"/>
  <c r="BQ14" i="2"/>
  <c r="X31" i="2"/>
  <c r="AW8" i="2"/>
  <c r="CZ27" i="2" s="1" a="1"/>
  <c r="CA15" i="2"/>
  <c r="BB24" i="2"/>
  <c r="N19" i="2"/>
  <c r="BL32" i="2"/>
  <c r="AH14" i="2"/>
  <c r="AR33" i="2"/>
  <c r="AR22" i="2"/>
  <c r="AH17" i="2"/>
  <c r="BB51" i="2"/>
  <c r="CF41" i="2"/>
  <c r="CF25" i="2"/>
  <c r="I38" i="2"/>
  <c r="AH50" i="2"/>
  <c r="AH46" i="2"/>
  <c r="AR21" i="2"/>
  <c r="CA27" i="2"/>
  <c r="X41" i="2"/>
  <c r="CA24" i="2"/>
  <c r="AC45" i="2"/>
  <c r="BG56" i="2"/>
  <c r="BG24" i="2"/>
  <c r="CF30" i="2"/>
  <c r="AW24" i="2"/>
  <c r="CA46" i="2"/>
  <c r="CA53" i="2"/>
  <c r="AH44" i="2"/>
  <c r="AW35" i="2"/>
  <c r="BV26" i="2"/>
  <c r="BQ17" i="2"/>
  <c r="BB8" i="2"/>
  <c r="BQ48" i="2"/>
  <c r="BB50" i="2"/>
  <c r="I41" i="2"/>
  <c r="BV15" i="2"/>
  <c r="AW16" i="2"/>
  <c r="I37" i="2"/>
  <c r="CA20" i="2"/>
  <c r="AH15" i="2"/>
  <c r="CF40" i="2"/>
  <c r="AH36" i="2"/>
  <c r="CA26" i="2"/>
  <c r="BG36" i="2"/>
  <c r="I11" i="2"/>
  <c r="CS11" i="2" s="1"/>
  <c r="CU11" i="2" s="1"/>
  <c r="CT11" i="4" s="1"/>
  <c r="BQ43" i="2"/>
  <c r="N26" i="2"/>
  <c r="BB57" i="2"/>
  <c r="AC49" i="2"/>
  <c r="BG40" i="2"/>
  <c r="BB25" i="2"/>
  <c r="BL17" i="2"/>
  <c r="I32" i="2"/>
  <c r="AM32" i="2"/>
  <c r="BQ44" i="2"/>
  <c r="BQ54" i="2"/>
  <c r="CF50" i="2"/>
  <c r="BV50" i="2"/>
  <c r="AM39" i="2"/>
  <c r="AM16" i="2"/>
  <c r="X32" i="2"/>
  <c r="AM52" i="2"/>
  <c r="AH28" i="2"/>
  <c r="CA33" i="2"/>
  <c r="CS33" i="2" s="1"/>
  <c r="CU33" i="2" s="1"/>
  <c r="CT33" i="4" s="1"/>
  <c r="BQ26" i="2"/>
  <c r="AR8" i="2"/>
  <c r="BQ40" i="2"/>
  <c r="N15" i="2"/>
  <c r="N20" i="2"/>
  <c r="CS20" i="2" s="1"/>
  <c r="CU20" i="2" s="1"/>
  <c r="CT20" i="4" s="1"/>
  <c r="AM20" i="2"/>
  <c r="BL57" i="2"/>
  <c r="BL43" i="2"/>
  <c r="AM48" i="2"/>
  <c r="AM14" i="2"/>
  <c r="BQ16" i="2"/>
  <c r="N8" i="2"/>
  <c r="AH20" i="2"/>
  <c r="BG35" i="2"/>
  <c r="AW53" i="2"/>
  <c r="AM21" i="2"/>
  <c r="BV56" i="2"/>
  <c r="CS56" i="2" s="1"/>
  <c r="CU56" i="2" s="1"/>
  <c r="CT56" i="4" s="1"/>
  <c r="BQ51" i="2"/>
  <c r="BV19" i="2"/>
  <c r="I34" i="2"/>
  <c r="BQ21" i="2"/>
  <c r="AM40" i="2"/>
  <c r="I10" i="2"/>
  <c r="S18" i="2"/>
  <c r="BL28" i="2"/>
  <c r="AW40" i="2"/>
  <c r="BL23" i="2"/>
  <c r="I36" i="2"/>
  <c r="BQ36" i="2"/>
  <c r="AR32" i="2"/>
  <c r="AR40" i="2"/>
  <c r="BB48" i="2"/>
  <c r="BB38" i="2"/>
  <c r="CF42" i="2"/>
  <c r="BB45" i="2"/>
  <c r="AH55" i="2"/>
  <c r="CS55" i="2" s="1"/>
  <c r="CU55" i="2" s="1"/>
  <c r="CT55" i="4" s="1"/>
  <c r="BL9" i="2"/>
  <c r="N47" i="2"/>
  <c r="X39" i="2"/>
  <c r="X38" i="2"/>
  <c r="BB17" i="2"/>
  <c r="CA30" i="2"/>
  <c r="AC34" i="2"/>
  <c r="BG51" i="2"/>
  <c r="BG47" i="2"/>
  <c r="BL13" i="2"/>
  <c r="I22" i="2"/>
  <c r="BL34" i="2"/>
  <c r="S47" i="2"/>
  <c r="AW54" i="2"/>
  <c r="CA35" i="2"/>
  <c r="BL50" i="2"/>
  <c r="CA41" i="2"/>
  <c r="BL49" i="2"/>
  <c r="BL45" i="2"/>
  <c r="I42" i="2"/>
  <c r="AM57" i="2"/>
  <c r="AM43" i="2"/>
  <c r="BQ39" i="2"/>
  <c r="I13" i="2"/>
  <c r="X24" i="2"/>
  <c r="AW38" i="2"/>
  <c r="BV51" i="2"/>
  <c r="BV45" i="2"/>
  <c r="S31" i="2"/>
  <c r="CS31" i="2" s="1"/>
  <c r="CU31" i="2" s="1"/>
  <c r="CT31" i="4" s="1"/>
  <c r="AR39" i="2"/>
  <c r="AH24" i="2"/>
  <c r="AW46" i="2"/>
  <c r="AR24" i="2"/>
  <c r="BV44" i="2"/>
  <c r="AW12" i="2"/>
  <c r="BV20" i="2"/>
  <c r="AW30" i="2"/>
  <c r="AH43" i="2"/>
  <c r="S50" i="2"/>
  <c r="CF26" i="2"/>
  <c r="AR43" i="2"/>
  <c r="AR51" i="2"/>
  <c r="AH8" i="2"/>
  <c r="BB26" i="2"/>
  <c r="BB16" i="2"/>
  <c r="CF52" i="2"/>
  <c r="AM31" i="2"/>
  <c r="CF49" i="2"/>
  <c r="AH48" i="2"/>
  <c r="N13" i="2"/>
  <c r="N28" i="2"/>
  <c r="X40" i="2"/>
  <c r="CF20" i="2"/>
  <c r="AC33" i="2"/>
  <c r="BG27" i="2"/>
  <c r="BG41" i="2"/>
  <c r="BV16" i="2"/>
  <c r="BG37" i="2"/>
  <c r="S55" i="2"/>
  <c r="CA57" i="2"/>
  <c r="AW43" i="2"/>
  <c r="N9" i="2"/>
  <c r="BL25" i="2"/>
  <c r="BL40" i="2"/>
  <c r="I29" i="2"/>
  <c r="CS29" i="2" s="1"/>
  <c r="CU29" i="2" s="1"/>
  <c r="CT29" i="4" s="1"/>
  <c r="AM41" i="2"/>
  <c r="AM42" i="2"/>
  <c r="BQ38" i="2"/>
  <c r="AR14" i="2"/>
  <c r="S25" i="2"/>
  <c r="N39" i="2"/>
  <c r="CS39" i="2" s="1"/>
  <c r="CU39" i="2" s="1"/>
  <c r="CT39" i="4" s="1"/>
  <c r="BV47" i="2"/>
  <c r="BV40" i="2"/>
  <c r="I9" i="2"/>
  <c r="AM24" i="2"/>
  <c r="AH40" i="2"/>
  <c r="AM28" i="2"/>
  <c r="CS28" i="2" s="1"/>
  <c r="CU28" i="2" s="1"/>
  <c r="CT28" i="4" s="1"/>
  <c r="AM8" i="2"/>
  <c r="AM25" i="2"/>
  <c r="S45" i="2"/>
  <c r="BV21" i="2"/>
  <c r="AC31" i="2"/>
  <c r="BV11" i="2"/>
  <c r="BQ28" i="2"/>
  <c r="AR45" i="2"/>
  <c r="AR44" i="2"/>
  <c r="AH12" i="2"/>
  <c r="BB14" i="2"/>
  <c r="BB54" i="2"/>
  <c r="CF45" i="2"/>
  <c r="AH10" i="2"/>
  <c r="N35" i="2"/>
  <c r="X28" i="2"/>
  <c r="AM9" i="2"/>
  <c r="AC42" i="2"/>
  <c r="AC11" i="2"/>
  <c r="BG23" i="2"/>
  <c r="BG34" i="2"/>
  <c r="CF24" i="2"/>
  <c r="N38" i="2"/>
  <c r="N57" i="2"/>
  <c r="CA56" i="2"/>
  <c r="AW15" i="2"/>
  <c r="AW49" i="2"/>
  <c r="CA40" i="2"/>
  <c r="AW48" i="2"/>
  <c r="CA50" i="2"/>
  <c r="I54" i="2"/>
  <c r="AH56" i="2"/>
  <c r="AW47" i="2"/>
  <c r="AR49" i="2"/>
  <c r="BL24" i="2"/>
  <c r="AR50" i="2"/>
  <c r="I40" i="2"/>
  <c r="AM34" i="2"/>
  <c r="AM29" i="2"/>
  <c r="BQ50" i="2"/>
  <c r="AM15" i="2"/>
  <c r="X26" i="2"/>
  <c r="BV39" i="2"/>
  <c r="BV28" i="2"/>
  <c r="BV10" i="2"/>
  <c r="AH25" i="2"/>
  <c r="BB42" i="2"/>
  <c r="AH38" i="2"/>
  <c r="CA10" i="2"/>
  <c r="BL26" i="2"/>
  <c r="N49" i="2"/>
  <c r="AH13" i="2"/>
  <c r="BV22" i="2"/>
  <c r="BG32" i="2"/>
  <c r="X45" i="2"/>
  <c r="AR13" i="2"/>
  <c r="AC29" i="2"/>
  <c r="I46" i="2"/>
  <c r="AR31" i="2"/>
  <c r="BB12" i="2"/>
  <c r="BB36" i="2"/>
  <c r="CF35" i="2"/>
  <c r="BB34" i="2"/>
  <c r="AH9" i="2"/>
  <c r="BL35" i="2"/>
  <c r="N56" i="2"/>
  <c r="X35" i="2"/>
  <c r="I15" i="2"/>
  <c r="S10" i="2"/>
  <c r="CF21" i="2"/>
  <c r="I26" i="4"/>
  <c r="BV25" i="4"/>
  <c r="BV47" i="4"/>
  <c r="AR35" i="4"/>
  <c r="N27" i="4"/>
  <c r="N29" i="4"/>
  <c r="I32" i="4"/>
  <c r="N21" i="4"/>
  <c r="CS21" i="4" s="1"/>
  <c r="CU21" i="4" s="1"/>
  <c r="CT21" i="6" s="1"/>
  <c r="N8" i="4"/>
  <c r="AM14" i="4"/>
  <c r="I35" i="4"/>
  <c r="I56" i="4"/>
  <c r="BV49" i="4"/>
  <c r="DQ59" i="4" a="1"/>
  <c r="DQ59" i="4" s="1"/>
  <c r="CF12" i="4"/>
  <c r="CF57" i="4"/>
  <c r="BB39" i="4"/>
  <c r="BB42" i="4"/>
  <c r="X29" i="4"/>
  <c r="X22" i="4"/>
  <c r="X36" i="4"/>
  <c r="AW21" i="4"/>
  <c r="CA9" i="4"/>
  <c r="CA46" i="4"/>
  <c r="CA54" i="4"/>
  <c r="AW42" i="4"/>
  <c r="AW34" i="4"/>
  <c r="S44" i="4"/>
  <c r="S34" i="4"/>
  <c r="AR55" i="2"/>
  <c r="AM47" i="2"/>
  <c r="CS47" i="2" s="1"/>
  <c r="CU47" i="2" s="1"/>
  <c r="CT47" i="4" s="1"/>
  <c r="X51" i="2"/>
  <c r="AW13" i="2"/>
  <c r="BV24" i="2"/>
  <c r="AM37" i="2"/>
  <c r="AC51" i="2"/>
  <c r="BG37" i="6"/>
  <c r="BG40" i="6"/>
  <c r="BG54" i="6"/>
  <c r="AC8" i="6"/>
  <c r="AC37" i="6"/>
  <c r="I33" i="4"/>
  <c r="I27" i="4"/>
  <c r="BL9" i="4"/>
  <c r="BL50" i="4"/>
  <c r="AH24" i="4"/>
  <c r="AH13" i="4"/>
  <c r="AZ93" i="4" a="1"/>
  <c r="AZ93" i="4" s="1"/>
  <c r="AZ95" i="4" a="1"/>
  <c r="AZ95" i="4" s="1"/>
  <c r="AZ94" i="4" a="1"/>
  <c r="AZ94" i="4" s="1"/>
  <c r="AZ96" i="4" a="1"/>
  <c r="AZ96" i="4" s="1"/>
  <c r="AZ98" i="4" a="1"/>
  <c r="AZ98" i="4" s="1"/>
  <c r="AZ97" i="4" a="1"/>
  <c r="AZ97" i="4" s="1"/>
  <c r="BG38" i="4"/>
  <c r="S35" i="2"/>
  <c r="BG22" i="4"/>
  <c r="BG57" i="4"/>
  <c r="AC33" i="4"/>
  <c r="AC53" i="4"/>
  <c r="S57" i="2"/>
  <c r="BG54" i="2"/>
  <c r="CA32" i="2"/>
  <c r="S15" i="2"/>
  <c r="BG22" i="2"/>
  <c r="AC53" i="2"/>
  <c r="N10" i="2"/>
  <c r="AH34" i="2"/>
  <c r="BL12" i="2"/>
  <c r="BB30" i="2"/>
  <c r="AR28" i="2"/>
  <c r="BQ24" i="2"/>
  <c r="S49" i="2"/>
  <c r="AW23" i="2"/>
  <c r="AW22" i="2"/>
  <c r="BV43" i="2"/>
  <c r="BQ35" i="2"/>
  <c r="AM38" i="2"/>
  <c r="DQ59" i="2" a="1"/>
  <c r="CS50" i="6"/>
  <c r="CS55" i="4"/>
  <c r="BV41" i="4"/>
  <c r="BB12" i="4"/>
  <c r="X30" i="4"/>
  <c r="S18" i="4"/>
  <c r="AH46" i="4"/>
  <c r="AC42" i="4"/>
  <c r="CF49" i="4"/>
  <c r="CA47" i="4"/>
  <c r="AH12" i="4"/>
  <c r="CA40" i="6"/>
  <c r="AR46" i="6"/>
  <c r="AM49" i="6"/>
  <c r="CF8" i="6"/>
  <c r="BB42" i="6"/>
  <c r="AW36" i="6"/>
  <c r="AM12" i="6"/>
  <c r="BL44" i="6"/>
  <c r="CS44" i="6" s="1"/>
  <c r="AH43" i="6"/>
  <c r="AR19" i="6"/>
  <c r="BV39" i="4"/>
  <c r="AR26" i="4"/>
  <c r="N32" i="4"/>
  <c r="AM19" i="4"/>
  <c r="AR48" i="4"/>
  <c r="CF19" i="4"/>
  <c r="BB9" i="4"/>
  <c r="BB47" i="4"/>
  <c r="X41" i="4"/>
  <c r="X35" i="4"/>
  <c r="X39" i="4"/>
  <c r="CA50" i="4"/>
  <c r="CA49" i="4"/>
  <c r="CA43" i="4"/>
  <c r="AW48" i="4"/>
  <c r="AW47" i="4"/>
  <c r="S32" i="4"/>
  <c r="S41" i="4"/>
  <c r="BG31" i="6"/>
  <c r="BG48" i="6"/>
  <c r="BG56" i="6"/>
  <c r="AC10" i="6"/>
  <c r="AC43" i="6"/>
  <c r="CS43" i="6" s="1"/>
  <c r="O83" i="4"/>
  <c r="T4" i="4"/>
  <c r="O64" i="4"/>
  <c r="CL34" i="4"/>
  <c r="CO34" i="4"/>
  <c r="CR34" i="4"/>
  <c r="CI34" i="4"/>
  <c r="CL43" i="4"/>
  <c r="CI43" i="4"/>
  <c r="CR43" i="4"/>
  <c r="CO43" i="4"/>
  <c r="BL15" i="4"/>
  <c r="BL56" i="4"/>
  <c r="AH29" i="4"/>
  <c r="AH17" i="4"/>
  <c r="BL13" i="4"/>
  <c r="BG25" i="4"/>
  <c r="AC56" i="4"/>
  <c r="AW50" i="2"/>
  <c r="X48" i="2"/>
  <c r="BL27" i="2"/>
  <c r="N14" i="2"/>
  <c r="BG31" i="2"/>
  <c r="BB13" i="2"/>
  <c r="X30" i="2"/>
  <c r="AH41" i="2"/>
  <c r="BL8" i="2"/>
  <c r="BB49" i="2"/>
  <c r="AR38" i="2"/>
  <c r="CA22" i="2"/>
  <c r="CO19" i="2"/>
  <c r="CL19" i="2"/>
  <c r="CI19" i="2"/>
  <c r="CR19" i="2"/>
  <c r="BL42" i="2"/>
  <c r="AW31" i="2"/>
  <c r="I8" i="2"/>
  <c r="AQ97" i="2" a="1"/>
  <c r="AQ97" i="2" s="1"/>
  <c r="AQ93" i="2" a="1"/>
  <c r="AQ93" i="2" s="1"/>
  <c r="AQ94" i="2" a="1"/>
  <c r="AQ94" i="2" s="1"/>
  <c r="AQ96" i="2" a="1"/>
  <c r="AQ96" i="2" s="1"/>
  <c r="AQ98" i="2" a="1"/>
  <c r="AQ98" i="2" s="1"/>
  <c r="AQ95" i="2" a="1"/>
  <c r="AQ95" i="2" s="1"/>
  <c r="BB21" i="2"/>
  <c r="BV49" i="2"/>
  <c r="BQ29" i="2"/>
  <c r="AM45" i="2"/>
  <c r="I51" i="2"/>
  <c r="BQ10" i="2"/>
  <c r="AH27" i="2"/>
  <c r="DA25" i="2" a="1"/>
  <c r="DA25" i="2" s="1"/>
  <c r="CR16" i="4"/>
  <c r="CI16" i="4"/>
  <c r="CO16" i="4"/>
  <c r="CL16" i="4"/>
  <c r="I58" i="4"/>
  <c r="I60" i="4"/>
  <c r="I59" i="4"/>
  <c r="AR42" i="4"/>
  <c r="BV30" i="4"/>
  <c r="BV24" i="4"/>
  <c r="N19" i="4"/>
  <c r="AR17" i="4"/>
  <c r="BV14" i="4"/>
  <c r="N13" i="4"/>
  <c r="BV10" i="4"/>
  <c r="N34" i="4"/>
  <c r="BQ57" i="4"/>
  <c r="AM38" i="4"/>
  <c r="I34" i="4"/>
  <c r="I30" i="4"/>
  <c r="CS30" i="4" s="1"/>
  <c r="BV28" i="4"/>
  <c r="BQ18" i="4"/>
  <c r="N17" i="4"/>
  <c r="AR15" i="4"/>
  <c r="BQ41" i="4"/>
  <c r="BQ35" i="4"/>
  <c r="BQ33" i="4"/>
  <c r="AM24" i="4"/>
  <c r="AW13" i="4"/>
  <c r="AM12" i="4"/>
  <c r="BQ55" i="4"/>
  <c r="AM48" i="4"/>
  <c r="BV31" i="4"/>
  <c r="AR27" i="4"/>
  <c r="AM22" i="4"/>
  <c r="AR21" i="4"/>
  <c r="BV19" i="4"/>
  <c r="N15" i="4"/>
  <c r="AM13" i="4"/>
  <c r="BV8" i="4"/>
  <c r="AR44" i="4"/>
  <c r="AR39" i="4"/>
  <c r="N33" i="4"/>
  <c r="BQ31" i="4"/>
  <c r="AM21" i="4"/>
  <c r="BQ19" i="4"/>
  <c r="AR18" i="4"/>
  <c r="I15" i="4"/>
  <c r="I13" i="4"/>
  <c r="BQ9" i="4"/>
  <c r="AM44" i="4"/>
  <c r="BQ37" i="4"/>
  <c r="BV20" i="4"/>
  <c r="AM18" i="4"/>
  <c r="BQ10" i="4"/>
  <c r="AR9" i="4"/>
  <c r="N39" i="4"/>
  <c r="N28" i="4"/>
  <c r="AR25" i="4"/>
  <c r="N24" i="4"/>
  <c r="I22" i="4"/>
  <c r="BQ20" i="4"/>
  <c r="BQ11" i="4"/>
  <c r="BQ49" i="4"/>
  <c r="AM31" i="4"/>
  <c r="BV26" i="4"/>
  <c r="AM25" i="4"/>
  <c r="AR23" i="4"/>
  <c r="N12" i="4"/>
  <c r="CS12" i="4" s="1"/>
  <c r="AM8" i="4"/>
  <c r="CZ27" i="4" s="1" a="1"/>
  <c r="BV51" i="4"/>
  <c r="BV42" i="4"/>
  <c r="BQ38" i="4"/>
  <c r="BV36" i="4"/>
  <c r="CA32" i="4"/>
  <c r="BQ30" i="4"/>
  <c r="AM26" i="4"/>
  <c r="I25" i="4"/>
  <c r="N23" i="4"/>
  <c r="I20" i="4"/>
  <c r="BQ17" i="4"/>
  <c r="BB16" i="4"/>
  <c r="BQ14" i="4"/>
  <c r="CF13" i="4"/>
  <c r="X56" i="4"/>
  <c r="AM30" i="4"/>
  <c r="CF27" i="4"/>
  <c r="X10" i="4"/>
  <c r="BQ32" i="4"/>
  <c r="N30" i="4"/>
  <c r="BQ27" i="4"/>
  <c r="BB14" i="4"/>
  <c r="BV13" i="4"/>
  <c r="AC8" i="4"/>
  <c r="AW32" i="4"/>
  <c r="S25" i="4"/>
  <c r="CA15" i="4"/>
  <c r="AW14" i="4"/>
  <c r="BQ13" i="4"/>
  <c r="AW38" i="4"/>
  <c r="AM32" i="4"/>
  <c r="X26" i="4"/>
  <c r="CA17" i="4"/>
  <c r="BV15" i="4"/>
  <c r="AR14" i="4"/>
  <c r="S9" i="4"/>
  <c r="AR38" i="4"/>
  <c r="S49" i="4"/>
  <c r="N26" i="4"/>
  <c r="S20" i="4"/>
  <c r="X17" i="4"/>
  <c r="CF51" i="4"/>
  <c r="AM34" i="4"/>
  <c r="BG29" i="4"/>
  <c r="AW16" i="4"/>
  <c r="I11" i="4"/>
  <c r="AR36" i="4"/>
  <c r="X34" i="4"/>
  <c r="BQ29" i="4"/>
  <c r="S26" i="4"/>
  <c r="S11" i="4"/>
  <c r="S36" i="4"/>
  <c r="CS36" i="4" s="1"/>
  <c r="BB29" i="4"/>
  <c r="AM17" i="4"/>
  <c r="BG16" i="4"/>
  <c r="AM10" i="4"/>
  <c r="BB50" i="4"/>
  <c r="S17" i="4"/>
  <c r="AR16" i="4"/>
  <c r="AH10" i="4"/>
  <c r="CS10" i="4" s="1"/>
  <c r="S40" i="4"/>
  <c r="AM16" i="4"/>
  <c r="AC10" i="4"/>
  <c r="BG52" i="4"/>
  <c r="S23" i="4"/>
  <c r="BQ21" i="4"/>
  <c r="BQ42" i="4"/>
  <c r="I9" i="4"/>
  <c r="BV45" i="4"/>
  <c r="CF43" i="4"/>
  <c r="BQ15" i="4"/>
  <c r="BL34" i="4"/>
  <c r="BG11" i="4"/>
  <c r="BV57" i="4"/>
  <c r="I23" i="4"/>
  <c r="BB30" i="4"/>
  <c r="BV43" i="4"/>
  <c r="N40" i="4"/>
  <c r="I19" i="4"/>
  <c r="BL45" i="4"/>
  <c r="AC27" i="4"/>
  <c r="AC50" i="4"/>
  <c r="AC20" i="4"/>
  <c r="AC22" i="4"/>
  <c r="BG55" i="4"/>
  <c r="BG43" i="4"/>
  <c r="BG46" i="4"/>
  <c r="BG28" i="4"/>
  <c r="AH25" i="4"/>
  <c r="AH43" i="4"/>
  <c r="AH55" i="4"/>
  <c r="AH11" i="4"/>
  <c r="BL44" i="4"/>
  <c r="BL51" i="4"/>
  <c r="BL39" i="4"/>
  <c r="CA16" i="4"/>
  <c r="S24" i="4"/>
  <c r="S54" i="4"/>
  <c r="S10" i="4"/>
  <c r="AW46" i="4"/>
  <c r="AW30" i="4"/>
  <c r="AW15" i="4"/>
  <c r="CA41" i="4"/>
  <c r="CA25" i="4"/>
  <c r="CA28" i="4"/>
  <c r="AW22" i="4"/>
  <c r="X48" i="4"/>
  <c r="X50" i="4"/>
  <c r="X44" i="4"/>
  <c r="BB51" i="4"/>
  <c r="BB20" i="4"/>
  <c r="BB48" i="4"/>
  <c r="CF45" i="4"/>
  <c r="CF55" i="4"/>
  <c r="CF41" i="4"/>
  <c r="CF8" i="4"/>
  <c r="BB27" i="4"/>
  <c r="AM35" i="4"/>
  <c r="AM15" i="4"/>
  <c r="I39" i="4"/>
  <c r="CS39" i="4" s="1"/>
  <c r="I16" i="4"/>
  <c r="AM42" i="4"/>
  <c r="BQ47" i="4"/>
  <c r="AR11" i="4"/>
  <c r="BQ22" i="4"/>
  <c r="I14" i="4"/>
  <c r="N47" i="4"/>
  <c r="CS47" i="4" s="1"/>
  <c r="CU47" i="4" s="1"/>
  <c r="CT47" i="6" s="1"/>
  <c r="N45" i="4"/>
  <c r="N9" i="4"/>
  <c r="AR57" i="4"/>
  <c r="AR54" i="4"/>
  <c r="BV48" i="4"/>
  <c r="BQ43" i="4"/>
  <c r="N53" i="4"/>
  <c r="AC48" i="4"/>
  <c r="AC43" i="4"/>
  <c r="AC37" i="4"/>
  <c r="AC54" i="4"/>
  <c r="BG54" i="4"/>
  <c r="BG48" i="4"/>
  <c r="BG34" i="4"/>
  <c r="AH21" i="4"/>
  <c r="AH14" i="4"/>
  <c r="BL21" i="4"/>
  <c r="BB19" i="4"/>
  <c r="BB23" i="4"/>
  <c r="S28" i="4"/>
  <c r="AW45" i="4"/>
  <c r="CA34" i="4"/>
  <c r="X42" i="4"/>
  <c r="X31" i="4"/>
  <c r="BB53" i="4"/>
  <c r="CF47" i="4"/>
  <c r="CF32" i="4"/>
  <c r="I40" i="4"/>
  <c r="N42" i="4"/>
  <c r="CS42" i="4" s="1"/>
  <c r="BL27" i="4"/>
  <c r="AC52" i="4"/>
  <c r="AC47" i="4"/>
  <c r="AC19" i="4"/>
  <c r="AC55" i="4"/>
  <c r="BG56" i="4"/>
  <c r="BG53" i="4"/>
  <c r="BG35" i="4"/>
  <c r="BG18" i="4"/>
  <c r="AH23" i="4"/>
  <c r="AH34" i="4"/>
  <c r="AH16" i="4"/>
  <c r="BL24" i="4"/>
  <c r="BL41" i="4"/>
  <c r="BL48" i="4"/>
  <c r="BL30" i="4"/>
  <c r="CF17" i="4"/>
  <c r="BB25" i="4"/>
  <c r="S57" i="4"/>
  <c r="S50" i="4"/>
  <c r="S21" i="4"/>
  <c r="AW43" i="4"/>
  <c r="AW24" i="4"/>
  <c r="AW9" i="4"/>
  <c r="CA39" i="4"/>
  <c r="CA22" i="4"/>
  <c r="CA26" i="4"/>
  <c r="AW18" i="4"/>
  <c r="X45" i="4"/>
  <c r="X38" i="4"/>
  <c r="X43" i="4"/>
  <c r="BB49" i="4"/>
  <c r="BB18" i="4"/>
  <c r="BB33" i="4"/>
  <c r="CF42" i="4"/>
  <c r="CF56" i="4"/>
  <c r="CF37" i="4"/>
  <c r="CF38" i="4"/>
  <c r="X32" i="4"/>
  <c r="AM39" i="4"/>
  <c r="BQ16" i="4"/>
  <c r="BQ34" i="4"/>
  <c r="I54" i="4"/>
  <c r="I41" i="4"/>
  <c r="I51" i="4"/>
  <c r="AM36" i="4"/>
  <c r="BQ44" i="4"/>
  <c r="BV12" i="4"/>
  <c r="BV23" i="4"/>
  <c r="AR19" i="4"/>
  <c r="N44" i="4"/>
  <c r="N49" i="4"/>
  <c r="AR55" i="4"/>
  <c r="AR52" i="4"/>
  <c r="AR30" i="4"/>
  <c r="BV46" i="4"/>
  <c r="BB52" i="4"/>
  <c r="BG26" i="4"/>
  <c r="AH32" i="4"/>
  <c r="BL38" i="4"/>
  <c r="BL10" i="4"/>
  <c r="S51" i="4"/>
  <c r="S8" i="4"/>
  <c r="AW12" i="4"/>
  <c r="AW52" i="4"/>
  <c r="CA38" i="4"/>
  <c r="CA8" i="4"/>
  <c r="AW27" i="4"/>
  <c r="X27" i="4"/>
  <c r="BB46" i="4"/>
  <c r="BB11" i="4"/>
  <c r="CF35" i="4"/>
  <c r="CA33" i="4"/>
  <c r="I43" i="4"/>
  <c r="I29" i="4"/>
  <c r="AM56" i="4"/>
  <c r="AM27" i="4"/>
  <c r="N16" i="4"/>
  <c r="AM29" i="4"/>
  <c r="N41" i="4"/>
  <c r="AR51" i="4"/>
  <c r="BG31" i="4"/>
  <c r="BL22" i="4"/>
  <c r="S53" i="4"/>
  <c r="AW28" i="4"/>
  <c r="CF39" i="4"/>
  <c r="I50" i="4"/>
  <c r="BQ53" i="4"/>
  <c r="X14" i="4"/>
  <c r="AC39" i="4"/>
  <c r="AC44" i="4"/>
  <c r="AC17" i="4"/>
  <c r="AC28" i="4"/>
  <c r="BG44" i="4"/>
  <c r="BG42" i="4"/>
  <c r="BG32" i="4"/>
  <c r="BG10" i="4"/>
  <c r="AH48" i="4"/>
  <c r="AH15" i="4"/>
  <c r="AH53" i="4"/>
  <c r="AH22" i="4"/>
  <c r="BL16" i="4"/>
  <c r="BL29" i="4"/>
  <c r="BL42" i="4"/>
  <c r="BL46" i="4"/>
  <c r="AM11" i="4"/>
  <c r="X37" i="4"/>
  <c r="X15" i="4"/>
  <c r="AC49" i="4"/>
  <c r="AC18" i="4"/>
  <c r="AC26" i="4"/>
  <c r="AC35" i="4"/>
  <c r="BG49" i="4"/>
  <c r="BG36" i="4"/>
  <c r="BB45" i="4"/>
  <c r="AC38" i="4"/>
  <c r="AC16" i="4"/>
  <c r="AC25" i="4"/>
  <c r="AC9" i="4"/>
  <c r="BG37" i="4"/>
  <c r="BG40" i="4"/>
  <c r="BG21" i="4"/>
  <c r="AH36" i="4"/>
  <c r="AH28" i="4"/>
  <c r="AH37" i="4"/>
  <c r="AH18" i="4"/>
  <c r="BL54" i="4"/>
  <c r="BL26" i="4"/>
  <c r="BL40" i="4"/>
  <c r="BL37" i="4"/>
  <c r="AW10" i="4"/>
  <c r="AW8" i="4"/>
  <c r="CA11" i="4"/>
  <c r="S39" i="4"/>
  <c r="N11" i="4"/>
  <c r="AM55" i="4"/>
  <c r="CF46" i="4"/>
  <c r="AW36" i="4"/>
  <c r="BL35" i="4"/>
  <c r="AC36" i="4"/>
  <c r="BB36" i="4"/>
  <c r="S14" i="4"/>
  <c r="S43" i="4"/>
  <c r="AC23" i="6"/>
  <c r="CS23" i="6" s="1"/>
  <c r="AW50" i="4"/>
  <c r="AC45" i="4"/>
  <c r="S45" i="6"/>
  <c r="BV45" i="6"/>
  <c r="N39" i="6"/>
  <c r="I49" i="6"/>
  <c r="CF45" i="6"/>
  <c r="X48" i="6"/>
  <c r="BL11" i="6"/>
  <c r="N17" i="6"/>
  <c r="I24" i="4"/>
  <c r="BV50" i="4"/>
  <c r="N51" i="4"/>
  <c r="AW50" i="6"/>
  <c r="BV52" i="6"/>
  <c r="N42" i="6"/>
  <c r="I28" i="6"/>
  <c r="CF48" i="6"/>
  <c r="X41" i="6"/>
  <c r="BL17" i="6"/>
  <c r="AH32" i="6"/>
  <c r="BV19" i="6"/>
  <c r="AR20" i="4"/>
  <c r="BV54" i="4"/>
  <c r="AR28" i="4"/>
  <c r="N37" i="4"/>
  <c r="N35" i="4"/>
  <c r="I38" i="4"/>
  <c r="X47" i="4"/>
  <c r="BG18" i="6"/>
  <c r="BG38" i="6"/>
  <c r="AC34" i="6"/>
  <c r="AC14" i="6"/>
  <c r="CS14" i="6" s="1"/>
  <c r="AC50" i="6"/>
  <c r="CR19" i="4"/>
  <c r="CL19" i="4"/>
  <c r="CI19" i="4"/>
  <c r="CO19" i="4"/>
  <c r="CL8" i="4"/>
  <c r="CI8" i="4"/>
  <c r="CR8" i="4"/>
  <c r="CO8" i="4"/>
  <c r="CL10" i="4"/>
  <c r="CR10" i="4"/>
  <c r="CI10" i="4"/>
  <c r="CO10" i="4"/>
  <c r="BL57" i="4"/>
  <c r="BL12" i="4"/>
  <c r="AH41" i="4"/>
  <c r="AH19" i="4"/>
  <c r="Y94" i="4" a="1"/>
  <c r="Y94" i="4" s="1"/>
  <c r="Y96" i="4" a="1"/>
  <c r="Y96" i="4" s="1"/>
  <c r="Y97" i="4" a="1"/>
  <c r="Y97" i="4" s="1"/>
  <c r="Y93" i="4" a="1"/>
  <c r="Y93" i="4" s="1"/>
  <c r="Y98" i="4" a="1"/>
  <c r="Y98" i="4" s="1"/>
  <c r="Y95" i="4" a="1"/>
  <c r="Y95" i="4" s="1"/>
  <c r="BG20" i="4"/>
  <c r="BG9" i="4"/>
  <c r="AC46" i="4"/>
  <c r="AC21" i="4"/>
  <c r="AC46" i="2"/>
  <c r="CA25" i="2"/>
  <c r="BQ12" i="2"/>
  <c r="BG44" i="2"/>
  <c r="CO30" i="2"/>
  <c r="CI30" i="2"/>
  <c r="CR30" i="2"/>
  <c r="CL30" i="2"/>
  <c r="CI36" i="2"/>
  <c r="CO36" i="2"/>
  <c r="CL36" i="2"/>
  <c r="CR36" i="2"/>
  <c r="CL9" i="2"/>
  <c r="CI9" i="2"/>
  <c r="CR9" i="2"/>
  <c r="CO9" i="2"/>
  <c r="EI59" i="2" a="1"/>
  <c r="X43" i="2"/>
  <c r="CS43" i="2" s="1"/>
  <c r="CU43" i="2" s="1"/>
  <c r="CT43" i="4" s="1"/>
  <c r="AW35" i="4"/>
  <c r="BB31" i="2"/>
  <c r="AR47" i="2"/>
  <c r="I30" i="2"/>
  <c r="CA21" i="2"/>
  <c r="CI42" i="2"/>
  <c r="CR42" i="2"/>
  <c r="CO42" i="2"/>
  <c r="CL42" i="2"/>
  <c r="I19" i="2"/>
  <c r="CS19" i="2" s="1"/>
  <c r="CU19" i="2" s="1"/>
  <c r="CT19" i="4" s="1"/>
  <c r="N41" i="2"/>
  <c r="AW32" i="2"/>
  <c r="CF18" i="2"/>
  <c r="BV38" i="2"/>
  <c r="I52" i="2"/>
  <c r="BQ47" i="2"/>
  <c r="AM53" i="2"/>
  <c r="BL29" i="2"/>
  <c r="AZ96" i="6" a="1"/>
  <c r="AZ96" i="6" s="1"/>
  <c r="AZ93" i="6" a="1"/>
  <c r="AZ93" i="6" s="1"/>
  <c r="AZ98" i="6" a="1"/>
  <c r="AZ98" i="6" s="1"/>
  <c r="AZ95" i="6" a="1"/>
  <c r="AZ95" i="6" s="1"/>
  <c r="AZ97" i="6" a="1"/>
  <c r="AZ97" i="6" s="1"/>
  <c r="AZ94" i="6" a="1"/>
  <c r="AZ94" i="6" s="1"/>
  <c r="CR36" i="4"/>
  <c r="CI36" i="4"/>
  <c r="CL36" i="4"/>
  <c r="CO36" i="4"/>
  <c r="CI33" i="2"/>
  <c r="CO33" i="2"/>
  <c r="CR33" i="2"/>
  <c r="CL33" i="2"/>
  <c r="CS25" i="6"/>
  <c r="CL22" i="4"/>
  <c r="CR22" i="4"/>
  <c r="CO22" i="4"/>
  <c r="CI22" i="4"/>
  <c r="CL37" i="4"/>
  <c r="CR37" i="4"/>
  <c r="CO37" i="4"/>
  <c r="CI37" i="4"/>
  <c r="CS38" i="6"/>
  <c r="AR33" i="4"/>
  <c r="BV16" i="4"/>
  <c r="AR47" i="4"/>
  <c r="N55" i="4"/>
  <c r="BV34" i="4"/>
  <c r="AM45" i="4"/>
  <c r="I8" i="4"/>
  <c r="CS8" i="4" s="1"/>
  <c r="N20" i="4"/>
  <c r="CF18" i="4"/>
  <c r="BB32" i="4"/>
  <c r="X9" i="4"/>
  <c r="CA40" i="4"/>
  <c r="AW23" i="4"/>
  <c r="S29" i="4"/>
  <c r="BG14" i="4"/>
  <c r="AH57" i="4"/>
  <c r="I31" i="4"/>
  <c r="BB38" i="4"/>
  <c r="X33" i="4"/>
  <c r="BG41" i="6"/>
  <c r="BL47" i="4"/>
  <c r="BG50" i="4"/>
  <c r="AW49" i="6"/>
  <c r="AW47" i="6"/>
  <c r="S50" i="6"/>
  <c r="BV36" i="6"/>
  <c r="AR20" i="6"/>
  <c r="N37" i="6"/>
  <c r="CS37" i="6" s="1"/>
  <c r="AM21" i="6"/>
  <c r="BQ49" i="6"/>
  <c r="AM52" i="6"/>
  <c r="I48" i="6"/>
  <c r="BV35" i="6"/>
  <c r="CF49" i="6"/>
  <c r="BB34" i="6"/>
  <c r="X20" i="6"/>
  <c r="X32" i="6"/>
  <c r="BB18" i="6"/>
  <c r="X13" i="6"/>
  <c r="CS13" i="6" s="1"/>
  <c r="BQ28" i="6"/>
  <c r="I20" i="6"/>
  <c r="BL16" i="6"/>
  <c r="BL37" i="6"/>
  <c r="AH36" i="6"/>
  <c r="AH28" i="6"/>
  <c r="CA50" i="6"/>
  <c r="BV17" i="6"/>
  <c r="BQ39" i="4"/>
  <c r="I37" i="4"/>
  <c r="I53" i="4"/>
  <c r="CF34" i="4"/>
  <c r="AW48" i="6"/>
  <c r="CA45" i="6"/>
  <c r="CA43" i="6"/>
  <c r="S41" i="6"/>
  <c r="CS41" i="6" s="1"/>
  <c r="S42" i="6"/>
  <c r="AM24" i="6"/>
  <c r="BV37" i="6"/>
  <c r="AR29" i="6"/>
  <c r="AR49" i="6"/>
  <c r="N32" i="6"/>
  <c r="BQ27" i="6"/>
  <c r="AM55" i="6"/>
  <c r="AM26" i="6"/>
  <c r="I39" i="6"/>
  <c r="CF9" i="6"/>
  <c r="CF28" i="6"/>
  <c r="BB39" i="6"/>
  <c r="BB45" i="6"/>
  <c r="X8" i="6"/>
  <c r="X51" i="6"/>
  <c r="CS51" i="6" s="1"/>
  <c r="CF13" i="6"/>
  <c r="AW17" i="6"/>
  <c r="BQ15" i="6"/>
  <c r="AM22" i="6"/>
  <c r="I10" i="6"/>
  <c r="CZ27" i="6" s="1" a="1"/>
  <c r="CZ27" i="6" s="1"/>
  <c r="BL22" i="6"/>
  <c r="BL40" i="6"/>
  <c r="BL53" i="6"/>
  <c r="AH17" i="6"/>
  <c r="AH50" i="6"/>
  <c r="BQ9" i="6"/>
  <c r="AR39" i="6"/>
  <c r="N53" i="6"/>
  <c r="BV17" i="4"/>
  <c r="BQ24" i="4"/>
  <c r="AM47" i="4"/>
  <c r="I57" i="4"/>
  <c r="BQ46" i="4"/>
  <c r="AR12" i="4"/>
  <c r="CF29" i="4"/>
  <c r="CF15" i="4"/>
  <c r="CF21" i="4"/>
  <c r="BB15" i="4"/>
  <c r="BB22" i="4"/>
  <c r="X40" i="4"/>
  <c r="X52" i="4"/>
  <c r="CS52" i="4" s="1"/>
  <c r="CA19" i="4"/>
  <c r="CA57" i="4"/>
  <c r="CA12" i="4"/>
  <c r="CA42" i="4"/>
  <c r="AW11" i="4"/>
  <c r="AW53" i="4"/>
  <c r="S56" i="4"/>
  <c r="S42" i="4"/>
  <c r="S36" i="6"/>
  <c r="CA24" i="6"/>
  <c r="CA57" i="6"/>
  <c r="AW42" i="6"/>
  <c r="S39" i="6"/>
  <c r="BQ25" i="6"/>
  <c r="BV22" i="6"/>
  <c r="BV49" i="6"/>
  <c r="BV55" i="6"/>
  <c r="AR32" i="6"/>
  <c r="AR52" i="6"/>
  <c r="N30" i="6"/>
  <c r="CS30" i="6" s="1"/>
  <c r="N46" i="6"/>
  <c r="AM15" i="6"/>
  <c r="BQ46" i="6"/>
  <c r="AM31" i="6"/>
  <c r="AM53" i="6"/>
  <c r="I32" i="6"/>
  <c r="I42" i="6"/>
  <c r="X25" i="6"/>
  <c r="CF23" i="6"/>
  <c r="CF31" i="6"/>
  <c r="CF51" i="6"/>
  <c r="BB55" i="6"/>
  <c r="BB41" i="6"/>
  <c r="X9" i="6"/>
  <c r="X28" i="6"/>
  <c r="X54" i="6"/>
  <c r="CS54" i="6" s="1"/>
  <c r="BB9" i="6"/>
  <c r="AW31" i="6"/>
  <c r="BQ18" i="6"/>
  <c r="AM16" i="6"/>
  <c r="I11" i="6"/>
  <c r="BL19" i="6"/>
  <c r="BL12" i="6"/>
  <c r="BL57" i="6"/>
  <c r="BL56" i="6"/>
  <c r="AH24" i="6"/>
  <c r="AH33" i="6"/>
  <c r="CS33" i="6" s="1"/>
  <c r="AH49" i="6"/>
  <c r="BB56" i="4"/>
  <c r="BV24" i="6"/>
  <c r="AR8" i="6"/>
  <c r="N18" i="6"/>
  <c r="CS18" i="6" s="1"/>
  <c r="N14" i="4"/>
  <c r="BV21" i="4"/>
  <c r="AR8" i="4"/>
  <c r="AR31" i="4"/>
  <c r="N46" i="4"/>
  <c r="N38" i="4"/>
  <c r="BQ48" i="4"/>
  <c r="AM53" i="4"/>
  <c r="I45" i="4"/>
  <c r="I44" i="4"/>
  <c r="AM9" i="4"/>
  <c r="CF50" i="4"/>
  <c r="CF22" i="4"/>
  <c r="CF23" i="4"/>
  <c r="BB17" i="4"/>
  <c r="BB24" i="4"/>
  <c r="X49" i="4"/>
  <c r="X51" i="4"/>
  <c r="X53" i="4"/>
  <c r="CA13" i="4"/>
  <c r="CA23" i="4"/>
  <c r="CA45" i="4"/>
  <c r="AW19" i="4"/>
  <c r="AW40" i="4"/>
  <c r="S15" i="4"/>
  <c r="S45" i="4"/>
  <c r="AH57" i="2"/>
  <c r="AR52" i="2"/>
  <c r="N53" i="2"/>
  <c r="CS53" i="2" s="1"/>
  <c r="CU53" i="2" s="1"/>
  <c r="CT53" i="4" s="1"/>
  <c r="BG15" i="2"/>
  <c r="S29" i="2"/>
  <c r="BB40" i="2"/>
  <c r="BQ55" i="2"/>
  <c r="BG51" i="6"/>
  <c r="BG35" i="6"/>
  <c r="AC11" i="6"/>
  <c r="AC16" i="6"/>
  <c r="AC49" i="6"/>
  <c r="S12" i="4"/>
  <c r="AW10" i="2"/>
  <c r="BL11" i="4"/>
  <c r="BL17" i="4"/>
  <c r="BL14" i="4"/>
  <c r="AH20" i="4"/>
  <c r="AH30" i="4"/>
  <c r="BG19" i="4"/>
  <c r="BG15" i="4"/>
  <c r="AC12" i="4"/>
  <c r="AC31" i="4"/>
  <c r="S36" i="2"/>
  <c r="DA25" i="4" a="1"/>
  <c r="DA25" i="4" s="1"/>
  <c r="BQ45" i="2"/>
  <c r="CF11" i="2"/>
  <c r="BG49" i="2"/>
  <c r="BQ32" i="2"/>
  <c r="EJ59" i="2" a="1"/>
  <c r="X47" i="2"/>
  <c r="G87" i="2" a="1"/>
  <c r="G87" i="2" s="1"/>
  <c r="G85" i="2" a="1"/>
  <c r="G85" i="2" s="1"/>
  <c r="G86" i="2" a="1"/>
  <c r="G86" i="2" s="1"/>
  <c r="G88" i="2" a="1"/>
  <c r="G88" i="2" s="1"/>
  <c r="G90" i="2" a="1"/>
  <c r="G90" i="2" s="1"/>
  <c r="G89" i="2" a="1"/>
  <c r="G89" i="2" s="1"/>
  <c r="AR17" i="2"/>
  <c r="BB23" i="2"/>
  <c r="AR25" i="2"/>
  <c r="I23" i="2"/>
  <c r="AR41" i="2"/>
  <c r="BB39" i="2"/>
  <c r="I18" i="2"/>
  <c r="BV55" i="2"/>
  <c r="N51" i="2"/>
  <c r="N23" i="2"/>
  <c r="BQ15" i="2"/>
  <c r="I26" i="2"/>
  <c r="BL39" i="2"/>
  <c r="CA11" i="2"/>
  <c r="CI45" i="2"/>
  <c r="CR45" i="2"/>
  <c r="CL45" i="2"/>
  <c r="CO45" i="2"/>
  <c r="G96" i="2" a="1"/>
  <c r="G96" i="2" s="1"/>
  <c r="G94" i="2" a="1"/>
  <c r="G94" i="2" s="1"/>
  <c r="G98" i="2" a="1"/>
  <c r="G98" i="2" s="1"/>
  <c r="G97" i="2" a="1"/>
  <c r="G97" i="2" s="1"/>
  <c r="G93" i="2" a="1"/>
  <c r="G93" i="2" s="1"/>
  <c r="G95" i="2" a="1"/>
  <c r="G95" i="2" s="1"/>
  <c r="S54" i="1"/>
  <c r="U56" i="1" s="1"/>
  <c r="CR14" i="4"/>
  <c r="CO14" i="4"/>
  <c r="CL14" i="4"/>
  <c r="CI14" i="4"/>
  <c r="CO44" i="4"/>
  <c r="CR44" i="4"/>
  <c r="CI44" i="4"/>
  <c r="CL44" i="4"/>
  <c r="CR42" i="4"/>
  <c r="CO42" i="4"/>
  <c r="CL42" i="4"/>
  <c r="CI42" i="4"/>
  <c r="CR44" i="2"/>
  <c r="CO44" i="2"/>
  <c r="CI44" i="2"/>
  <c r="CL44" i="2"/>
  <c r="P97" i="2" a="1"/>
  <c r="P97" i="2" s="1"/>
  <c r="P95" i="2" a="1"/>
  <c r="P95" i="2" s="1"/>
  <c r="P94" i="2" a="1"/>
  <c r="P94" i="2" s="1"/>
  <c r="P93" i="2" a="1"/>
  <c r="P93" i="2" s="1"/>
  <c r="P98" i="2" a="1"/>
  <c r="P98" i="2" s="1"/>
  <c r="P96" i="2" a="1"/>
  <c r="P96" i="2" s="1"/>
  <c r="T54" i="1"/>
  <c r="CR34" i="2"/>
  <c r="CI34" i="2"/>
  <c r="CO34" i="2"/>
  <c r="CL34" i="2"/>
  <c r="Y94" i="2" a="1"/>
  <c r="Y94" i="2" s="1"/>
  <c r="Y96" i="2" a="1"/>
  <c r="Y96" i="2" s="1"/>
  <c r="Y98" i="2" a="1"/>
  <c r="Y98" i="2" s="1"/>
  <c r="Y97" i="2" a="1"/>
  <c r="Y97" i="2" s="1"/>
  <c r="Y95" i="2" a="1"/>
  <c r="Y95" i="2" s="1"/>
  <c r="Y93" i="2" a="1"/>
  <c r="Y93" i="2" s="1"/>
  <c r="G90" i="4" a="1"/>
  <c r="G90" i="4" s="1"/>
  <c r="G87" i="4" a="1"/>
  <c r="G87" i="4" s="1"/>
  <c r="G86" i="4" a="1"/>
  <c r="G86" i="4" s="1"/>
  <c r="G89" i="4" a="1"/>
  <c r="G89" i="4" s="1"/>
  <c r="G85" i="4" a="1"/>
  <c r="G85" i="4" s="1"/>
  <c r="G88" i="4" a="1"/>
  <c r="G88" i="4" s="1"/>
  <c r="CL13" i="4"/>
  <c r="CI13" i="4"/>
  <c r="CR13" i="4"/>
  <c r="CO13" i="4"/>
  <c r="CL26" i="4"/>
  <c r="CO26" i="4"/>
  <c r="CI26" i="4"/>
  <c r="CR26" i="4"/>
  <c r="CL24" i="4"/>
  <c r="CR24" i="4"/>
  <c r="CO24" i="4"/>
  <c r="CI24" i="4"/>
  <c r="CL35" i="4"/>
  <c r="CI35" i="4"/>
  <c r="CR35" i="4"/>
  <c r="CO35" i="4"/>
  <c r="CI37" i="2"/>
  <c r="CL37" i="2"/>
  <c r="CR37" i="2"/>
  <c r="CO37" i="2"/>
  <c r="CR41" i="4"/>
  <c r="CI41" i="4"/>
  <c r="CO41" i="4"/>
  <c r="CL41" i="4"/>
  <c r="C97" i="2" a="1"/>
  <c r="C97" i="2" s="1"/>
  <c r="C95" i="2" a="1"/>
  <c r="C95" i="2" s="1"/>
  <c r="C93" i="2" a="1"/>
  <c r="C93" i="2" s="1"/>
  <c r="C96" i="2" a="1"/>
  <c r="C96" i="2" s="1"/>
  <c r="C98" i="2" a="1"/>
  <c r="C98" i="2" s="1"/>
  <c r="C94" i="2" a="1"/>
  <c r="C94" i="2" s="1"/>
  <c r="BI95" i="2" a="1"/>
  <c r="BI95" i="2" s="1"/>
  <c r="BI93" i="2" a="1"/>
  <c r="BI93" i="2" s="1"/>
  <c r="BI97" i="2" a="1"/>
  <c r="BI97" i="2" s="1"/>
  <c r="BI94" i="2" a="1"/>
  <c r="BI94" i="2" s="1"/>
  <c r="BI96" i="2" a="1"/>
  <c r="BI96" i="2" s="1"/>
  <c r="BI98" i="2" a="1"/>
  <c r="BI98" i="2" s="1"/>
  <c r="C90" i="6" a="1"/>
  <c r="C90" i="6" s="1"/>
  <c r="C88" i="6" a="1"/>
  <c r="C88" i="6" s="1"/>
  <c r="C87" i="6" a="1"/>
  <c r="C87" i="6" s="1"/>
  <c r="C85" i="6" a="1"/>
  <c r="C85" i="6" s="1"/>
  <c r="C86" i="6" a="1"/>
  <c r="C86" i="6" s="1"/>
  <c r="C89" i="6" a="1"/>
  <c r="C89" i="6" s="1"/>
  <c r="DA25" i="6" a="1"/>
  <c r="DA25" i="6" s="1"/>
  <c r="BG98" i="4" a="1"/>
  <c r="BG98" i="4" s="1"/>
  <c r="B11" i="4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CV58" i="6"/>
  <c r="AH98" i="6" a="1"/>
  <c r="AH98" i="6" s="1"/>
  <c r="AH95" i="6" a="1"/>
  <c r="AH95" i="6" s="1"/>
  <c r="AH97" i="6" a="1"/>
  <c r="AH97" i="6" s="1"/>
  <c r="AH94" i="6" a="1"/>
  <c r="AH94" i="6" s="1"/>
  <c r="AH96" i="6" a="1"/>
  <c r="AH96" i="6" s="1"/>
  <c r="AH93" i="6" a="1"/>
  <c r="AH93" i="6" s="1"/>
  <c r="CO17" i="4"/>
  <c r="CL17" i="4"/>
  <c r="CI17" i="4"/>
  <c r="CR17" i="4"/>
  <c r="CR39" i="4"/>
  <c r="CI39" i="4"/>
  <c r="CO39" i="4"/>
  <c r="CL39" i="4"/>
  <c r="E95" i="2" a="1"/>
  <c r="E95" i="2" s="1"/>
  <c r="CO43" i="2"/>
  <c r="CR43" i="2"/>
  <c r="CL43" i="2"/>
  <c r="CI43" i="2"/>
  <c r="CL28" i="2"/>
  <c r="CR28" i="2"/>
  <c r="CI28" i="2"/>
  <c r="CO28" i="2"/>
  <c r="CO39" i="2"/>
  <c r="CL39" i="2"/>
  <c r="CI39" i="2"/>
  <c r="CR39" i="2"/>
  <c r="AH97" i="2" a="1"/>
  <c r="AH97" i="2" s="1"/>
  <c r="AH95" i="2" a="1"/>
  <c r="AH95" i="2" s="1"/>
  <c r="AH98" i="2" a="1"/>
  <c r="AH98" i="2" s="1"/>
  <c r="AH93" i="2" a="1"/>
  <c r="AH93" i="2" s="1"/>
  <c r="AH96" i="2" a="1"/>
  <c r="AH96" i="2" s="1"/>
  <c r="AH94" i="2" a="1"/>
  <c r="AH94" i="2" s="1"/>
  <c r="CV58" i="2"/>
  <c r="CR33" i="4"/>
  <c r="CO33" i="4"/>
  <c r="CL33" i="4"/>
  <c r="CI33" i="4"/>
  <c r="CR30" i="4"/>
  <c r="CL30" i="4"/>
  <c r="CO30" i="4"/>
  <c r="CI30" i="4"/>
  <c r="CI38" i="4"/>
  <c r="CL38" i="4"/>
  <c r="CR38" i="4"/>
  <c r="CO38" i="4"/>
  <c r="CL40" i="4"/>
  <c r="CI40" i="4"/>
  <c r="CO40" i="4"/>
  <c r="CR40" i="4"/>
  <c r="CR35" i="2"/>
  <c r="CO35" i="2"/>
  <c r="CL35" i="2"/>
  <c r="CI35" i="2"/>
  <c r="G98" i="6" a="1"/>
  <c r="G98" i="6" s="1"/>
  <c r="G97" i="6" a="1"/>
  <c r="G97" i="6" s="1"/>
  <c r="G96" i="6" a="1"/>
  <c r="G96" i="6" s="1"/>
  <c r="G95" i="6" a="1"/>
  <c r="G95" i="6" s="1"/>
  <c r="G94" i="6" a="1"/>
  <c r="G94" i="6" s="1"/>
  <c r="G93" i="6" a="1"/>
  <c r="G93" i="6" s="1"/>
  <c r="CR29" i="4"/>
  <c r="CO29" i="4"/>
  <c r="CL29" i="4"/>
  <c r="CI29" i="4"/>
  <c r="AH98" i="4" a="1"/>
  <c r="AH98" i="4" s="1"/>
  <c r="AH96" i="4" a="1"/>
  <c r="AH96" i="4" s="1"/>
  <c r="AH95" i="4" a="1"/>
  <c r="AH95" i="4" s="1"/>
  <c r="AH93" i="4" a="1"/>
  <c r="AH93" i="4" s="1"/>
  <c r="AH97" i="4" a="1"/>
  <c r="AH97" i="4" s="1"/>
  <c r="AH94" i="4" a="1"/>
  <c r="AH94" i="4" s="1"/>
  <c r="BI95" i="4" a="1"/>
  <c r="BI95" i="4" s="1"/>
  <c r="BI94" i="4" a="1"/>
  <c r="BI94" i="4" s="1"/>
  <c r="BI97" i="4" a="1"/>
  <c r="BI97" i="4" s="1"/>
  <c r="BI96" i="4" a="1"/>
  <c r="BI96" i="4" s="1"/>
  <c r="BI93" i="4" a="1"/>
  <c r="BI93" i="4" s="1"/>
  <c r="BI98" i="4" a="1"/>
  <c r="BI98" i="4" s="1"/>
  <c r="CL40" i="2"/>
  <c r="CR40" i="2"/>
  <c r="CO40" i="2"/>
  <c r="CI40" i="2"/>
  <c r="AZ97" i="2" a="1"/>
  <c r="AZ97" i="2" s="1"/>
  <c r="AZ95" i="2" a="1"/>
  <c r="AZ95" i="2" s="1"/>
  <c r="AZ96" i="2" a="1"/>
  <c r="AZ96" i="2" s="1"/>
  <c r="AZ98" i="2" a="1"/>
  <c r="AZ98" i="2" s="1"/>
  <c r="AZ94" i="2" a="1"/>
  <c r="AZ94" i="2" s="1"/>
  <c r="AZ93" i="2" a="1"/>
  <c r="AZ93" i="2" s="1"/>
  <c r="C87" i="3" l="1" a="1"/>
  <c r="C128" i="3" s="1"/>
  <c r="CZ33" i="4"/>
  <c r="CZ31" i="4"/>
  <c r="CZ28" i="4"/>
  <c r="CZ27" i="4"/>
  <c r="CZ34" i="4"/>
  <c r="CZ32" i="4"/>
  <c r="CZ30" i="4"/>
  <c r="CZ29" i="4"/>
  <c r="CZ36" i="4"/>
  <c r="CZ35" i="4"/>
  <c r="CU29" i="6"/>
  <c r="CU10" i="4"/>
  <c r="CT10" i="6" s="1"/>
  <c r="CU21" i="6"/>
  <c r="T56" i="1"/>
  <c r="R56" i="1"/>
  <c r="S56" i="1"/>
  <c r="CU19" i="6"/>
  <c r="DA27" i="6" a="1"/>
  <c r="DA27" i="6" s="1"/>
  <c r="CY27" i="6"/>
  <c r="CU36" i="4"/>
  <c r="CT36" i="6" s="1"/>
  <c r="CU36" i="6" s="1"/>
  <c r="CZ30" i="2"/>
  <c r="CZ29" i="2"/>
  <c r="CZ28" i="2"/>
  <c r="CZ27" i="2"/>
  <c r="CS45" i="4"/>
  <c r="CU45" i="4" s="1"/>
  <c r="CT45" i="6" s="1"/>
  <c r="CS54" i="2"/>
  <c r="CU54" i="2" s="1"/>
  <c r="CT54" i="4" s="1"/>
  <c r="CS13" i="2"/>
  <c r="CU13" i="2" s="1"/>
  <c r="CT13" i="4" s="1"/>
  <c r="CS45" i="6"/>
  <c r="CS27" i="2"/>
  <c r="CU27" i="2" s="1"/>
  <c r="CT27" i="4" s="1"/>
  <c r="G88" i="6" a="1"/>
  <c r="G88" i="6" s="1"/>
  <c r="G86" i="6" a="1"/>
  <c r="G86" i="6" s="1"/>
  <c r="G85" i="6" a="1"/>
  <c r="G85" i="6" s="1"/>
  <c r="G89" i="6" a="1"/>
  <c r="G89" i="6" s="1"/>
  <c r="G87" i="6" a="1"/>
  <c r="G87" i="6" s="1"/>
  <c r="G90" i="6" a="1"/>
  <c r="G90" i="6" s="1"/>
  <c r="EI59" i="2"/>
  <c r="EI60" i="2"/>
  <c r="CS49" i="6"/>
  <c r="CS14" i="4"/>
  <c r="CU14" i="4" s="1"/>
  <c r="CT14" i="6" s="1"/>
  <c r="CU14" i="6" s="1"/>
  <c r="CS22" i="2"/>
  <c r="CU22" i="2" s="1"/>
  <c r="CT22" i="4" s="1"/>
  <c r="CS10" i="2"/>
  <c r="CU10" i="2" s="1"/>
  <c r="CT10" i="4" s="1"/>
  <c r="CS46" i="6"/>
  <c r="CS17" i="6"/>
  <c r="CS31" i="6"/>
  <c r="CU31" i="6" s="1"/>
  <c r="CS18" i="4"/>
  <c r="CU18" i="4" s="1"/>
  <c r="CT18" i="6" s="1"/>
  <c r="CU18" i="6" s="1"/>
  <c r="CV59" i="6"/>
  <c r="CV61" i="6" s="1"/>
  <c r="CS27" i="4"/>
  <c r="CU27" i="4" s="1"/>
  <c r="CT27" i="6" s="1"/>
  <c r="CS26" i="6"/>
  <c r="J87" i="3" a="1"/>
  <c r="CS38" i="4"/>
  <c r="CU38" i="4" s="1"/>
  <c r="CT38" i="6" s="1"/>
  <c r="CU38" i="6" s="1"/>
  <c r="DQ61" i="2"/>
  <c r="DQ60" i="2"/>
  <c r="DQ59" i="2"/>
  <c r="AT59" i="3" s="1" a="1"/>
  <c r="CS33" i="4"/>
  <c r="CU33" i="4" s="1"/>
  <c r="CT33" i="6" s="1"/>
  <c r="CU33" i="6" s="1"/>
  <c r="CS49" i="2"/>
  <c r="CU49" i="2" s="1"/>
  <c r="CT49" i="4" s="1"/>
  <c r="CU49" i="4" s="1"/>
  <c r="CT49" i="6" s="1"/>
  <c r="CS34" i="6"/>
  <c r="CU39" i="4"/>
  <c r="CT39" i="6" s="1"/>
  <c r="X83" i="4"/>
  <c r="Y4" i="4"/>
  <c r="T64" i="4"/>
  <c r="CS53" i="4"/>
  <c r="CU53" i="4" s="1"/>
  <c r="CT53" i="6" s="1"/>
  <c r="CS54" i="4"/>
  <c r="CU54" i="4" s="1"/>
  <c r="CT54" i="6" s="1"/>
  <c r="CU54" i="6" s="1"/>
  <c r="CS19" i="4"/>
  <c r="CU19" i="4" s="1"/>
  <c r="CT19" i="6" s="1"/>
  <c r="CS37" i="4"/>
  <c r="AQ60" i="3"/>
  <c r="M78" i="3" s="1"/>
  <c r="N78" i="3" s="1"/>
  <c r="AQ59" i="3"/>
  <c r="M77" i="3" s="1"/>
  <c r="N77" i="3" s="1"/>
  <c r="AP59" i="3"/>
  <c r="C77" i="3" s="1"/>
  <c r="D77" i="3" s="1"/>
  <c r="K77" i="3" s="1"/>
  <c r="AP60" i="3"/>
  <c r="C78" i="3" s="1"/>
  <c r="D78" i="3" s="1"/>
  <c r="K78" i="3" s="1"/>
  <c r="CS29" i="4"/>
  <c r="CU29" i="4" s="1"/>
  <c r="CT29" i="6" s="1"/>
  <c r="CS23" i="4"/>
  <c r="CU23" i="4" s="1"/>
  <c r="CT23" i="6" s="1"/>
  <c r="CU23" i="6" s="1"/>
  <c r="CS22" i="4"/>
  <c r="CU22" i="4" s="1"/>
  <c r="CT22" i="6" s="1"/>
  <c r="CU22" i="6" s="1"/>
  <c r="CS13" i="4"/>
  <c r="EJ60" i="2"/>
  <c r="EJ59" i="2"/>
  <c r="EG59" i="2" s="1" a="1"/>
  <c r="EG59" i="2" s="1"/>
  <c r="CS28" i="6"/>
  <c r="CS32" i="4"/>
  <c r="CS38" i="2"/>
  <c r="CU38" i="2" s="1"/>
  <c r="CT38" i="4" s="1"/>
  <c r="CS47" i="6"/>
  <c r="CU47" i="6" s="1"/>
  <c r="CS17" i="4"/>
  <c r="CU17" i="4" s="1"/>
  <c r="CT17" i="6" s="1"/>
  <c r="CV59" i="2"/>
  <c r="CV61" i="2" s="1"/>
  <c r="CV60" i="6"/>
  <c r="CV60" i="4"/>
  <c r="CV60" i="2"/>
  <c r="CS50" i="4"/>
  <c r="CU50" i="4" s="1"/>
  <c r="CT50" i="6" s="1"/>
  <c r="CU50" i="6" s="1"/>
  <c r="CS42" i="2"/>
  <c r="CU42" i="2" s="1"/>
  <c r="CT42" i="4" s="1"/>
  <c r="CU42" i="4" s="1"/>
  <c r="CT42" i="6" s="1"/>
  <c r="CS34" i="2"/>
  <c r="CU34" i="2" s="1"/>
  <c r="CT34" i="4" s="1"/>
  <c r="CS16" i="2"/>
  <c r="CU16" i="2" s="1"/>
  <c r="CT16" i="4" s="1"/>
  <c r="CS26" i="2"/>
  <c r="CU26" i="2" s="1"/>
  <c r="CT26" i="4" s="1"/>
  <c r="CS43" i="4"/>
  <c r="CU43" i="4" s="1"/>
  <c r="CT43" i="6" s="1"/>
  <c r="CU43" i="6" s="1"/>
  <c r="CS15" i="4"/>
  <c r="CS41" i="2"/>
  <c r="CU41" i="2" s="1"/>
  <c r="CT41" i="4" s="1"/>
  <c r="CS28" i="4"/>
  <c r="CU28" i="4" s="1"/>
  <c r="CT28" i="6" s="1"/>
  <c r="CS24" i="6"/>
  <c r="BG98" i="6" a="1"/>
  <c r="BG98" i="6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AT114" i="5"/>
  <c r="AS114" i="5"/>
  <c r="CS23" i="2"/>
  <c r="CU23" i="2" s="1"/>
  <c r="CT23" i="4" s="1"/>
  <c r="CS37" i="2"/>
  <c r="CU37" i="2" s="1"/>
  <c r="CT37" i="4" s="1"/>
  <c r="CS48" i="6"/>
  <c r="CS16" i="4"/>
  <c r="CU16" i="4" s="1"/>
  <c r="CT16" i="6" s="1"/>
  <c r="CS40" i="2"/>
  <c r="CU40" i="2" s="1"/>
  <c r="CT40" i="4" s="1"/>
  <c r="Y4" i="2"/>
  <c r="X83" i="2"/>
  <c r="T64" i="2"/>
  <c r="CV59" i="4"/>
  <c r="CV61" i="4"/>
  <c r="AT114" i="7"/>
  <c r="AS114" i="7"/>
  <c r="CS11" i="6"/>
  <c r="CS30" i="2"/>
  <c r="CU30" i="2" s="1"/>
  <c r="CT30" i="4" s="1"/>
  <c r="CS24" i="4"/>
  <c r="CU24" i="4" s="1"/>
  <c r="CT24" i="6" s="1"/>
  <c r="CS40" i="4"/>
  <c r="CS8" i="2"/>
  <c r="P88" i="4" a="1"/>
  <c r="P88" i="4" s="1"/>
  <c r="P85" i="4" a="1"/>
  <c r="P85" i="4" s="1"/>
  <c r="P90" i="4" a="1"/>
  <c r="P90" i="4" s="1"/>
  <c r="P87" i="4" a="1"/>
  <c r="P87" i="4" s="1"/>
  <c r="P89" i="4" a="1"/>
  <c r="P89" i="4" s="1"/>
  <c r="P86" i="4" a="1"/>
  <c r="P86" i="4" s="1"/>
  <c r="CS26" i="4"/>
  <c r="CS36" i="2"/>
  <c r="CU36" i="2" s="1"/>
  <c r="CT36" i="4" s="1"/>
  <c r="CS17" i="2"/>
  <c r="CU17" i="2" s="1"/>
  <c r="CT17" i="4" s="1"/>
  <c r="CS14" i="2"/>
  <c r="CU14" i="2" s="1"/>
  <c r="CT14" i="4" s="1"/>
  <c r="C135" i="7"/>
  <c r="D135" i="7" s="1"/>
  <c r="C135" i="5"/>
  <c r="D135" i="5" s="1"/>
  <c r="CS48" i="2"/>
  <c r="CU48" i="2" s="1"/>
  <c r="CT48" i="4" s="1"/>
  <c r="CS53" i="6"/>
  <c r="P90" i="2" a="1"/>
  <c r="P90" i="2" s="1"/>
  <c r="P87" i="2" a="1"/>
  <c r="P87" i="2" s="1"/>
  <c r="P89" i="2" a="1"/>
  <c r="P89" i="2" s="1"/>
  <c r="P86" i="2" a="1"/>
  <c r="P86" i="2" s="1"/>
  <c r="P88" i="2" a="1"/>
  <c r="P88" i="2" s="1"/>
  <c r="P85" i="2" a="1"/>
  <c r="P85" i="2" s="1"/>
  <c r="CS31" i="4"/>
  <c r="CU31" i="4" s="1"/>
  <c r="CT31" i="6" s="1"/>
  <c r="CS52" i="2"/>
  <c r="CU52" i="2" s="1"/>
  <c r="CT52" i="4" s="1"/>
  <c r="CU52" i="4" s="1"/>
  <c r="CT52" i="6" s="1"/>
  <c r="CU52" i="6" s="1"/>
  <c r="CU55" i="4"/>
  <c r="CT55" i="6" s="1"/>
  <c r="CU55" i="6" s="1"/>
  <c r="CS12" i="2"/>
  <c r="CU12" i="2" s="1"/>
  <c r="CT12" i="4" s="1"/>
  <c r="CU12" i="4" s="1"/>
  <c r="CT12" i="6" s="1"/>
  <c r="CU12" i="6" s="1"/>
  <c r="CS39" i="6"/>
  <c r="CU39" i="6" s="1"/>
  <c r="CS20" i="6"/>
  <c r="CS11" i="4"/>
  <c r="CU11" i="4" s="1"/>
  <c r="CT11" i="6" s="1"/>
  <c r="CS20" i="4"/>
  <c r="CU20" i="4" s="1"/>
  <c r="CT20" i="6" s="1"/>
  <c r="CS46" i="2"/>
  <c r="CU46" i="2" s="1"/>
  <c r="CT46" i="4" s="1"/>
  <c r="CS27" i="6"/>
  <c r="CU27" i="6" s="1"/>
  <c r="CS57" i="4"/>
  <c r="CS51" i="4"/>
  <c r="CU51" i="4" s="1"/>
  <c r="CT51" i="6" s="1"/>
  <c r="CU51" i="6" s="1"/>
  <c r="CS35" i="4"/>
  <c r="CS57" i="2"/>
  <c r="CU57" i="2" s="1"/>
  <c r="CT57" i="4" s="1"/>
  <c r="CS40" i="6"/>
  <c r="CS16" i="6"/>
  <c r="CU16" i="6" s="1"/>
  <c r="O83" i="6"/>
  <c r="O64" i="6"/>
  <c r="T4" i="6"/>
  <c r="AP114" i="5"/>
  <c r="AO114" i="5"/>
  <c r="C132" i="5" s="1"/>
  <c r="D132" i="5" s="1"/>
  <c r="CU30" i="4"/>
  <c r="CT30" i="6" s="1"/>
  <c r="CU30" i="6" s="1"/>
  <c r="CS51" i="2"/>
  <c r="CU51" i="2" s="1"/>
  <c r="CT51" i="4" s="1"/>
  <c r="CS56" i="4"/>
  <c r="CU56" i="4" s="1"/>
  <c r="CT56" i="6" s="1"/>
  <c r="CU56" i="6" s="1"/>
  <c r="CS50" i="2"/>
  <c r="CU50" i="2" s="1"/>
  <c r="CT50" i="4" s="1"/>
  <c r="CS48" i="4"/>
  <c r="CU48" i="4" s="1"/>
  <c r="CT48" i="6" s="1"/>
  <c r="CS46" i="4"/>
  <c r="CS18" i="2"/>
  <c r="CU18" i="2" s="1"/>
  <c r="CT18" i="4" s="1"/>
  <c r="CS42" i="6"/>
  <c r="CS10" i="6"/>
  <c r="C60" i="7" s="1" a="1"/>
  <c r="CS34" i="4"/>
  <c r="CU34" i="4" s="1"/>
  <c r="CT34" i="6" s="1"/>
  <c r="CS9" i="2"/>
  <c r="CU9" i="2" s="1"/>
  <c r="CT9" i="4" s="1"/>
  <c r="CS44" i="4"/>
  <c r="CU44" i="4" s="1"/>
  <c r="CT44" i="6" s="1"/>
  <c r="CU44" i="6" s="1"/>
  <c r="CS32" i="6"/>
  <c r="CS41" i="4"/>
  <c r="CS9" i="4"/>
  <c r="C60" i="5" s="1" a="1"/>
  <c r="CS25" i="4"/>
  <c r="CU25" i="4" s="1"/>
  <c r="CT25" i="6" s="1"/>
  <c r="CU25" i="6" s="1"/>
  <c r="CS15" i="2"/>
  <c r="CU15" i="2" s="1"/>
  <c r="CT15" i="4" s="1"/>
  <c r="CS32" i="2"/>
  <c r="CU32" i="2" s="1"/>
  <c r="CT32" i="4" s="1"/>
  <c r="CS25" i="2"/>
  <c r="CU25" i="2" s="1"/>
  <c r="CT25" i="4" s="1"/>
  <c r="CS35" i="2"/>
  <c r="CU35" i="2" s="1"/>
  <c r="CT35" i="4" s="1"/>
  <c r="AP114" i="7"/>
  <c r="AO114" i="7"/>
  <c r="C132" i="7" s="1"/>
  <c r="D132" i="7" s="1"/>
  <c r="C95" i="3" l="1"/>
  <c r="D95" i="3" s="1"/>
  <c r="C87" i="3"/>
  <c r="D87" i="3" s="1"/>
  <c r="C96" i="3"/>
  <c r="D96" i="3" s="1"/>
  <c r="C91" i="3"/>
  <c r="C100" i="3"/>
  <c r="C107" i="3"/>
  <c r="C110" i="3"/>
  <c r="C103" i="3"/>
  <c r="C116" i="3"/>
  <c r="C133" i="3"/>
  <c r="C124" i="3"/>
  <c r="C115" i="3"/>
  <c r="C118" i="3"/>
  <c r="C109" i="3"/>
  <c r="C97" i="3"/>
  <c r="C127" i="3"/>
  <c r="C101" i="3"/>
  <c r="C134" i="3"/>
  <c r="C111" i="3"/>
  <c r="C93" i="3"/>
  <c r="D93" i="3" s="1"/>
  <c r="C123" i="3"/>
  <c r="C88" i="3"/>
  <c r="D88" i="3" s="1"/>
  <c r="C125" i="3"/>
  <c r="C105" i="3"/>
  <c r="C89" i="3"/>
  <c r="D89" i="3" s="1"/>
  <c r="C102" i="3"/>
  <c r="C114" i="3"/>
  <c r="C98" i="3"/>
  <c r="C117" i="3"/>
  <c r="C92" i="3"/>
  <c r="C130" i="3"/>
  <c r="C135" i="3"/>
  <c r="C112" i="3"/>
  <c r="C129" i="3"/>
  <c r="C119" i="3"/>
  <c r="C104" i="3"/>
  <c r="C94" i="3"/>
  <c r="D94" i="3" s="1"/>
  <c r="C126" i="3"/>
  <c r="C120" i="3"/>
  <c r="C131" i="3"/>
  <c r="C108" i="3"/>
  <c r="C99" i="3"/>
  <c r="C121" i="3"/>
  <c r="C106" i="3"/>
  <c r="C122" i="3"/>
  <c r="C113" i="3"/>
  <c r="C90" i="3"/>
  <c r="D90" i="3" s="1"/>
  <c r="C132" i="3"/>
  <c r="C136" i="3"/>
  <c r="C106" i="7"/>
  <c r="C94" i="7"/>
  <c r="C82" i="7"/>
  <c r="C70" i="7"/>
  <c r="C101" i="7"/>
  <c r="C88" i="7"/>
  <c r="C75" i="7"/>
  <c r="C62" i="7"/>
  <c r="C100" i="7"/>
  <c r="C87" i="7"/>
  <c r="C74" i="7"/>
  <c r="C61" i="7"/>
  <c r="C99" i="7"/>
  <c r="C86" i="7"/>
  <c r="C73" i="7"/>
  <c r="C98" i="7"/>
  <c r="C85" i="7"/>
  <c r="C72" i="7"/>
  <c r="C60" i="7"/>
  <c r="C95" i="7"/>
  <c r="C77" i="7"/>
  <c r="C93" i="7"/>
  <c r="C76" i="7"/>
  <c r="C92" i="7"/>
  <c r="C71" i="7"/>
  <c r="C108" i="7"/>
  <c r="C90" i="7"/>
  <c r="C68" i="7"/>
  <c r="C105" i="7"/>
  <c r="C79" i="7"/>
  <c r="C104" i="7"/>
  <c r="C78" i="7"/>
  <c r="C103" i="7"/>
  <c r="C69" i="7"/>
  <c r="C102" i="7"/>
  <c r="C67" i="7"/>
  <c r="C97" i="7"/>
  <c r="C66" i="7"/>
  <c r="C96" i="7"/>
  <c r="C65" i="7"/>
  <c r="C91" i="7"/>
  <c r="C64" i="7"/>
  <c r="C109" i="7"/>
  <c r="C107" i="7"/>
  <c r="C89" i="7"/>
  <c r="C84" i="7"/>
  <c r="C83" i="7"/>
  <c r="C81" i="7"/>
  <c r="C80" i="7"/>
  <c r="C63" i="7"/>
  <c r="C104" i="5"/>
  <c r="C92" i="5"/>
  <c r="C80" i="5"/>
  <c r="C68" i="5"/>
  <c r="C97" i="5"/>
  <c r="C84" i="5"/>
  <c r="C71" i="5"/>
  <c r="C108" i="5"/>
  <c r="C95" i="5"/>
  <c r="C82" i="5"/>
  <c r="C69" i="5"/>
  <c r="C100" i="5"/>
  <c r="C85" i="5"/>
  <c r="C67" i="5"/>
  <c r="C96" i="5"/>
  <c r="C79" i="5"/>
  <c r="C64" i="5"/>
  <c r="C106" i="5"/>
  <c r="C88" i="5"/>
  <c r="C70" i="5"/>
  <c r="C102" i="5"/>
  <c r="C81" i="5"/>
  <c r="C61" i="5"/>
  <c r="C101" i="5"/>
  <c r="C78" i="5"/>
  <c r="C99" i="5"/>
  <c r="C77" i="5"/>
  <c r="C60" i="5"/>
  <c r="C93" i="5"/>
  <c r="C74" i="5"/>
  <c r="C107" i="5"/>
  <c r="C75" i="5"/>
  <c r="C105" i="5"/>
  <c r="C73" i="5"/>
  <c r="C103" i="5"/>
  <c r="C72" i="5"/>
  <c r="C98" i="5"/>
  <c r="C66" i="5"/>
  <c r="C65" i="5"/>
  <c r="C63" i="5"/>
  <c r="C62" i="5"/>
  <c r="C109" i="5"/>
  <c r="C94" i="5"/>
  <c r="C91" i="5"/>
  <c r="C87" i="5"/>
  <c r="C86" i="5"/>
  <c r="C76" i="5"/>
  <c r="C90" i="5"/>
  <c r="C89" i="5"/>
  <c r="C83" i="5"/>
  <c r="CU13" i="4"/>
  <c r="CT13" i="6" s="1"/>
  <c r="CU13" i="6" s="1"/>
  <c r="AG83" i="4"/>
  <c r="AD4" i="4"/>
  <c r="Y64" i="4"/>
  <c r="CR59" i="6"/>
  <c r="CR59" i="4"/>
  <c r="CR59" i="2"/>
  <c r="CY30" i="4"/>
  <c r="DA30" i="4" a="1"/>
  <c r="DA30" i="4" s="1"/>
  <c r="CU42" i="6"/>
  <c r="CU20" i="6"/>
  <c r="CU53" i="6"/>
  <c r="Y90" i="2" a="1"/>
  <c r="Y90" i="2" s="1"/>
  <c r="Y86" i="2" a="1"/>
  <c r="Y86" i="2" s="1"/>
  <c r="Y89" i="2" a="1"/>
  <c r="Y89" i="2" s="1"/>
  <c r="Y88" i="2" a="1"/>
  <c r="Y88" i="2" s="1"/>
  <c r="Y87" i="2" a="1"/>
  <c r="Y87" i="2" s="1"/>
  <c r="Y85" i="2" a="1"/>
  <c r="Y85" i="2" s="1"/>
  <c r="CU24" i="6"/>
  <c r="Y89" i="4" a="1"/>
  <c r="Y89" i="4" s="1"/>
  <c r="Y86" i="4" a="1"/>
  <c r="Y86" i="4" s="1"/>
  <c r="Y85" i="4" a="1"/>
  <c r="Y85" i="4" s="1"/>
  <c r="Y87" i="4" a="1"/>
  <c r="Y87" i="4" s="1"/>
  <c r="Y88" i="4" a="1"/>
  <c r="Y88" i="4" s="1"/>
  <c r="Y90" i="4" a="1"/>
  <c r="Y90" i="4" s="1"/>
  <c r="CR58" i="6"/>
  <c r="CR58" i="2"/>
  <c r="CR58" i="4"/>
  <c r="DA32" i="4" a="1"/>
  <c r="DA32" i="4" s="1"/>
  <c r="CY32" i="4"/>
  <c r="P89" i="6" a="1"/>
  <c r="P89" i="6" s="1"/>
  <c r="P87" i="6" a="1"/>
  <c r="P87" i="6" s="1"/>
  <c r="P86" i="6" a="1"/>
  <c r="P86" i="6" s="1"/>
  <c r="P90" i="6" a="1"/>
  <c r="P90" i="6" s="1"/>
  <c r="P88" i="6" a="1"/>
  <c r="P88" i="6" s="1"/>
  <c r="P85" i="6" a="1"/>
  <c r="P85" i="6" s="1"/>
  <c r="AG83" i="2"/>
  <c r="Y64" i="2"/>
  <c r="AD4" i="2"/>
  <c r="CR61" i="6"/>
  <c r="CR60" i="6"/>
  <c r="CR61" i="4"/>
  <c r="CR60" i="4"/>
  <c r="CR60" i="2"/>
  <c r="CR61" i="2"/>
  <c r="DA34" i="4" a="1"/>
  <c r="DA34" i="4" s="1"/>
  <c r="CY34" i="4"/>
  <c r="DA35" i="4" a="1"/>
  <c r="DA35" i="4" s="1"/>
  <c r="CY35" i="4"/>
  <c r="DA36" i="4" a="1"/>
  <c r="DA36" i="4" s="1"/>
  <c r="CY36" i="4"/>
  <c r="K132" i="7"/>
  <c r="M132" i="7"/>
  <c r="DA27" i="4" a="1"/>
  <c r="DA27" i="4" s="1"/>
  <c r="CY27" i="4"/>
  <c r="K132" i="5"/>
  <c r="M132" i="5"/>
  <c r="X83" i="6"/>
  <c r="T64" i="6"/>
  <c r="Y4" i="6"/>
  <c r="D91" i="3"/>
  <c r="DA28" i="4" a="1"/>
  <c r="DA28" i="4" s="1"/>
  <c r="CY28" i="4"/>
  <c r="J133" i="3"/>
  <c r="J121" i="3"/>
  <c r="J109" i="3"/>
  <c r="J97" i="3"/>
  <c r="J131" i="3"/>
  <c r="J119" i="3"/>
  <c r="J107" i="3"/>
  <c r="J95" i="3"/>
  <c r="J128" i="3"/>
  <c r="J114" i="3"/>
  <c r="J100" i="3"/>
  <c r="J87" i="3"/>
  <c r="J127" i="3"/>
  <c r="J113" i="3"/>
  <c r="J99" i="3"/>
  <c r="J126" i="3"/>
  <c r="J112" i="3"/>
  <c r="J98" i="3"/>
  <c r="J125" i="3"/>
  <c r="J111" i="3"/>
  <c r="J96" i="3"/>
  <c r="J123" i="3"/>
  <c r="J108" i="3"/>
  <c r="J93" i="3"/>
  <c r="J129" i="3"/>
  <c r="J103" i="3"/>
  <c r="J124" i="3"/>
  <c r="J102" i="3"/>
  <c r="J122" i="3"/>
  <c r="J101" i="3"/>
  <c r="J120" i="3"/>
  <c r="J94" i="3"/>
  <c r="J118" i="3"/>
  <c r="J92" i="3"/>
  <c r="J117" i="3"/>
  <c r="J91" i="3"/>
  <c r="J116" i="3"/>
  <c r="J90" i="3"/>
  <c r="J110" i="3"/>
  <c r="J106" i="3"/>
  <c r="J105" i="3"/>
  <c r="J104" i="3"/>
  <c r="J88" i="3"/>
  <c r="J134" i="3"/>
  <c r="J132" i="3"/>
  <c r="J130" i="3"/>
  <c r="J136" i="3"/>
  <c r="J135" i="3"/>
  <c r="J115" i="3"/>
  <c r="J89" i="3"/>
  <c r="D92" i="3"/>
  <c r="DA29" i="4" a="1"/>
  <c r="DA29" i="4" s="1"/>
  <c r="CY29" i="4"/>
  <c r="K135" i="7"/>
  <c r="M135" i="7"/>
  <c r="CU15" i="4"/>
  <c r="CT15" i="6" s="1"/>
  <c r="CU15" i="6" s="1"/>
  <c r="CU48" i="6"/>
  <c r="O78" i="3" a="1"/>
  <c r="O78" i="3" s="1"/>
  <c r="O77" i="3" a="1"/>
  <c r="O77" i="3" s="1"/>
  <c r="O79" i="3" a="1"/>
  <c r="O79" i="3" s="1"/>
  <c r="CU17" i="6"/>
  <c r="DA27" i="2" a="1"/>
  <c r="DA27" i="2" s="1"/>
  <c r="CY27" i="2"/>
  <c r="CY31" i="4"/>
  <c r="DA31" i="4" a="1"/>
  <c r="DA31" i="4" s="1"/>
  <c r="DA28" i="2" a="1"/>
  <c r="DA28" i="2" s="1"/>
  <c r="CY28" i="2"/>
  <c r="CY33" i="4"/>
  <c r="DA33" i="4" a="1"/>
  <c r="DA33" i="4" s="1"/>
  <c r="CU10" i="6"/>
  <c r="K135" i="5"/>
  <c r="M135" i="5"/>
  <c r="CU34" i="6"/>
  <c r="CU40" i="6"/>
  <c r="CU49" i="6"/>
  <c r="CU46" i="4"/>
  <c r="CT46" i="6" s="1"/>
  <c r="C5" i="3" a="1"/>
  <c r="CU8" i="2"/>
  <c r="CT8" i="4" s="1"/>
  <c r="CU8" i="4" s="1"/>
  <c r="CU40" i="4"/>
  <c r="CT40" i="6" s="1"/>
  <c r="CU9" i="4"/>
  <c r="CT9" i="6" s="1"/>
  <c r="CU9" i="6" s="1"/>
  <c r="CU35" i="4"/>
  <c r="CT35" i="6" s="1"/>
  <c r="CU35" i="6" s="1"/>
  <c r="AU60" i="3"/>
  <c r="M81" i="3" s="1"/>
  <c r="N81" i="3" s="1"/>
  <c r="AT60" i="3"/>
  <c r="AU59" i="3"/>
  <c r="M80" i="3" s="1"/>
  <c r="N80" i="3" s="1"/>
  <c r="AT59" i="3"/>
  <c r="AU61" i="3"/>
  <c r="M82" i="3" s="1"/>
  <c r="N82" i="3" s="1"/>
  <c r="AT61" i="3"/>
  <c r="CU46" i="6"/>
  <c r="CU41" i="4"/>
  <c r="CT41" i="6" s="1"/>
  <c r="CU41" i="6" s="1"/>
  <c r="CU11" i="6"/>
  <c r="CU32" i="4"/>
  <c r="CT32" i="6" s="1"/>
  <c r="CU37" i="4"/>
  <c r="CT37" i="6" s="1"/>
  <c r="CU37" i="6" s="1"/>
  <c r="CY29" i="2"/>
  <c r="DA29" i="2" a="1"/>
  <c r="DA29" i="2" s="1"/>
  <c r="CU32" i="6"/>
  <c r="CU57" i="4"/>
  <c r="CT57" i="6" s="1"/>
  <c r="CU57" i="6" s="1"/>
  <c r="CU26" i="4"/>
  <c r="CT26" i="6" s="1"/>
  <c r="CU26" i="6" s="1"/>
  <c r="CU28" i="6"/>
  <c r="CU45" i="6"/>
  <c r="CY30" i="2"/>
  <c r="DA30" i="2" a="1"/>
  <c r="DA30" i="2" s="1"/>
  <c r="Q87" i="5" l="1"/>
  <c r="D87" i="5"/>
  <c r="O87" i="5"/>
  <c r="L87" i="5"/>
  <c r="I87" i="5"/>
  <c r="F87" i="5"/>
  <c r="E87" i="5"/>
  <c r="H87" i="5"/>
  <c r="N87" i="5"/>
  <c r="K87" i="5"/>
  <c r="Q105" i="5"/>
  <c r="D105" i="5"/>
  <c r="O105" i="5"/>
  <c r="H105" i="5"/>
  <c r="F105" i="5"/>
  <c r="G105" i="5" s="1"/>
  <c r="E105" i="5"/>
  <c r="L105" i="5"/>
  <c r="K105" i="5"/>
  <c r="N105" i="5"/>
  <c r="I105" i="5"/>
  <c r="J105" i="5" s="1"/>
  <c r="K95" i="5"/>
  <c r="E95" i="5"/>
  <c r="F95" i="5"/>
  <c r="G95" i="5" s="1"/>
  <c r="L95" i="5"/>
  <c r="M95" i="5" s="1"/>
  <c r="Q95" i="5"/>
  <c r="N95" i="5"/>
  <c r="I95" i="5"/>
  <c r="J95" i="5" s="1"/>
  <c r="H95" i="5"/>
  <c r="D95" i="5"/>
  <c r="O95" i="5"/>
  <c r="H83" i="7"/>
  <c r="F83" i="7"/>
  <c r="G83" i="7" s="1"/>
  <c r="I83" i="7"/>
  <c r="J83" i="7" s="1"/>
  <c r="D83" i="7"/>
  <c r="Q83" i="7"/>
  <c r="O83" i="7"/>
  <c r="P83" i="7" s="1"/>
  <c r="E83" i="7"/>
  <c r="N83" i="7"/>
  <c r="L83" i="7"/>
  <c r="M83" i="7" s="1"/>
  <c r="K83" i="7"/>
  <c r="Q102" i="7"/>
  <c r="E102" i="7"/>
  <c r="D102" i="7"/>
  <c r="K102" i="7"/>
  <c r="I102" i="7"/>
  <c r="J102" i="7" s="1"/>
  <c r="F102" i="7"/>
  <c r="G102" i="7" s="1"/>
  <c r="N102" i="7"/>
  <c r="O102" i="7"/>
  <c r="P102" i="7" s="1"/>
  <c r="L102" i="7"/>
  <c r="H102" i="7"/>
  <c r="H76" i="7"/>
  <c r="F76" i="7"/>
  <c r="D76" i="7"/>
  <c r="Q76" i="7"/>
  <c r="O76" i="7"/>
  <c r="N76" i="7"/>
  <c r="L76" i="7"/>
  <c r="K76" i="7"/>
  <c r="I76" i="7"/>
  <c r="J76" i="7" s="1"/>
  <c r="E76" i="7"/>
  <c r="F74" i="7"/>
  <c r="N74" i="7"/>
  <c r="L74" i="7"/>
  <c r="M74" i="7" s="1"/>
  <c r="Q74" i="7"/>
  <c r="O74" i="7"/>
  <c r="K74" i="7"/>
  <c r="I74" i="7"/>
  <c r="H74" i="7"/>
  <c r="E74" i="7"/>
  <c r="D74" i="7"/>
  <c r="O109" i="5"/>
  <c r="P109" i="5" s="1"/>
  <c r="F109" i="5"/>
  <c r="G109" i="5" s="1"/>
  <c r="Q109" i="5"/>
  <c r="D109" i="5"/>
  <c r="L109" i="5"/>
  <c r="M109" i="5" s="1"/>
  <c r="N109" i="5"/>
  <c r="E109" i="5"/>
  <c r="K109" i="5"/>
  <c r="I109" i="5"/>
  <c r="H109" i="5"/>
  <c r="K74" i="5"/>
  <c r="N74" i="5"/>
  <c r="Q74" i="5"/>
  <c r="L74" i="5"/>
  <c r="M74" i="5" s="1"/>
  <c r="H74" i="5"/>
  <c r="F74" i="5"/>
  <c r="G74" i="5" s="1"/>
  <c r="E74" i="5"/>
  <c r="I74" i="5"/>
  <c r="J74" i="5" s="1"/>
  <c r="D74" i="5"/>
  <c r="O74" i="5"/>
  <c r="O106" i="5"/>
  <c r="N106" i="5"/>
  <c r="L106" i="5"/>
  <c r="M106" i="5" s="1"/>
  <c r="D106" i="5"/>
  <c r="E106" i="5"/>
  <c r="I106" i="5"/>
  <c r="J106" i="5" s="1"/>
  <c r="H106" i="5"/>
  <c r="K106" i="5"/>
  <c r="F106" i="5"/>
  <c r="Q106" i="5"/>
  <c r="K84" i="5"/>
  <c r="N84" i="5"/>
  <c r="I84" i="5"/>
  <c r="Q84" i="5"/>
  <c r="L84" i="5"/>
  <c r="M84" i="5" s="1"/>
  <c r="H84" i="5"/>
  <c r="D84" i="5"/>
  <c r="O84" i="5"/>
  <c r="P84" i="5" s="1"/>
  <c r="F84" i="5"/>
  <c r="E84" i="5"/>
  <c r="I107" i="7"/>
  <c r="E107" i="7"/>
  <c r="O107" i="7"/>
  <c r="Q107" i="7"/>
  <c r="N107" i="7"/>
  <c r="D107" i="7"/>
  <c r="L107" i="7"/>
  <c r="K107" i="7"/>
  <c r="H107" i="7"/>
  <c r="F107" i="7"/>
  <c r="G107" i="7" s="1"/>
  <c r="D78" i="7"/>
  <c r="N78" i="7"/>
  <c r="Q78" i="7"/>
  <c r="O78" i="7"/>
  <c r="I78" i="7"/>
  <c r="H78" i="7"/>
  <c r="F78" i="7"/>
  <c r="L78" i="7"/>
  <c r="K78" i="7"/>
  <c r="E78" i="7"/>
  <c r="Q62" i="7"/>
  <c r="D62" i="7"/>
  <c r="O62" i="7"/>
  <c r="N62" i="7"/>
  <c r="L62" i="7"/>
  <c r="M62" i="7" s="1"/>
  <c r="E62" i="7"/>
  <c r="K62" i="7"/>
  <c r="I62" i="7"/>
  <c r="H62" i="7"/>
  <c r="F62" i="7"/>
  <c r="G62" i="7" s="1"/>
  <c r="K91" i="3"/>
  <c r="O134" i="7" a="1"/>
  <c r="O134" i="7" s="1"/>
  <c r="N132" i="7"/>
  <c r="O132" i="7" s="1" a="1"/>
  <c r="O132" i="7" s="1"/>
  <c r="O133" i="7" a="1"/>
  <c r="O133" i="7" s="1"/>
  <c r="AH90" i="4" a="1"/>
  <c r="AH90" i="4" s="1"/>
  <c r="AH87" i="4" a="1"/>
  <c r="AH87" i="4" s="1"/>
  <c r="AH89" i="4" a="1"/>
  <c r="AH89" i="4" s="1"/>
  <c r="AH88" i="4" a="1"/>
  <c r="AH88" i="4" s="1"/>
  <c r="AH85" i="4" a="1"/>
  <c r="AH85" i="4" s="1"/>
  <c r="AH86" i="4" a="1"/>
  <c r="AH86" i="4" s="1"/>
  <c r="I63" i="5"/>
  <c r="J63" i="5" s="1"/>
  <c r="F63" i="5"/>
  <c r="G63" i="5" s="1"/>
  <c r="O63" i="5"/>
  <c r="P63" i="5" s="1"/>
  <c r="Q63" i="5"/>
  <c r="K63" i="5"/>
  <c r="N63" i="5"/>
  <c r="L63" i="5"/>
  <c r="H63" i="5"/>
  <c r="E63" i="5"/>
  <c r="D63" i="5"/>
  <c r="Q60" i="5"/>
  <c r="D60" i="5"/>
  <c r="O60" i="5"/>
  <c r="P60" i="5" s="1"/>
  <c r="I60" i="5"/>
  <c r="F60" i="5"/>
  <c r="N60" i="5"/>
  <c r="H60" i="5"/>
  <c r="K60" i="5"/>
  <c r="E60" i="5"/>
  <c r="L60" i="5"/>
  <c r="O79" i="5"/>
  <c r="N79" i="5"/>
  <c r="L79" i="5"/>
  <c r="M79" i="5" s="1"/>
  <c r="D79" i="5"/>
  <c r="I79" i="5"/>
  <c r="H79" i="5"/>
  <c r="K79" i="5"/>
  <c r="F79" i="5"/>
  <c r="E79" i="5"/>
  <c r="Q79" i="5"/>
  <c r="K68" i="5"/>
  <c r="E68" i="5"/>
  <c r="Q68" i="5"/>
  <c r="N68" i="5"/>
  <c r="I68" i="5"/>
  <c r="D68" i="5"/>
  <c r="H68" i="5"/>
  <c r="F68" i="5"/>
  <c r="G68" i="5" s="1"/>
  <c r="O68" i="5"/>
  <c r="L68" i="5"/>
  <c r="M68" i="5" s="1"/>
  <c r="Q64" i="7"/>
  <c r="E64" i="7"/>
  <c r="K64" i="7"/>
  <c r="I64" i="7"/>
  <c r="H64" i="7"/>
  <c r="F64" i="7"/>
  <c r="G64" i="7" s="1"/>
  <c r="D64" i="7"/>
  <c r="O64" i="7"/>
  <c r="N64" i="7"/>
  <c r="L64" i="7"/>
  <c r="M64" i="7" s="1"/>
  <c r="L79" i="7"/>
  <c r="O79" i="7"/>
  <c r="N79" i="7"/>
  <c r="K79" i="7"/>
  <c r="I79" i="7"/>
  <c r="H79" i="7"/>
  <c r="Q79" i="7"/>
  <c r="F79" i="7"/>
  <c r="E79" i="7"/>
  <c r="D79" i="7"/>
  <c r="N72" i="7"/>
  <c r="F72" i="7"/>
  <c r="G72" i="7" s="1"/>
  <c r="E72" i="7"/>
  <c r="O72" i="7"/>
  <c r="L72" i="7"/>
  <c r="M72" i="7" s="1"/>
  <c r="D72" i="7"/>
  <c r="K72" i="7"/>
  <c r="I72" i="7"/>
  <c r="H72" i="7"/>
  <c r="Q72" i="7"/>
  <c r="L88" i="7"/>
  <c r="M88" i="7" s="1"/>
  <c r="O88" i="7"/>
  <c r="N88" i="7"/>
  <c r="D88" i="7"/>
  <c r="Q88" i="7"/>
  <c r="H88" i="7"/>
  <c r="F88" i="7"/>
  <c r="G88" i="7" s="1"/>
  <c r="E88" i="7"/>
  <c r="K88" i="7"/>
  <c r="I88" i="7"/>
  <c r="AP83" i="2"/>
  <c r="AD64" i="2"/>
  <c r="AI4" i="2"/>
  <c r="O137" i="5" a="1"/>
  <c r="O137" i="5" s="1"/>
  <c r="N135" i="5"/>
  <c r="O135" i="5" s="1" a="1"/>
  <c r="O135" i="5" s="1"/>
  <c r="O136" i="5" a="1"/>
  <c r="O136" i="5" s="1"/>
  <c r="H95" i="7"/>
  <c r="F95" i="7"/>
  <c r="G95" i="7" s="1"/>
  <c r="Q95" i="7"/>
  <c r="E95" i="7"/>
  <c r="I95" i="7"/>
  <c r="D95" i="7"/>
  <c r="K95" i="7"/>
  <c r="O95" i="7"/>
  <c r="N95" i="7"/>
  <c r="L95" i="7"/>
  <c r="M95" i="7" s="1"/>
  <c r="AI4" i="4"/>
  <c r="AP83" i="4"/>
  <c r="AD64" i="4"/>
  <c r="K62" i="5"/>
  <c r="L62" i="5"/>
  <c r="I62" i="5"/>
  <c r="D62" i="5"/>
  <c r="O62" i="5"/>
  <c r="N62" i="5"/>
  <c r="F62" i="5"/>
  <c r="E62" i="5"/>
  <c r="Q62" i="5"/>
  <c r="H62" i="5"/>
  <c r="K93" i="5"/>
  <c r="F93" i="5"/>
  <c r="D93" i="5"/>
  <c r="N93" i="5"/>
  <c r="L93" i="5"/>
  <c r="I93" i="5"/>
  <c r="Q93" i="5"/>
  <c r="O93" i="5"/>
  <c r="P93" i="5" s="1"/>
  <c r="H93" i="5"/>
  <c r="E93" i="5"/>
  <c r="O64" i="5"/>
  <c r="P64" i="5" s="1"/>
  <c r="F64" i="5"/>
  <c r="G64" i="5" s="1"/>
  <c r="Q64" i="5"/>
  <c r="D64" i="5"/>
  <c r="N64" i="5"/>
  <c r="E64" i="5"/>
  <c r="H64" i="5"/>
  <c r="L64" i="5"/>
  <c r="K64" i="5"/>
  <c r="I64" i="5"/>
  <c r="J64" i="5" s="1"/>
  <c r="O97" i="5"/>
  <c r="N97" i="5"/>
  <c r="L97" i="5"/>
  <c r="M97" i="5" s="1"/>
  <c r="I97" i="5"/>
  <c r="J97" i="5" s="1"/>
  <c r="F97" i="5"/>
  <c r="G97" i="5" s="1"/>
  <c r="Q97" i="5"/>
  <c r="H97" i="5"/>
  <c r="K97" i="5"/>
  <c r="E97" i="5"/>
  <c r="D97" i="5"/>
  <c r="L109" i="7"/>
  <c r="M109" i="7" s="1"/>
  <c r="I109" i="7"/>
  <c r="J109" i="7" s="1"/>
  <c r="E109" i="7"/>
  <c r="D109" i="7"/>
  <c r="Q109" i="7"/>
  <c r="O109" i="7"/>
  <c r="P109" i="7" s="1"/>
  <c r="N109" i="7"/>
  <c r="K109" i="7"/>
  <c r="H109" i="7"/>
  <c r="F109" i="7"/>
  <c r="I104" i="7"/>
  <c r="N104" i="7"/>
  <c r="L104" i="7"/>
  <c r="K104" i="7"/>
  <c r="O104" i="7"/>
  <c r="P104" i="7" s="1"/>
  <c r="Q104" i="7"/>
  <c r="H104" i="7"/>
  <c r="F104" i="7"/>
  <c r="G104" i="7" s="1"/>
  <c r="E104" i="7"/>
  <c r="D104" i="7"/>
  <c r="L60" i="7"/>
  <c r="H60" i="7"/>
  <c r="F60" i="7"/>
  <c r="E60" i="7"/>
  <c r="I60" i="7"/>
  <c r="D60" i="7"/>
  <c r="Q60" i="7"/>
  <c r="O60" i="7"/>
  <c r="P60" i="7" s="1"/>
  <c r="K60" i="7"/>
  <c r="N60" i="7"/>
  <c r="N75" i="7"/>
  <c r="K75" i="7"/>
  <c r="I75" i="7"/>
  <c r="D75" i="7"/>
  <c r="Q75" i="7"/>
  <c r="H75" i="7"/>
  <c r="F75" i="7"/>
  <c r="E75" i="7"/>
  <c r="O75" i="7"/>
  <c r="P75" i="7" s="1"/>
  <c r="L75" i="7"/>
  <c r="M75" i="7" s="1"/>
  <c r="K93" i="3"/>
  <c r="K87" i="3"/>
  <c r="K65" i="5"/>
  <c r="N65" i="5"/>
  <c r="D65" i="5"/>
  <c r="O65" i="5"/>
  <c r="P65" i="5" s="1"/>
  <c r="H65" i="5"/>
  <c r="F65" i="5"/>
  <c r="G65" i="5" s="1"/>
  <c r="Q65" i="5"/>
  <c r="L65" i="5"/>
  <c r="M65" i="5" s="1"/>
  <c r="I65" i="5"/>
  <c r="E65" i="5"/>
  <c r="K77" i="5"/>
  <c r="E77" i="5"/>
  <c r="O77" i="5"/>
  <c r="L77" i="5"/>
  <c r="M77" i="5" s="1"/>
  <c r="I77" i="5"/>
  <c r="H77" i="5"/>
  <c r="F77" i="5"/>
  <c r="G77" i="5" s="1"/>
  <c r="Q77" i="5"/>
  <c r="N77" i="5"/>
  <c r="D77" i="5"/>
  <c r="Q96" i="5"/>
  <c r="D96" i="5"/>
  <c r="O96" i="5"/>
  <c r="F96" i="5"/>
  <c r="E96" i="5"/>
  <c r="N96" i="5"/>
  <c r="L96" i="5"/>
  <c r="K96" i="5"/>
  <c r="I96" i="5"/>
  <c r="H96" i="5"/>
  <c r="K80" i="5"/>
  <c r="L80" i="5"/>
  <c r="I80" i="5"/>
  <c r="O80" i="5"/>
  <c r="P80" i="5" s="1"/>
  <c r="E80" i="5"/>
  <c r="N80" i="5"/>
  <c r="F80" i="5"/>
  <c r="Q80" i="5"/>
  <c r="D80" i="5"/>
  <c r="H80" i="5"/>
  <c r="L91" i="7"/>
  <c r="K91" i="7"/>
  <c r="I91" i="7"/>
  <c r="J91" i="7" s="1"/>
  <c r="H91" i="7"/>
  <c r="N91" i="7"/>
  <c r="F91" i="7"/>
  <c r="G91" i="7" s="1"/>
  <c r="E91" i="7"/>
  <c r="D91" i="7"/>
  <c r="Q91" i="7"/>
  <c r="O91" i="7"/>
  <c r="P91" i="7" s="1"/>
  <c r="Q105" i="7"/>
  <c r="E105" i="7"/>
  <c r="K105" i="7"/>
  <c r="I105" i="7"/>
  <c r="H105" i="7"/>
  <c r="O105" i="7"/>
  <c r="N105" i="7"/>
  <c r="F105" i="7"/>
  <c r="D105" i="7"/>
  <c r="L105" i="7"/>
  <c r="L85" i="7"/>
  <c r="F85" i="7"/>
  <c r="E85" i="7"/>
  <c r="D85" i="7"/>
  <c r="K85" i="7"/>
  <c r="I85" i="7"/>
  <c r="H85" i="7"/>
  <c r="Q85" i="7"/>
  <c r="O85" i="7"/>
  <c r="N85" i="7"/>
  <c r="I101" i="7"/>
  <c r="F101" i="7"/>
  <c r="K101" i="7"/>
  <c r="H101" i="7"/>
  <c r="E101" i="7"/>
  <c r="Q101" i="7"/>
  <c r="D101" i="7"/>
  <c r="O101" i="7"/>
  <c r="N101" i="7"/>
  <c r="L101" i="7"/>
  <c r="M101" i="7" s="1"/>
  <c r="K71" i="5"/>
  <c r="L71" i="5"/>
  <c r="M71" i="5" s="1"/>
  <c r="I71" i="5"/>
  <c r="Q71" i="5"/>
  <c r="N71" i="5"/>
  <c r="O71" i="5"/>
  <c r="P71" i="5" s="1"/>
  <c r="F71" i="5"/>
  <c r="H71" i="5"/>
  <c r="D71" i="5"/>
  <c r="E71" i="5"/>
  <c r="L100" i="7"/>
  <c r="M100" i="7" s="1"/>
  <c r="I100" i="7"/>
  <c r="F100" i="7"/>
  <c r="E100" i="7"/>
  <c r="O100" i="7"/>
  <c r="P100" i="7" s="1"/>
  <c r="N100" i="7"/>
  <c r="K100" i="7"/>
  <c r="H100" i="7"/>
  <c r="Q100" i="7"/>
  <c r="D100" i="7"/>
  <c r="K92" i="3"/>
  <c r="AG83" i="6"/>
  <c r="Y64" i="6"/>
  <c r="AD4" i="6"/>
  <c r="K83" i="5"/>
  <c r="N83" i="5"/>
  <c r="I83" i="5"/>
  <c r="O83" i="5"/>
  <c r="P83" i="5" s="1"/>
  <c r="F83" i="5"/>
  <c r="E83" i="5"/>
  <c r="H83" i="5"/>
  <c r="D83" i="5"/>
  <c r="Q83" i="5"/>
  <c r="L83" i="5"/>
  <c r="M83" i="5" s="1"/>
  <c r="K66" i="5"/>
  <c r="O66" i="5"/>
  <c r="D66" i="5"/>
  <c r="L66" i="5"/>
  <c r="I66" i="5"/>
  <c r="E66" i="5"/>
  <c r="F66" i="5"/>
  <c r="G66" i="5" s="1"/>
  <c r="Q66" i="5"/>
  <c r="N66" i="5"/>
  <c r="H66" i="5"/>
  <c r="I99" i="5"/>
  <c r="J99" i="5" s="1"/>
  <c r="F99" i="5"/>
  <c r="D99" i="5"/>
  <c r="Q99" i="5"/>
  <c r="O99" i="5"/>
  <c r="P99" i="5" s="1"/>
  <c r="L99" i="5"/>
  <c r="N99" i="5"/>
  <c r="K99" i="5"/>
  <c r="H99" i="5"/>
  <c r="E99" i="5"/>
  <c r="O67" i="5"/>
  <c r="H67" i="5"/>
  <c r="N67" i="5"/>
  <c r="F67" i="5"/>
  <c r="G67" i="5" s="1"/>
  <c r="Q67" i="5"/>
  <c r="I67" i="5"/>
  <c r="L67" i="5"/>
  <c r="M67" i="5" s="1"/>
  <c r="K67" i="5"/>
  <c r="E67" i="5"/>
  <c r="D67" i="5"/>
  <c r="K92" i="5"/>
  <c r="N92" i="5"/>
  <c r="H92" i="5"/>
  <c r="F92" i="5"/>
  <c r="E92" i="5"/>
  <c r="Q92" i="5"/>
  <c r="O92" i="5"/>
  <c r="L92" i="5"/>
  <c r="I92" i="5"/>
  <c r="D92" i="5"/>
  <c r="N65" i="7"/>
  <c r="I65" i="7"/>
  <c r="H65" i="7"/>
  <c r="F65" i="7"/>
  <c r="G65" i="7" s="1"/>
  <c r="O65" i="7"/>
  <c r="P65" i="7" s="1"/>
  <c r="L65" i="7"/>
  <c r="K65" i="7"/>
  <c r="E65" i="7"/>
  <c r="D65" i="7"/>
  <c r="Q65" i="7"/>
  <c r="F68" i="7"/>
  <c r="G68" i="7" s="1"/>
  <c r="E68" i="7"/>
  <c r="Q68" i="7"/>
  <c r="D68" i="7"/>
  <c r="K68" i="7"/>
  <c r="I68" i="7"/>
  <c r="H68" i="7"/>
  <c r="O68" i="7"/>
  <c r="N68" i="7"/>
  <c r="L68" i="7"/>
  <c r="H98" i="7"/>
  <c r="F98" i="7"/>
  <c r="G98" i="7" s="1"/>
  <c r="Q98" i="7"/>
  <c r="E98" i="7"/>
  <c r="I98" i="7"/>
  <c r="D98" i="7"/>
  <c r="O98" i="7"/>
  <c r="N98" i="7"/>
  <c r="L98" i="7"/>
  <c r="K98" i="7"/>
  <c r="L70" i="7"/>
  <c r="M70" i="7" s="1"/>
  <c r="K70" i="7"/>
  <c r="O70" i="7"/>
  <c r="N70" i="7"/>
  <c r="I70" i="7"/>
  <c r="J70" i="7" s="1"/>
  <c r="H70" i="7"/>
  <c r="F70" i="7"/>
  <c r="E70" i="7"/>
  <c r="D70" i="7"/>
  <c r="Q70" i="7"/>
  <c r="H92" i="7"/>
  <c r="F92" i="7"/>
  <c r="G92" i="7" s="1"/>
  <c r="I92" i="7"/>
  <c r="J92" i="7" s="1"/>
  <c r="O92" i="7"/>
  <c r="N92" i="7"/>
  <c r="L92" i="7"/>
  <c r="M92" i="7" s="1"/>
  <c r="Q92" i="7"/>
  <c r="K92" i="7"/>
  <c r="E92" i="7"/>
  <c r="D92" i="7"/>
  <c r="AK114" i="7" a="1"/>
  <c r="AK114" i="5" a="1"/>
  <c r="K90" i="3"/>
  <c r="AH90" i="2" a="1"/>
  <c r="AH90" i="2" s="1"/>
  <c r="AH88" i="2" a="1"/>
  <c r="AH88" i="2" s="1"/>
  <c r="AH85" i="2" a="1"/>
  <c r="AH85" i="2" s="1"/>
  <c r="AH86" i="2" a="1"/>
  <c r="AH86" i="2" s="1"/>
  <c r="AH87" i="2" a="1"/>
  <c r="AH87" i="2" s="1"/>
  <c r="AH89" i="2" a="1"/>
  <c r="AH89" i="2" s="1"/>
  <c r="CT8" i="6"/>
  <c r="CU8" i="6" s="1"/>
  <c r="C5" i="7" s="1" a="1"/>
  <c r="C5" i="5" a="1"/>
  <c r="O136" i="7" a="1"/>
  <c r="O136" i="7" s="1"/>
  <c r="O137" i="7" a="1"/>
  <c r="O137" i="7" s="1"/>
  <c r="N135" i="7"/>
  <c r="O135" i="7" s="1" a="1"/>
  <c r="O135" i="7" s="1"/>
  <c r="K96" i="3"/>
  <c r="K89" i="5"/>
  <c r="L89" i="5"/>
  <c r="I89" i="5"/>
  <c r="N89" i="5"/>
  <c r="O89" i="5"/>
  <c r="P89" i="5" s="1"/>
  <c r="E89" i="5"/>
  <c r="D89" i="5"/>
  <c r="Q89" i="5"/>
  <c r="H89" i="5"/>
  <c r="F89" i="5"/>
  <c r="K98" i="5"/>
  <c r="L98" i="5"/>
  <c r="M98" i="5" s="1"/>
  <c r="I98" i="5"/>
  <c r="J98" i="5" s="1"/>
  <c r="H98" i="5"/>
  <c r="E98" i="5"/>
  <c r="O98" i="5"/>
  <c r="N98" i="5"/>
  <c r="F98" i="5"/>
  <c r="G98" i="5" s="1"/>
  <c r="Q98" i="5"/>
  <c r="D98" i="5"/>
  <c r="Q78" i="5"/>
  <c r="D78" i="5"/>
  <c r="O78" i="5"/>
  <c r="N78" i="5"/>
  <c r="K78" i="5"/>
  <c r="F78" i="5"/>
  <c r="E78" i="5"/>
  <c r="H78" i="5"/>
  <c r="I78" i="5"/>
  <c r="J78" i="5" s="1"/>
  <c r="L78" i="5"/>
  <c r="M78" i="5" s="1"/>
  <c r="O85" i="5"/>
  <c r="P85" i="5" s="1"/>
  <c r="H85" i="5"/>
  <c r="I85" i="5"/>
  <c r="J85" i="5" s="1"/>
  <c r="Q85" i="5"/>
  <c r="N85" i="5"/>
  <c r="F85" i="5"/>
  <c r="G85" i="5" s="1"/>
  <c r="E85" i="5"/>
  <c r="D85" i="5"/>
  <c r="L85" i="5"/>
  <c r="K85" i="5"/>
  <c r="K104" i="5"/>
  <c r="E104" i="5"/>
  <c r="H104" i="5"/>
  <c r="Q104" i="5"/>
  <c r="L104" i="5"/>
  <c r="M104" i="5" s="1"/>
  <c r="I104" i="5"/>
  <c r="F104" i="5"/>
  <c r="D104" i="5"/>
  <c r="O104" i="5"/>
  <c r="P104" i="5" s="1"/>
  <c r="N104" i="5"/>
  <c r="D96" i="7"/>
  <c r="N96" i="7"/>
  <c r="H96" i="7"/>
  <c r="F96" i="7"/>
  <c r="G96" i="7" s="1"/>
  <c r="O96" i="7"/>
  <c r="P96" i="7" s="1"/>
  <c r="L96" i="7"/>
  <c r="K96" i="7"/>
  <c r="I96" i="7"/>
  <c r="Q96" i="7"/>
  <c r="E96" i="7"/>
  <c r="D90" i="7"/>
  <c r="N90" i="7"/>
  <c r="L90" i="7"/>
  <c r="K90" i="7"/>
  <c r="H90" i="7"/>
  <c r="F90" i="7"/>
  <c r="E90" i="7"/>
  <c r="Q90" i="7"/>
  <c r="O90" i="7"/>
  <c r="P90" i="7" s="1"/>
  <c r="I90" i="7"/>
  <c r="Q73" i="7"/>
  <c r="D73" i="7"/>
  <c r="O73" i="7"/>
  <c r="P73" i="7" s="1"/>
  <c r="N73" i="7"/>
  <c r="L73" i="7"/>
  <c r="K73" i="7"/>
  <c r="I73" i="7"/>
  <c r="H73" i="7"/>
  <c r="F73" i="7"/>
  <c r="E73" i="7"/>
  <c r="L82" i="7"/>
  <c r="M82" i="7" s="1"/>
  <c r="K82" i="7"/>
  <c r="I82" i="7"/>
  <c r="H82" i="7"/>
  <c r="Q82" i="7"/>
  <c r="F82" i="7"/>
  <c r="E82" i="7"/>
  <c r="O82" i="7"/>
  <c r="N82" i="7"/>
  <c r="D82" i="7"/>
  <c r="D93" i="7"/>
  <c r="N93" i="7"/>
  <c r="H93" i="7"/>
  <c r="F93" i="7"/>
  <c r="Q93" i="7"/>
  <c r="O93" i="7"/>
  <c r="E93" i="7"/>
  <c r="L93" i="7"/>
  <c r="K93" i="7"/>
  <c r="I93" i="7"/>
  <c r="K107" i="5"/>
  <c r="L107" i="5"/>
  <c r="M107" i="5" s="1"/>
  <c r="I107" i="5"/>
  <c r="J107" i="5" s="1"/>
  <c r="F107" i="5"/>
  <c r="G107" i="5" s="1"/>
  <c r="O107" i="5"/>
  <c r="P107" i="5" s="1"/>
  <c r="N107" i="5"/>
  <c r="E107" i="5"/>
  <c r="Q107" i="5"/>
  <c r="H107" i="5"/>
  <c r="D107" i="5"/>
  <c r="Q103" i="7"/>
  <c r="D103" i="7"/>
  <c r="O103" i="7"/>
  <c r="N103" i="7"/>
  <c r="K103" i="7"/>
  <c r="I103" i="7"/>
  <c r="J103" i="7" s="1"/>
  <c r="L103" i="7"/>
  <c r="M103" i="7" s="1"/>
  <c r="H103" i="7"/>
  <c r="F103" i="7"/>
  <c r="E103" i="7"/>
  <c r="K89" i="3"/>
  <c r="C53" i="3"/>
  <c r="C41" i="3"/>
  <c r="C29" i="3"/>
  <c r="C17" i="3"/>
  <c r="C51" i="3"/>
  <c r="C39" i="3"/>
  <c r="C27" i="3"/>
  <c r="C15" i="3"/>
  <c r="C43" i="3"/>
  <c r="C28" i="3"/>
  <c r="C13" i="3"/>
  <c r="C42" i="3"/>
  <c r="C26" i="3"/>
  <c r="C12" i="3"/>
  <c r="C40" i="3"/>
  <c r="C25" i="3"/>
  <c r="C11" i="3"/>
  <c r="C54" i="3"/>
  <c r="C38" i="3"/>
  <c r="C24" i="3"/>
  <c r="C10" i="3"/>
  <c r="C50" i="3"/>
  <c r="C36" i="3"/>
  <c r="C22" i="3"/>
  <c r="C8" i="3"/>
  <c r="C52" i="3"/>
  <c r="C31" i="3"/>
  <c r="C5" i="3"/>
  <c r="C48" i="3"/>
  <c r="C23" i="3"/>
  <c r="C47" i="3"/>
  <c r="C21" i="3"/>
  <c r="C46" i="3"/>
  <c r="C20" i="3"/>
  <c r="C45" i="3"/>
  <c r="C19" i="3"/>
  <c r="C44" i="3"/>
  <c r="C18" i="3"/>
  <c r="C14" i="3"/>
  <c r="C9" i="3"/>
  <c r="C7" i="3"/>
  <c r="C6" i="3"/>
  <c r="C37" i="3"/>
  <c r="C33" i="3"/>
  <c r="C32" i="3"/>
  <c r="C30" i="3"/>
  <c r="C35" i="3"/>
  <c r="C16" i="3"/>
  <c r="C34" i="3"/>
  <c r="C49" i="3"/>
  <c r="AK59" i="3" a="1"/>
  <c r="K94" i="3"/>
  <c r="K95" i="3"/>
  <c r="Y90" i="6" a="1"/>
  <c r="Y90" i="6" s="1"/>
  <c r="Y86" i="6" a="1"/>
  <c r="Y86" i="6" s="1"/>
  <c r="Y89" i="6" a="1"/>
  <c r="Y89" i="6" s="1"/>
  <c r="Y87" i="6" a="1"/>
  <c r="Y87" i="6" s="1"/>
  <c r="Y88" i="6" a="1"/>
  <c r="Y88" i="6" s="1"/>
  <c r="Y85" i="6" a="1"/>
  <c r="Y85" i="6" s="1"/>
  <c r="I90" i="5"/>
  <c r="J90" i="5" s="1"/>
  <c r="F90" i="5"/>
  <c r="G90" i="5" s="1"/>
  <c r="L90" i="5"/>
  <c r="M90" i="5" s="1"/>
  <c r="H90" i="5"/>
  <c r="O90" i="5"/>
  <c r="P90" i="5" s="1"/>
  <c r="Q90" i="5"/>
  <c r="K90" i="5"/>
  <c r="N90" i="5"/>
  <c r="E90" i="5"/>
  <c r="D90" i="5"/>
  <c r="I72" i="5"/>
  <c r="J72" i="5" s="1"/>
  <c r="F72" i="5"/>
  <c r="G72" i="5" s="1"/>
  <c r="Q72" i="5"/>
  <c r="O72" i="5"/>
  <c r="P72" i="5" s="1"/>
  <c r="K72" i="5"/>
  <c r="N72" i="5"/>
  <c r="L72" i="5"/>
  <c r="H72" i="5"/>
  <c r="E72" i="5"/>
  <c r="D72" i="5"/>
  <c r="K101" i="5"/>
  <c r="N101" i="5"/>
  <c r="H101" i="5"/>
  <c r="E101" i="5"/>
  <c r="I101" i="5"/>
  <c r="J101" i="5" s="1"/>
  <c r="F101" i="5"/>
  <c r="G101" i="5" s="1"/>
  <c r="D101" i="5"/>
  <c r="Q101" i="5"/>
  <c r="O101" i="5"/>
  <c r="L101" i="5"/>
  <c r="M101" i="5" s="1"/>
  <c r="O100" i="5"/>
  <c r="F100" i="5"/>
  <c r="Q100" i="5"/>
  <c r="D100" i="5"/>
  <c r="I100" i="5"/>
  <c r="J100" i="5" s="1"/>
  <c r="E100" i="5"/>
  <c r="N100" i="5"/>
  <c r="L100" i="5"/>
  <c r="K100" i="5"/>
  <c r="H100" i="5"/>
  <c r="I63" i="7"/>
  <c r="N63" i="7"/>
  <c r="L63" i="7"/>
  <c r="M63" i="7" s="1"/>
  <c r="K63" i="7"/>
  <c r="E63" i="7"/>
  <c r="D63" i="7"/>
  <c r="H63" i="7"/>
  <c r="F63" i="7"/>
  <c r="G63" i="7" s="1"/>
  <c r="Q63" i="7"/>
  <c r="O63" i="7"/>
  <c r="P63" i="7" s="1"/>
  <c r="N66" i="7"/>
  <c r="K66" i="7"/>
  <c r="I66" i="7"/>
  <c r="F66" i="7"/>
  <c r="G66" i="7" s="1"/>
  <c r="E66" i="7"/>
  <c r="D66" i="7"/>
  <c r="Q66" i="7"/>
  <c r="O66" i="7"/>
  <c r="L66" i="7"/>
  <c r="M66" i="7" s="1"/>
  <c r="H66" i="7"/>
  <c r="Q108" i="7"/>
  <c r="E108" i="7"/>
  <c r="O108" i="7"/>
  <c r="P108" i="7" s="1"/>
  <c r="L108" i="7"/>
  <c r="D108" i="7"/>
  <c r="I108" i="7"/>
  <c r="J108" i="7" s="1"/>
  <c r="H108" i="7"/>
  <c r="F108" i="7"/>
  <c r="N108" i="7"/>
  <c r="K108" i="7"/>
  <c r="H86" i="7"/>
  <c r="F86" i="7"/>
  <c r="G86" i="7" s="1"/>
  <c r="D86" i="7"/>
  <c r="Q86" i="7"/>
  <c r="N86" i="7"/>
  <c r="L86" i="7"/>
  <c r="K86" i="7"/>
  <c r="O86" i="7"/>
  <c r="I86" i="7"/>
  <c r="E86" i="7"/>
  <c r="L94" i="7"/>
  <c r="I94" i="7"/>
  <c r="J94" i="7" s="1"/>
  <c r="F94" i="7"/>
  <c r="E94" i="7"/>
  <c r="Q94" i="7"/>
  <c r="O94" i="7"/>
  <c r="N94" i="7"/>
  <c r="K94" i="7"/>
  <c r="H94" i="7"/>
  <c r="D94" i="7"/>
  <c r="K86" i="5"/>
  <c r="E86" i="5"/>
  <c r="I86" i="5"/>
  <c r="Q86" i="5"/>
  <c r="N86" i="5"/>
  <c r="O86" i="5"/>
  <c r="P86" i="5" s="1"/>
  <c r="H86" i="5"/>
  <c r="F86" i="5"/>
  <c r="G86" i="5" s="1"/>
  <c r="D86" i="5"/>
  <c r="L86" i="5"/>
  <c r="O73" i="5"/>
  <c r="F73" i="5"/>
  <c r="G73" i="5" s="1"/>
  <c r="Q73" i="5"/>
  <c r="D73" i="5"/>
  <c r="L73" i="5"/>
  <c r="E73" i="5"/>
  <c r="N73" i="5"/>
  <c r="K73" i="5"/>
  <c r="I73" i="5"/>
  <c r="H73" i="5"/>
  <c r="I81" i="5"/>
  <c r="J81" i="5" s="1"/>
  <c r="F81" i="5"/>
  <c r="N81" i="5"/>
  <c r="K81" i="5"/>
  <c r="H81" i="5"/>
  <c r="Q81" i="5"/>
  <c r="L81" i="5"/>
  <c r="E81" i="5"/>
  <c r="D81" i="5"/>
  <c r="O81" i="5"/>
  <c r="P81" i="5" s="1"/>
  <c r="O82" i="5"/>
  <c r="P82" i="5" s="1"/>
  <c r="F82" i="5"/>
  <c r="G82" i="5" s="1"/>
  <c r="Q82" i="5"/>
  <c r="D82" i="5"/>
  <c r="K82" i="5"/>
  <c r="L82" i="5"/>
  <c r="M82" i="5" s="1"/>
  <c r="I82" i="5"/>
  <c r="J82" i="5" s="1"/>
  <c r="H82" i="5"/>
  <c r="E82" i="5"/>
  <c r="N82" i="5"/>
  <c r="D81" i="7"/>
  <c r="N81" i="7"/>
  <c r="L81" i="7"/>
  <c r="K81" i="7"/>
  <c r="Q81" i="7"/>
  <c r="O81" i="7"/>
  <c r="I81" i="7"/>
  <c r="H81" i="7"/>
  <c r="F81" i="7"/>
  <c r="G81" i="7" s="1"/>
  <c r="E81" i="7"/>
  <c r="H67" i="7"/>
  <c r="F67" i="7"/>
  <c r="K67" i="7"/>
  <c r="I67" i="7"/>
  <c r="J67" i="7" s="1"/>
  <c r="E67" i="7"/>
  <c r="D67" i="7"/>
  <c r="O67" i="7"/>
  <c r="P67" i="7" s="1"/>
  <c r="N67" i="7"/>
  <c r="L67" i="7"/>
  <c r="Q67" i="7"/>
  <c r="Q61" i="7"/>
  <c r="E61" i="7"/>
  <c r="F61" i="7"/>
  <c r="G61" i="7" s="1"/>
  <c r="D61" i="7"/>
  <c r="O61" i="7"/>
  <c r="N61" i="7"/>
  <c r="L61" i="7"/>
  <c r="K61" i="7"/>
  <c r="I61" i="7"/>
  <c r="J61" i="7" s="1"/>
  <c r="H61" i="7"/>
  <c r="K102" i="5"/>
  <c r="H102" i="5"/>
  <c r="D102" i="5"/>
  <c r="L102" i="5"/>
  <c r="N102" i="5"/>
  <c r="I102" i="5"/>
  <c r="O102" i="5"/>
  <c r="P102" i="5" s="1"/>
  <c r="F102" i="5"/>
  <c r="E102" i="5"/>
  <c r="Q102" i="5"/>
  <c r="O91" i="5"/>
  <c r="P91" i="5" s="1"/>
  <c r="F91" i="5"/>
  <c r="Q91" i="5"/>
  <c r="D91" i="5"/>
  <c r="K91" i="5"/>
  <c r="H91" i="5"/>
  <c r="N91" i="5"/>
  <c r="E91" i="5"/>
  <c r="L91" i="5"/>
  <c r="M91" i="5" s="1"/>
  <c r="I91" i="5"/>
  <c r="J91" i="5" s="1"/>
  <c r="K75" i="5"/>
  <c r="L75" i="5"/>
  <c r="M75" i="5" s="1"/>
  <c r="I75" i="5"/>
  <c r="J75" i="5" s="1"/>
  <c r="N75" i="5"/>
  <c r="H75" i="5"/>
  <c r="D75" i="5"/>
  <c r="Q75" i="5"/>
  <c r="O75" i="5"/>
  <c r="F75" i="5"/>
  <c r="E75" i="5"/>
  <c r="O70" i="5"/>
  <c r="N70" i="5"/>
  <c r="L70" i="5"/>
  <c r="M70" i="5" s="1"/>
  <c r="I70" i="5"/>
  <c r="H70" i="5"/>
  <c r="D70" i="5"/>
  <c r="Q70" i="5"/>
  <c r="K70" i="5"/>
  <c r="F70" i="5"/>
  <c r="G70" i="5" s="1"/>
  <c r="E70" i="5"/>
  <c r="I108" i="5"/>
  <c r="F108" i="5"/>
  <c r="E108" i="5"/>
  <c r="Q108" i="5"/>
  <c r="K108" i="5"/>
  <c r="O108" i="5"/>
  <c r="P108" i="5" s="1"/>
  <c r="L108" i="5"/>
  <c r="M108" i="5" s="1"/>
  <c r="H108" i="5"/>
  <c r="D108" i="5"/>
  <c r="N108" i="5"/>
  <c r="D84" i="7"/>
  <c r="N84" i="7"/>
  <c r="H84" i="7"/>
  <c r="F84" i="7"/>
  <c r="I84" i="7"/>
  <c r="J84" i="7" s="1"/>
  <c r="E84" i="7"/>
  <c r="Q84" i="7"/>
  <c r="O84" i="7"/>
  <c r="P84" i="7" s="1"/>
  <c r="L84" i="7"/>
  <c r="M84" i="7" s="1"/>
  <c r="K84" i="7"/>
  <c r="N69" i="7"/>
  <c r="O69" i="7"/>
  <c r="P69" i="7" s="1"/>
  <c r="K69" i="7"/>
  <c r="I69" i="7"/>
  <c r="H69" i="7"/>
  <c r="Q69" i="7"/>
  <c r="L69" i="7"/>
  <c r="M69" i="7" s="1"/>
  <c r="F69" i="7"/>
  <c r="E69" i="7"/>
  <c r="D69" i="7"/>
  <c r="D87" i="7"/>
  <c r="N87" i="7"/>
  <c r="Q87" i="7"/>
  <c r="O87" i="7"/>
  <c r="P87" i="7" s="1"/>
  <c r="L87" i="7"/>
  <c r="M87" i="7" s="1"/>
  <c r="K87" i="7"/>
  <c r="I87" i="7"/>
  <c r="H87" i="7"/>
  <c r="F87" i="7"/>
  <c r="E87" i="7"/>
  <c r="O80" i="3" a="1"/>
  <c r="O80" i="3" s="1"/>
  <c r="O82" i="3" a="1"/>
  <c r="O82" i="3" s="1"/>
  <c r="O81" i="3" a="1"/>
  <c r="O81" i="3" s="1"/>
  <c r="O94" i="5"/>
  <c r="P94" i="5" s="1"/>
  <c r="H94" i="5"/>
  <c r="K94" i="5"/>
  <c r="F94" i="5"/>
  <c r="Q94" i="5"/>
  <c r="N94" i="5"/>
  <c r="I94" i="5"/>
  <c r="J94" i="5" s="1"/>
  <c r="L94" i="5"/>
  <c r="M94" i="5" s="1"/>
  <c r="D94" i="5"/>
  <c r="E94" i="5"/>
  <c r="O88" i="5"/>
  <c r="N88" i="5"/>
  <c r="L88" i="5"/>
  <c r="K88" i="5"/>
  <c r="H88" i="5"/>
  <c r="I88" i="5"/>
  <c r="F88" i="5"/>
  <c r="Q88" i="5"/>
  <c r="E88" i="5"/>
  <c r="D88" i="5"/>
  <c r="H89" i="7"/>
  <c r="F89" i="7"/>
  <c r="G89" i="7" s="1"/>
  <c r="N89" i="7"/>
  <c r="L89" i="7"/>
  <c r="M89" i="7" s="1"/>
  <c r="E89" i="7"/>
  <c r="D89" i="7"/>
  <c r="K89" i="7"/>
  <c r="I89" i="7"/>
  <c r="Q89" i="7"/>
  <c r="O89" i="7"/>
  <c r="F77" i="7"/>
  <c r="E77" i="7"/>
  <c r="Q77" i="7"/>
  <c r="D77" i="7"/>
  <c r="H77" i="7"/>
  <c r="L77" i="7"/>
  <c r="M77" i="7" s="1"/>
  <c r="K77" i="7"/>
  <c r="I77" i="7"/>
  <c r="O77" i="7"/>
  <c r="P77" i="7" s="1"/>
  <c r="N77" i="7"/>
  <c r="K88" i="3"/>
  <c r="N132" i="5"/>
  <c r="O134" i="5" a="1"/>
  <c r="O134" i="5" s="1"/>
  <c r="O132" i="5" a="1"/>
  <c r="O132" i="5" s="1"/>
  <c r="O133" i="5" a="1"/>
  <c r="O133" i="5" s="1"/>
  <c r="O76" i="5"/>
  <c r="P76" i="5" s="1"/>
  <c r="H76" i="5"/>
  <c r="L76" i="5"/>
  <c r="M76" i="5" s="1"/>
  <c r="Q76" i="5"/>
  <c r="N76" i="5"/>
  <c r="K76" i="5"/>
  <c r="I76" i="5"/>
  <c r="F76" i="5"/>
  <c r="E76" i="5"/>
  <c r="D76" i="5"/>
  <c r="O103" i="5"/>
  <c r="P103" i="5" s="1"/>
  <c r="H103" i="5"/>
  <c r="D103" i="5"/>
  <c r="N103" i="5"/>
  <c r="Q103" i="5"/>
  <c r="I103" i="5"/>
  <c r="E103" i="5"/>
  <c r="L103" i="5"/>
  <c r="K103" i="5"/>
  <c r="F103" i="5"/>
  <c r="G103" i="5" s="1"/>
  <c r="O61" i="5"/>
  <c r="N61" i="5"/>
  <c r="L61" i="5"/>
  <c r="M61" i="5" s="1"/>
  <c r="E61" i="5"/>
  <c r="Q61" i="5"/>
  <c r="H61" i="5"/>
  <c r="I61" i="5"/>
  <c r="J61" i="5" s="1"/>
  <c r="F61" i="5"/>
  <c r="D61" i="5"/>
  <c r="K61" i="5"/>
  <c r="Q69" i="5"/>
  <c r="D69" i="5"/>
  <c r="O69" i="5"/>
  <c r="K69" i="5"/>
  <c r="F69" i="5"/>
  <c r="E69" i="5"/>
  <c r="N69" i="5"/>
  <c r="L69" i="5"/>
  <c r="I69" i="5"/>
  <c r="H69" i="5"/>
  <c r="H80" i="7"/>
  <c r="F80" i="7"/>
  <c r="N80" i="7"/>
  <c r="L80" i="7"/>
  <c r="O80" i="7"/>
  <c r="P80" i="7" s="1"/>
  <c r="K80" i="7"/>
  <c r="I80" i="7"/>
  <c r="J80" i="7" s="1"/>
  <c r="E80" i="7"/>
  <c r="D80" i="7"/>
  <c r="Q80" i="7"/>
  <c r="L97" i="7"/>
  <c r="I97" i="7"/>
  <c r="F97" i="7"/>
  <c r="G97" i="7" s="1"/>
  <c r="E97" i="7"/>
  <c r="Q97" i="7"/>
  <c r="O97" i="7"/>
  <c r="D97" i="7"/>
  <c r="N97" i="7"/>
  <c r="K97" i="7"/>
  <c r="H97" i="7"/>
  <c r="F71" i="7"/>
  <c r="G71" i="7" s="1"/>
  <c r="I71" i="7"/>
  <c r="H71" i="7"/>
  <c r="O71" i="7"/>
  <c r="P71" i="7" s="1"/>
  <c r="N71" i="7"/>
  <c r="L71" i="7"/>
  <c r="Q71" i="7"/>
  <c r="K71" i="7"/>
  <c r="E71" i="7"/>
  <c r="D71" i="7"/>
  <c r="D99" i="7"/>
  <c r="N99" i="7"/>
  <c r="H99" i="7"/>
  <c r="F99" i="7"/>
  <c r="I99" i="7"/>
  <c r="E99" i="7"/>
  <c r="Q99" i="7"/>
  <c r="O99" i="7"/>
  <c r="L99" i="7"/>
  <c r="K99" i="7"/>
  <c r="H106" i="7"/>
  <c r="F106" i="7"/>
  <c r="E106" i="7"/>
  <c r="Q106" i="7"/>
  <c r="O106" i="7"/>
  <c r="P106" i="7" s="1"/>
  <c r="N106" i="7"/>
  <c r="L106" i="7"/>
  <c r="K106" i="7"/>
  <c r="I106" i="7"/>
  <c r="D106" i="7"/>
  <c r="G60" i="5" l="1"/>
  <c r="Y114" i="5" a="1"/>
  <c r="P94" i="7"/>
  <c r="P68" i="7"/>
  <c r="P101" i="7"/>
  <c r="M81" i="7"/>
  <c r="K25" i="3"/>
  <c r="I25" i="3"/>
  <c r="J25" i="3" s="1"/>
  <c r="O25" i="3"/>
  <c r="N25" i="3"/>
  <c r="F25" i="3"/>
  <c r="D25" i="3"/>
  <c r="H25" i="3"/>
  <c r="E25" i="3"/>
  <c r="Q25" i="3"/>
  <c r="L25" i="3"/>
  <c r="M25" i="3" s="1"/>
  <c r="P88" i="7"/>
  <c r="G69" i="7"/>
  <c r="G102" i="5"/>
  <c r="P95" i="7"/>
  <c r="AY83" i="2"/>
  <c r="AI64" i="2"/>
  <c r="AN4" i="2"/>
  <c r="J68" i="5"/>
  <c r="P69" i="5"/>
  <c r="P61" i="5"/>
  <c r="C52" i="5"/>
  <c r="C40" i="5"/>
  <c r="C28" i="5"/>
  <c r="C16" i="5"/>
  <c r="C5" i="5"/>
  <c r="C53" i="5"/>
  <c r="C39" i="5"/>
  <c r="C26" i="5"/>
  <c r="C13" i="5"/>
  <c r="C43" i="5"/>
  <c r="C29" i="5"/>
  <c r="C14" i="5"/>
  <c r="C50" i="5"/>
  <c r="C35" i="5"/>
  <c r="C20" i="5"/>
  <c r="C38" i="5"/>
  <c r="C22" i="5"/>
  <c r="C6" i="5"/>
  <c r="C37" i="5"/>
  <c r="C21" i="5"/>
  <c r="C54" i="5"/>
  <c r="C36" i="5"/>
  <c r="C19" i="5"/>
  <c r="C48" i="5"/>
  <c r="C32" i="5"/>
  <c r="C15" i="5"/>
  <c r="C51" i="5"/>
  <c r="C27" i="5"/>
  <c r="C49" i="5"/>
  <c r="C25" i="5"/>
  <c r="C47" i="5"/>
  <c r="C24" i="5"/>
  <c r="C46" i="5"/>
  <c r="C23" i="5"/>
  <c r="C30" i="5"/>
  <c r="C18" i="5"/>
  <c r="C17" i="5"/>
  <c r="C12" i="5"/>
  <c r="C45" i="5"/>
  <c r="C44" i="5"/>
  <c r="C42" i="5"/>
  <c r="C41" i="5"/>
  <c r="C8" i="5"/>
  <c r="C7" i="5"/>
  <c r="C31" i="5"/>
  <c r="C11" i="5"/>
  <c r="C34" i="5"/>
  <c r="C33" i="5"/>
  <c r="C10" i="5"/>
  <c r="C9" i="5"/>
  <c r="G76" i="5"/>
  <c r="G77" i="7"/>
  <c r="G84" i="7"/>
  <c r="P66" i="7"/>
  <c r="C54" i="7"/>
  <c r="C42" i="7"/>
  <c r="C30" i="7"/>
  <c r="C18" i="7"/>
  <c r="C6" i="7"/>
  <c r="C53" i="7"/>
  <c r="C41" i="7"/>
  <c r="C29" i="7"/>
  <c r="C17" i="7"/>
  <c r="C52" i="7"/>
  <c r="C40" i="7"/>
  <c r="C28" i="7"/>
  <c r="C16" i="7"/>
  <c r="C5" i="7"/>
  <c r="C51" i="7"/>
  <c r="C39" i="7"/>
  <c r="C27" i="7"/>
  <c r="C15" i="7"/>
  <c r="C50" i="7"/>
  <c r="C38" i="7"/>
  <c r="C26" i="7"/>
  <c r="C14" i="7"/>
  <c r="C49" i="7"/>
  <c r="C37" i="7"/>
  <c r="C25" i="7"/>
  <c r="C13" i="7"/>
  <c r="C36" i="7"/>
  <c r="C12" i="7"/>
  <c r="C35" i="7"/>
  <c r="C11" i="7"/>
  <c r="C34" i="7"/>
  <c r="C10" i="7"/>
  <c r="C33" i="7"/>
  <c r="C9" i="7"/>
  <c r="C32" i="7"/>
  <c r="C8" i="7"/>
  <c r="C31" i="7"/>
  <c r="C7" i="7"/>
  <c r="C48" i="7"/>
  <c r="C24" i="7"/>
  <c r="C47" i="7"/>
  <c r="C23" i="7"/>
  <c r="C46" i="7"/>
  <c r="C22" i="7"/>
  <c r="C45" i="7"/>
  <c r="C21" i="7"/>
  <c r="C43" i="7"/>
  <c r="C20" i="7"/>
  <c r="C19" i="7"/>
  <c r="C44" i="7"/>
  <c r="M104" i="7"/>
  <c r="AQ90" i="2" a="1"/>
  <c r="AQ90" i="2" s="1"/>
  <c r="AQ86" i="2" a="1"/>
  <c r="AQ86" i="2" s="1"/>
  <c r="AQ85" i="2" a="1"/>
  <c r="AQ85" i="2" s="1"/>
  <c r="AQ87" i="2" a="1"/>
  <c r="AQ87" i="2" s="1"/>
  <c r="AQ89" i="2" a="1"/>
  <c r="AQ89" i="2" s="1"/>
  <c r="AQ88" i="2" a="1"/>
  <c r="AQ88" i="2" s="1"/>
  <c r="P106" i="5"/>
  <c r="J74" i="7"/>
  <c r="D48" i="3"/>
  <c r="N48" i="3"/>
  <c r="I48" i="3"/>
  <c r="H48" i="3"/>
  <c r="F48" i="3"/>
  <c r="K48" i="3"/>
  <c r="E48" i="3"/>
  <c r="Q48" i="3"/>
  <c r="O48" i="3"/>
  <c r="L48" i="3"/>
  <c r="J79" i="5"/>
  <c r="P67" i="5"/>
  <c r="U114" i="7" a="1"/>
  <c r="K114" i="7"/>
  <c r="K31" i="3"/>
  <c r="I31" i="3"/>
  <c r="F31" i="3"/>
  <c r="G31" i="3" s="1"/>
  <c r="E31" i="3"/>
  <c r="D31" i="3"/>
  <c r="Q31" i="3"/>
  <c r="O31" i="3"/>
  <c r="L31" i="3"/>
  <c r="H31" i="3"/>
  <c r="N31" i="3"/>
  <c r="AK114" i="7"/>
  <c r="M126" i="7" s="1"/>
  <c r="AL114" i="7"/>
  <c r="C126" i="7" s="1"/>
  <c r="D126" i="7" s="1"/>
  <c r="K126" i="7" s="1"/>
  <c r="G75" i="7"/>
  <c r="M78" i="7"/>
  <c r="M80" i="7"/>
  <c r="G67" i="7"/>
  <c r="P98" i="5"/>
  <c r="J65" i="7"/>
  <c r="P62" i="5"/>
  <c r="P79" i="5"/>
  <c r="G78" i="7"/>
  <c r="J84" i="5"/>
  <c r="P76" i="7"/>
  <c r="G75" i="5"/>
  <c r="M94" i="7"/>
  <c r="P89" i="3"/>
  <c r="G70" i="7"/>
  <c r="J98" i="7"/>
  <c r="J66" i="5"/>
  <c r="J83" i="5"/>
  <c r="M85" i="7"/>
  <c r="G80" i="5"/>
  <c r="P77" i="5"/>
  <c r="Y114" i="7" a="1"/>
  <c r="G60" i="7"/>
  <c r="M64" i="5"/>
  <c r="J93" i="5"/>
  <c r="J95" i="7"/>
  <c r="J88" i="7"/>
  <c r="J72" i="7"/>
  <c r="J64" i="7"/>
  <c r="AG114" i="5" a="1"/>
  <c r="M60" i="5"/>
  <c r="J62" i="7"/>
  <c r="P74" i="5"/>
  <c r="P95" i="5"/>
  <c r="G87" i="5"/>
  <c r="O6" i="3"/>
  <c r="D6" i="3"/>
  <c r="Q6" i="3"/>
  <c r="N6" i="3"/>
  <c r="K6" i="3"/>
  <c r="L6" i="3"/>
  <c r="I6" i="3"/>
  <c r="J6" i="3" s="1"/>
  <c r="H6" i="3"/>
  <c r="F6" i="3"/>
  <c r="E6" i="3"/>
  <c r="Q23" i="3"/>
  <c r="E23" i="3"/>
  <c r="D23" i="3"/>
  <c r="O23" i="3"/>
  <c r="L23" i="3"/>
  <c r="M23" i="3" s="1"/>
  <c r="I23" i="3"/>
  <c r="H23" i="3"/>
  <c r="F23" i="3"/>
  <c r="G23" i="3" s="1"/>
  <c r="N23" i="3"/>
  <c r="K23" i="3"/>
  <c r="H54" i="3"/>
  <c r="E54" i="3"/>
  <c r="D54" i="3"/>
  <c r="Q54" i="3"/>
  <c r="N54" i="3"/>
  <c r="L54" i="3"/>
  <c r="K54" i="3"/>
  <c r="I54" i="3"/>
  <c r="F54" i="3"/>
  <c r="O54" i="3"/>
  <c r="O39" i="3"/>
  <c r="P39" i="3" s="1"/>
  <c r="H39" i="3"/>
  <c r="F39" i="3"/>
  <c r="E39" i="3"/>
  <c r="Q39" i="3"/>
  <c r="D39" i="3"/>
  <c r="L39" i="3"/>
  <c r="K39" i="3"/>
  <c r="I39" i="3"/>
  <c r="J39" i="3" s="1"/>
  <c r="N39" i="3"/>
  <c r="AY83" i="4"/>
  <c r="AI64" i="4"/>
  <c r="AN4" i="4"/>
  <c r="J70" i="5"/>
  <c r="M96" i="7"/>
  <c r="G92" i="5"/>
  <c r="M61" i="7"/>
  <c r="J73" i="5"/>
  <c r="G73" i="7"/>
  <c r="M98" i="7"/>
  <c r="G90" i="7"/>
  <c r="P70" i="5"/>
  <c r="O18" i="3"/>
  <c r="L18" i="3"/>
  <c r="M18" i="3" s="1"/>
  <c r="K18" i="3"/>
  <c r="I18" i="3"/>
  <c r="J18" i="3" s="1"/>
  <c r="Q18" i="3"/>
  <c r="N18" i="3"/>
  <c r="H18" i="3"/>
  <c r="F18" i="3"/>
  <c r="D18" i="3"/>
  <c r="E18" i="3"/>
  <c r="P98" i="7"/>
  <c r="G71" i="5"/>
  <c r="M96" i="5"/>
  <c r="J77" i="5"/>
  <c r="AC114" i="7" a="1"/>
  <c r="J60" i="7"/>
  <c r="G79" i="7"/>
  <c r="K114" i="5"/>
  <c r="U114" i="5" a="1"/>
  <c r="P97" i="7"/>
  <c r="G108" i="5"/>
  <c r="J102" i="5"/>
  <c r="K34" i="3"/>
  <c r="I34" i="3"/>
  <c r="J34" i="3" s="1"/>
  <c r="O34" i="3"/>
  <c r="N34" i="3"/>
  <c r="H34" i="3"/>
  <c r="F34" i="3"/>
  <c r="E34" i="3"/>
  <c r="D34" i="3"/>
  <c r="Q34" i="3"/>
  <c r="L34" i="3"/>
  <c r="Q44" i="3"/>
  <c r="E44" i="3"/>
  <c r="N44" i="3"/>
  <c r="L44" i="3"/>
  <c r="M44" i="3" s="1"/>
  <c r="K44" i="3"/>
  <c r="I44" i="3"/>
  <c r="O44" i="3"/>
  <c r="H44" i="3"/>
  <c r="F44" i="3"/>
  <c r="G44" i="3" s="1"/>
  <c r="D44" i="3"/>
  <c r="Q8" i="3"/>
  <c r="E8" i="3"/>
  <c r="N8" i="3"/>
  <c r="L8" i="3"/>
  <c r="M8" i="3" s="1"/>
  <c r="K8" i="3"/>
  <c r="I8" i="3"/>
  <c r="J8" i="3" s="1"/>
  <c r="F8" i="3"/>
  <c r="O8" i="3"/>
  <c r="P8" i="3" s="1"/>
  <c r="H8" i="3"/>
  <c r="D8" i="3"/>
  <c r="Q26" i="3"/>
  <c r="E26" i="3"/>
  <c r="N26" i="3"/>
  <c r="L26" i="3"/>
  <c r="K26" i="3"/>
  <c r="I26" i="3"/>
  <c r="J26" i="3" s="1"/>
  <c r="H26" i="3"/>
  <c r="F26" i="3"/>
  <c r="D26" i="3"/>
  <c r="O26" i="3"/>
  <c r="P26" i="3" s="1"/>
  <c r="K53" i="3"/>
  <c r="F53" i="3"/>
  <c r="E53" i="3"/>
  <c r="D53" i="3"/>
  <c r="Q53" i="3"/>
  <c r="O53" i="3"/>
  <c r="I53" i="3"/>
  <c r="J53" i="3" s="1"/>
  <c r="L53" i="3"/>
  <c r="M53" i="3" s="1"/>
  <c r="H53" i="3"/>
  <c r="N53" i="3"/>
  <c r="J93" i="7"/>
  <c r="P82" i="7"/>
  <c r="G85" i="7"/>
  <c r="J109" i="5"/>
  <c r="M99" i="7"/>
  <c r="J76" i="5"/>
  <c r="P89" i="7"/>
  <c r="J87" i="7"/>
  <c r="J108" i="5"/>
  <c r="M81" i="5"/>
  <c r="M73" i="5"/>
  <c r="J86" i="5"/>
  <c r="K16" i="3"/>
  <c r="I16" i="3"/>
  <c r="O16" i="3"/>
  <c r="N16" i="3"/>
  <c r="D16" i="3"/>
  <c r="Q16" i="3"/>
  <c r="L16" i="3"/>
  <c r="F94" i="3" s="1"/>
  <c r="F16" i="3"/>
  <c r="E16" i="3"/>
  <c r="H16" i="3"/>
  <c r="K19" i="3"/>
  <c r="I19" i="3"/>
  <c r="J19" i="3" s="1"/>
  <c r="L19" i="3"/>
  <c r="H19" i="3"/>
  <c r="E19" i="3"/>
  <c r="Q19" i="3"/>
  <c r="O19" i="3"/>
  <c r="P19" i="3" s="1"/>
  <c r="F19" i="3"/>
  <c r="G19" i="3" s="1"/>
  <c r="D19" i="3"/>
  <c r="N19" i="3"/>
  <c r="O94" i="3" s="1"/>
  <c r="K22" i="3"/>
  <c r="I22" i="3"/>
  <c r="F22" i="3"/>
  <c r="E22" i="3"/>
  <c r="D22" i="3"/>
  <c r="Q22" i="3"/>
  <c r="O22" i="3"/>
  <c r="N22" i="3"/>
  <c r="H22" i="3"/>
  <c r="L22" i="3"/>
  <c r="M22" i="3" s="1"/>
  <c r="O42" i="3"/>
  <c r="D42" i="3"/>
  <c r="Q42" i="3"/>
  <c r="N42" i="3"/>
  <c r="K42" i="3"/>
  <c r="E42" i="3"/>
  <c r="L42" i="3"/>
  <c r="I42" i="3"/>
  <c r="J42" i="3" s="1"/>
  <c r="H42" i="3"/>
  <c r="F42" i="3"/>
  <c r="G42" i="3" s="1"/>
  <c r="M73" i="7"/>
  <c r="M90" i="7"/>
  <c r="M85" i="5"/>
  <c r="J89" i="5"/>
  <c r="P99" i="7"/>
  <c r="M71" i="7"/>
  <c r="G80" i="7"/>
  <c r="M103" i="5"/>
  <c r="G88" i="5"/>
  <c r="J69" i="7"/>
  <c r="P75" i="5"/>
  <c r="M102" i="5"/>
  <c r="G108" i="7"/>
  <c r="G100" i="5"/>
  <c r="Q35" i="3"/>
  <c r="E35" i="3"/>
  <c r="N35" i="3"/>
  <c r="L35" i="3"/>
  <c r="K35" i="3"/>
  <c r="I35" i="3"/>
  <c r="O35" i="3"/>
  <c r="H35" i="3"/>
  <c r="F35" i="3"/>
  <c r="G35" i="3" s="1"/>
  <c r="D35" i="3"/>
  <c r="O45" i="3"/>
  <c r="P45" i="3" s="1"/>
  <c r="L45" i="3"/>
  <c r="K45" i="3"/>
  <c r="I45" i="3"/>
  <c r="J45" i="3" s="1"/>
  <c r="F45" i="3"/>
  <c r="G45" i="3" s="1"/>
  <c r="D45" i="3"/>
  <c r="Q45" i="3"/>
  <c r="N45" i="3"/>
  <c r="H45" i="3"/>
  <c r="E45" i="3"/>
  <c r="O36" i="3"/>
  <c r="P36" i="3" s="1"/>
  <c r="L36" i="3"/>
  <c r="M36" i="3" s="1"/>
  <c r="K36" i="3"/>
  <c r="I36" i="3"/>
  <c r="D36" i="3"/>
  <c r="Q36" i="3"/>
  <c r="N36" i="3"/>
  <c r="H36" i="3"/>
  <c r="F36" i="3"/>
  <c r="G36" i="3" s="1"/>
  <c r="E36" i="3"/>
  <c r="K13" i="3"/>
  <c r="I13" i="3"/>
  <c r="F13" i="3"/>
  <c r="E13" i="3"/>
  <c r="D13" i="3"/>
  <c r="Q13" i="3"/>
  <c r="O13" i="3"/>
  <c r="P92" i="3" s="1"/>
  <c r="N13" i="3"/>
  <c r="L13" i="3"/>
  <c r="M13" i="3" s="1"/>
  <c r="H13" i="3"/>
  <c r="O89" i="3"/>
  <c r="M93" i="7"/>
  <c r="G82" i="7"/>
  <c r="G78" i="5"/>
  <c r="M89" i="5"/>
  <c r="M99" i="5"/>
  <c r="M66" i="5"/>
  <c r="G101" i="7"/>
  <c r="M105" i="7"/>
  <c r="G96" i="5"/>
  <c r="U60" i="7" a="1"/>
  <c r="J104" i="7"/>
  <c r="M93" i="5"/>
  <c r="J62" i="5"/>
  <c r="J79" i="7"/>
  <c r="J78" i="7"/>
  <c r="P107" i="7"/>
  <c r="P74" i="7"/>
  <c r="M105" i="5"/>
  <c r="J87" i="5"/>
  <c r="P88" i="5"/>
  <c r="M100" i="5"/>
  <c r="K7" i="3"/>
  <c r="I7" i="3"/>
  <c r="O7" i="3"/>
  <c r="P7" i="3" s="1"/>
  <c r="N7" i="3"/>
  <c r="Q7" i="3"/>
  <c r="L7" i="3"/>
  <c r="M7" i="3" s="1"/>
  <c r="H7" i="3"/>
  <c r="D7" i="3"/>
  <c r="F7" i="3"/>
  <c r="E7" i="3"/>
  <c r="Q51" i="3"/>
  <c r="E51" i="3"/>
  <c r="H51" i="3"/>
  <c r="F51" i="3"/>
  <c r="D51" i="3"/>
  <c r="O51" i="3"/>
  <c r="K51" i="3"/>
  <c r="I51" i="3"/>
  <c r="J51" i="3" s="1"/>
  <c r="N51" i="3"/>
  <c r="L51" i="3"/>
  <c r="J105" i="7"/>
  <c r="J60" i="5"/>
  <c r="AC114" i="5" a="1"/>
  <c r="Q14" i="3"/>
  <c r="E14" i="3"/>
  <c r="D14" i="3"/>
  <c r="O14" i="3"/>
  <c r="H14" i="3"/>
  <c r="F14" i="3"/>
  <c r="G14" i="3" s="1"/>
  <c r="N14" i="3"/>
  <c r="L14" i="3"/>
  <c r="M14" i="3" s="1"/>
  <c r="K14" i="3"/>
  <c r="I14" i="3"/>
  <c r="J68" i="7"/>
  <c r="P97" i="5"/>
  <c r="P91" i="3"/>
  <c r="O12" i="3"/>
  <c r="P12" i="3" s="1"/>
  <c r="H12" i="3"/>
  <c r="F12" i="3"/>
  <c r="G12" i="3" s="1"/>
  <c r="E12" i="3"/>
  <c r="Q12" i="3"/>
  <c r="L12" i="3"/>
  <c r="F87" i="3" s="1"/>
  <c r="K12" i="3"/>
  <c r="E87" i="3" s="1"/>
  <c r="I12" i="3"/>
  <c r="D12" i="3"/>
  <c r="N12" i="3"/>
  <c r="J73" i="7"/>
  <c r="J106" i="7"/>
  <c r="J89" i="7"/>
  <c r="J88" i="5"/>
  <c r="G94" i="5"/>
  <c r="J86" i="7"/>
  <c r="P100" i="5"/>
  <c r="O30" i="3"/>
  <c r="P30" i="3" s="1"/>
  <c r="H30" i="3"/>
  <c r="F30" i="3"/>
  <c r="E30" i="3"/>
  <c r="Q30" i="3"/>
  <c r="N30" i="3"/>
  <c r="L30" i="3"/>
  <c r="M30" i="3" s="1"/>
  <c r="I30" i="3"/>
  <c r="D30" i="3"/>
  <c r="K30" i="3"/>
  <c r="Q20" i="3"/>
  <c r="E20" i="3"/>
  <c r="I20" i="3"/>
  <c r="H20" i="3"/>
  <c r="F20" i="3"/>
  <c r="K20" i="3"/>
  <c r="D20" i="3"/>
  <c r="O20" i="3"/>
  <c r="P20" i="3" s="1"/>
  <c r="N20" i="3"/>
  <c r="L20" i="3"/>
  <c r="M20" i="3" s="1"/>
  <c r="H50" i="3"/>
  <c r="F50" i="3"/>
  <c r="G50" i="3" s="1"/>
  <c r="E50" i="3"/>
  <c r="D50" i="3"/>
  <c r="Q50" i="3"/>
  <c r="O50" i="3"/>
  <c r="P50" i="3" s="1"/>
  <c r="N50" i="3"/>
  <c r="K50" i="3"/>
  <c r="I50" i="3"/>
  <c r="J50" i="3" s="1"/>
  <c r="L50" i="3"/>
  <c r="M50" i="3" s="1"/>
  <c r="K28" i="3"/>
  <c r="I28" i="3"/>
  <c r="J28" i="3" s="1"/>
  <c r="L28" i="3"/>
  <c r="H28" i="3"/>
  <c r="E28" i="3"/>
  <c r="F28" i="3"/>
  <c r="G28" i="3" s="1"/>
  <c r="Q28" i="3"/>
  <c r="N28" i="3"/>
  <c r="O96" i="3" s="1"/>
  <c r="D28" i="3"/>
  <c r="O28" i="3"/>
  <c r="J92" i="5"/>
  <c r="J71" i="5"/>
  <c r="J101" i="7"/>
  <c r="P96" i="5"/>
  <c r="J75" i="7"/>
  <c r="G109" i="7"/>
  <c r="M62" i="5"/>
  <c r="M63" i="5"/>
  <c r="P78" i="7"/>
  <c r="G76" i="7"/>
  <c r="M87" i="5"/>
  <c r="M65" i="7"/>
  <c r="O92" i="3"/>
  <c r="O91" i="3"/>
  <c r="Q29" i="3"/>
  <c r="E29" i="3"/>
  <c r="I29" i="3"/>
  <c r="H29" i="3"/>
  <c r="F29" i="3"/>
  <c r="O29" i="3"/>
  <c r="P29" i="3" s="1"/>
  <c r="L29" i="3"/>
  <c r="K29" i="3"/>
  <c r="D29" i="3"/>
  <c r="N29" i="3"/>
  <c r="G94" i="7"/>
  <c r="K49" i="3"/>
  <c r="H49" i="3"/>
  <c r="F49" i="3"/>
  <c r="G49" i="3" s="1"/>
  <c r="E49" i="3"/>
  <c r="Q49" i="3"/>
  <c r="O49" i="3"/>
  <c r="N49" i="3"/>
  <c r="L49" i="3"/>
  <c r="M49" i="3" s="1"/>
  <c r="I49" i="3"/>
  <c r="J49" i="3" s="1"/>
  <c r="D49" i="3"/>
  <c r="O95" i="3"/>
  <c r="Q32" i="3"/>
  <c r="E32" i="3"/>
  <c r="D32" i="3"/>
  <c r="O32" i="3"/>
  <c r="L32" i="3"/>
  <c r="K32" i="3"/>
  <c r="I32" i="3"/>
  <c r="H32" i="3"/>
  <c r="F32" i="3"/>
  <c r="G32" i="3" s="1"/>
  <c r="N32" i="3"/>
  <c r="K46" i="3"/>
  <c r="I46" i="3"/>
  <c r="L46" i="3"/>
  <c r="H46" i="3"/>
  <c r="E46" i="3"/>
  <c r="N46" i="3"/>
  <c r="F46" i="3"/>
  <c r="D46" i="3"/>
  <c r="Q46" i="3"/>
  <c r="O46" i="3"/>
  <c r="P46" i="3" s="1"/>
  <c r="K10" i="3"/>
  <c r="I10" i="3"/>
  <c r="J10" i="3" s="1"/>
  <c r="L10" i="3"/>
  <c r="H10" i="3"/>
  <c r="E10" i="3"/>
  <c r="Q10" i="3"/>
  <c r="O10" i="3"/>
  <c r="P10" i="3" s="1"/>
  <c r="N10" i="3"/>
  <c r="O88" i="3" s="1"/>
  <c r="F10" i="3"/>
  <c r="D10" i="3"/>
  <c r="K43" i="3"/>
  <c r="I43" i="3"/>
  <c r="J43" i="3" s="1"/>
  <c r="O43" i="3"/>
  <c r="N43" i="3"/>
  <c r="Q43" i="3"/>
  <c r="H43" i="3"/>
  <c r="F43" i="3"/>
  <c r="E43" i="3"/>
  <c r="D43" i="3"/>
  <c r="L43" i="3"/>
  <c r="M43" i="3" s="1"/>
  <c r="P93" i="7"/>
  <c r="M92" i="5"/>
  <c r="J67" i="5"/>
  <c r="P66" i="5"/>
  <c r="AP83" i="6"/>
  <c r="AD64" i="6"/>
  <c r="AI4" i="6"/>
  <c r="G105" i="7"/>
  <c r="AG114" i="7" a="1"/>
  <c r="M60" i="7"/>
  <c r="J107" i="7"/>
  <c r="G106" i="5"/>
  <c r="P87" i="5"/>
  <c r="J96" i="5"/>
  <c r="P64" i="7"/>
  <c r="AK59" i="3"/>
  <c r="AL59" i="3"/>
  <c r="C71" i="3" s="1"/>
  <c r="D71" i="3" s="1"/>
  <c r="K40" i="3"/>
  <c r="I40" i="3"/>
  <c r="J40" i="3" s="1"/>
  <c r="F40" i="3"/>
  <c r="G40" i="3" s="1"/>
  <c r="E40" i="3"/>
  <c r="D40" i="3"/>
  <c r="Q40" i="3"/>
  <c r="O40" i="3"/>
  <c r="H40" i="3"/>
  <c r="L40" i="3"/>
  <c r="M40" i="3" s="1"/>
  <c r="N40" i="3"/>
  <c r="G87" i="7"/>
  <c r="P103" i="7"/>
  <c r="J97" i="7"/>
  <c r="G61" i="5"/>
  <c r="P86" i="7"/>
  <c r="J99" i="7"/>
  <c r="M97" i="7"/>
  <c r="J69" i="5"/>
  <c r="J77" i="7"/>
  <c r="M67" i="7"/>
  <c r="J81" i="7"/>
  <c r="P73" i="5"/>
  <c r="J66" i="7"/>
  <c r="J63" i="7"/>
  <c r="P101" i="5"/>
  <c r="M72" i="5"/>
  <c r="O33" i="3"/>
  <c r="P33" i="3" s="1"/>
  <c r="D33" i="3"/>
  <c r="Q33" i="3"/>
  <c r="N33" i="3"/>
  <c r="K33" i="3"/>
  <c r="E33" i="3"/>
  <c r="L33" i="3"/>
  <c r="M33" i="3" s="1"/>
  <c r="I33" i="3"/>
  <c r="H33" i="3"/>
  <c r="F33" i="3"/>
  <c r="G33" i="3" s="1"/>
  <c r="O21" i="3"/>
  <c r="P21" i="3" s="1"/>
  <c r="H21" i="3"/>
  <c r="F21" i="3"/>
  <c r="G21" i="3" s="1"/>
  <c r="E21" i="3"/>
  <c r="Q21" i="3"/>
  <c r="N21" i="3"/>
  <c r="L21" i="3"/>
  <c r="M21" i="3" s="1"/>
  <c r="K21" i="3"/>
  <c r="D21" i="3"/>
  <c r="I21" i="3"/>
  <c r="J21" i="3" s="1"/>
  <c r="O24" i="3"/>
  <c r="P24" i="3" s="1"/>
  <c r="D24" i="3"/>
  <c r="Q24" i="3"/>
  <c r="N24" i="3"/>
  <c r="K24" i="3"/>
  <c r="L24" i="3"/>
  <c r="I24" i="3"/>
  <c r="J24" i="3" s="1"/>
  <c r="F24" i="3"/>
  <c r="E24" i="3"/>
  <c r="H24" i="3"/>
  <c r="O15" i="3"/>
  <c r="D15" i="3"/>
  <c r="Q15" i="3"/>
  <c r="U5" i="3" s="1" a="1"/>
  <c r="N15" i="3"/>
  <c r="K15" i="3"/>
  <c r="L15" i="3"/>
  <c r="M15" i="3" s="1"/>
  <c r="I15" i="3"/>
  <c r="J15" i="3" s="1"/>
  <c r="H15" i="3"/>
  <c r="E15" i="3"/>
  <c r="F15" i="3"/>
  <c r="G103" i="7"/>
  <c r="J82" i="7"/>
  <c r="G104" i="5"/>
  <c r="P78" i="5"/>
  <c r="P70" i="7"/>
  <c r="P92" i="5"/>
  <c r="G100" i="7"/>
  <c r="P85" i="7"/>
  <c r="J80" i="5"/>
  <c r="J65" i="5"/>
  <c r="G93" i="5"/>
  <c r="P72" i="7"/>
  <c r="P79" i="7"/>
  <c r="G79" i="5"/>
  <c r="Q11" i="3"/>
  <c r="E11" i="3"/>
  <c r="I11" i="3"/>
  <c r="J11" i="3" s="1"/>
  <c r="H11" i="3"/>
  <c r="F11" i="3"/>
  <c r="K11" i="3"/>
  <c r="O11" i="3"/>
  <c r="P11" i="3" s="1"/>
  <c r="N11" i="3"/>
  <c r="O90" i="3" s="1"/>
  <c r="L11" i="3"/>
  <c r="M11" i="3" s="1"/>
  <c r="D11" i="3"/>
  <c r="J85" i="7"/>
  <c r="G69" i="5"/>
  <c r="O9" i="3"/>
  <c r="P9" i="3" s="1"/>
  <c r="L9" i="3"/>
  <c r="M9" i="3" s="1"/>
  <c r="K9" i="3"/>
  <c r="E90" i="3" s="1"/>
  <c r="I9" i="3"/>
  <c r="Q9" i="3"/>
  <c r="N9" i="3"/>
  <c r="H9" i="3"/>
  <c r="F9" i="3"/>
  <c r="G9" i="3" s="1"/>
  <c r="E9" i="3"/>
  <c r="D9" i="3"/>
  <c r="N5" i="3"/>
  <c r="L5" i="3"/>
  <c r="F5" i="3"/>
  <c r="E5" i="3"/>
  <c r="D5" i="3"/>
  <c r="Q5" i="3"/>
  <c r="O5" i="3"/>
  <c r="P5" i="3" s="1"/>
  <c r="I5" i="3"/>
  <c r="H5" i="3"/>
  <c r="K5" i="3"/>
  <c r="E89" i="3"/>
  <c r="F91" i="3"/>
  <c r="E93" i="3"/>
  <c r="E94" i="3"/>
  <c r="F88" i="3"/>
  <c r="E96" i="3"/>
  <c r="E91" i="3"/>
  <c r="E95" i="3"/>
  <c r="E88" i="3"/>
  <c r="E92" i="3"/>
  <c r="Q17" i="3"/>
  <c r="E17" i="3"/>
  <c r="N17" i="3"/>
  <c r="L17" i="3"/>
  <c r="K17" i="3"/>
  <c r="I17" i="3"/>
  <c r="F17" i="3"/>
  <c r="D17" i="3"/>
  <c r="O17" i="3"/>
  <c r="P17" i="3" s="1"/>
  <c r="H17" i="3"/>
  <c r="M91" i="7"/>
  <c r="G106" i="7"/>
  <c r="AL114" i="5"/>
  <c r="C126" i="5" s="1"/>
  <c r="D126" i="5" s="1"/>
  <c r="K126" i="5" s="1"/>
  <c r="AK114" i="5"/>
  <c r="M126" i="5" s="1"/>
  <c r="G62" i="5"/>
  <c r="M107" i="7"/>
  <c r="M76" i="7"/>
  <c r="P61" i="7"/>
  <c r="D52" i="3"/>
  <c r="N52" i="3"/>
  <c r="F52" i="3"/>
  <c r="G52" i="3" s="1"/>
  <c r="E52" i="3"/>
  <c r="O52" i="3"/>
  <c r="Q52" i="3"/>
  <c r="L52" i="3"/>
  <c r="M52" i="3" s="1"/>
  <c r="K52" i="3"/>
  <c r="I52" i="3"/>
  <c r="J52" i="3" s="1"/>
  <c r="H52" i="3"/>
  <c r="Q41" i="3"/>
  <c r="E41" i="3"/>
  <c r="D41" i="3"/>
  <c r="O41" i="3"/>
  <c r="N41" i="3"/>
  <c r="L41" i="3"/>
  <c r="M41" i="3" s="1"/>
  <c r="K41" i="3"/>
  <c r="I41" i="3"/>
  <c r="H41" i="3"/>
  <c r="F41" i="3"/>
  <c r="G41" i="3" s="1"/>
  <c r="G83" i="5"/>
  <c r="J103" i="5"/>
  <c r="M106" i="7"/>
  <c r="G99" i="7"/>
  <c r="J71" i="7"/>
  <c r="M69" i="5"/>
  <c r="M88" i="5"/>
  <c r="G91" i="5"/>
  <c r="P81" i="7"/>
  <c r="G81" i="5"/>
  <c r="M86" i="5"/>
  <c r="M86" i="7"/>
  <c r="M108" i="7"/>
  <c r="K37" i="3"/>
  <c r="I37" i="3"/>
  <c r="L37" i="3"/>
  <c r="M37" i="3" s="1"/>
  <c r="H37" i="3"/>
  <c r="E37" i="3"/>
  <c r="N37" i="3"/>
  <c r="F37" i="3"/>
  <c r="D37" i="3"/>
  <c r="O37" i="3"/>
  <c r="Q37" i="3"/>
  <c r="Q47" i="3"/>
  <c r="E47" i="3"/>
  <c r="I47" i="3"/>
  <c r="H47" i="3"/>
  <c r="F47" i="3"/>
  <c r="O47" i="3"/>
  <c r="N47" i="3"/>
  <c r="L47" i="3"/>
  <c r="M47" i="3" s="1"/>
  <c r="K47" i="3"/>
  <c r="D47" i="3"/>
  <c r="Q38" i="3"/>
  <c r="E38" i="3"/>
  <c r="I38" i="3"/>
  <c r="J38" i="3" s="1"/>
  <c r="H38" i="3"/>
  <c r="F38" i="3"/>
  <c r="O38" i="3"/>
  <c r="N38" i="3"/>
  <c r="L38" i="3"/>
  <c r="K38" i="3"/>
  <c r="D38" i="3"/>
  <c r="O27" i="3"/>
  <c r="P27" i="3" s="1"/>
  <c r="L27" i="3"/>
  <c r="M27" i="3" s="1"/>
  <c r="K27" i="3"/>
  <c r="I27" i="3"/>
  <c r="J27" i="3" s="1"/>
  <c r="Q27" i="3"/>
  <c r="N27" i="3"/>
  <c r="O87" i="3" s="1"/>
  <c r="F27" i="3"/>
  <c r="E27" i="3"/>
  <c r="D27" i="3"/>
  <c r="H27" i="3"/>
  <c r="G93" i="7"/>
  <c r="J90" i="7"/>
  <c r="J96" i="7"/>
  <c r="J104" i="5"/>
  <c r="G89" i="5"/>
  <c r="P96" i="3"/>
  <c r="P92" i="7"/>
  <c r="M68" i="7"/>
  <c r="G99" i="5"/>
  <c r="AH90" i="6" a="1"/>
  <c r="AH90" i="6" s="1"/>
  <c r="AH88" i="6" a="1"/>
  <c r="AH88" i="6" s="1"/>
  <c r="AH86" i="6" a="1"/>
  <c r="AH86" i="6" s="1"/>
  <c r="AH85" i="6" a="1"/>
  <c r="AH85" i="6" s="1"/>
  <c r="AH87" i="6" a="1"/>
  <c r="AH87" i="6" s="1"/>
  <c r="AH89" i="6" a="1"/>
  <c r="AH89" i="6" s="1"/>
  <c r="J100" i="7"/>
  <c r="P105" i="7"/>
  <c r="M80" i="5"/>
  <c r="O93" i="3"/>
  <c r="AQ88" i="4" a="1"/>
  <c r="AQ88" i="4" s="1"/>
  <c r="AQ85" i="4" a="1"/>
  <c r="AQ85" i="4" s="1"/>
  <c r="AQ86" i="4" a="1"/>
  <c r="AQ86" i="4" s="1"/>
  <c r="AQ87" i="4" a="1"/>
  <c r="AQ87" i="4" s="1"/>
  <c r="AQ90" i="4" a="1"/>
  <c r="AQ90" i="4" s="1"/>
  <c r="AQ89" i="4" a="1"/>
  <c r="AQ89" i="4" s="1"/>
  <c r="M79" i="7"/>
  <c r="P68" i="5"/>
  <c r="U60" i="5" a="1"/>
  <c r="P62" i="7"/>
  <c r="G84" i="5"/>
  <c r="G74" i="7"/>
  <c r="M102" i="7"/>
  <c r="P105" i="5"/>
  <c r="G91" i="3" l="1"/>
  <c r="Q92" i="3"/>
  <c r="F90" i="3"/>
  <c r="F93" i="3"/>
  <c r="G93" i="3" s="1"/>
  <c r="G87" i="3"/>
  <c r="U36" i="3"/>
  <c r="V36" i="3" s="1"/>
  <c r="U24" i="3"/>
  <c r="V24" i="3" s="1"/>
  <c r="U12" i="3"/>
  <c r="V12" i="3" s="1"/>
  <c r="U46" i="3"/>
  <c r="V46" i="3" s="1"/>
  <c r="U34" i="3"/>
  <c r="V34" i="3" s="1"/>
  <c r="U22" i="3"/>
  <c r="V22" i="3" s="1"/>
  <c r="U10" i="3"/>
  <c r="V10" i="3" s="1"/>
  <c r="U35" i="3"/>
  <c r="V35" i="3" s="1"/>
  <c r="U20" i="3"/>
  <c r="V20" i="3" s="1"/>
  <c r="U6" i="3"/>
  <c r="V6" i="3" s="1"/>
  <c r="U33" i="3"/>
  <c r="V33" i="3" s="1"/>
  <c r="U19" i="3"/>
  <c r="V19" i="3" s="1"/>
  <c r="U32" i="3"/>
  <c r="V32" i="3" s="1"/>
  <c r="U18" i="3"/>
  <c r="V18" i="3" s="1"/>
  <c r="U5" i="3"/>
  <c r="V5" i="3" s="1"/>
  <c r="U45" i="3"/>
  <c r="V45" i="3" s="1"/>
  <c r="U31" i="3"/>
  <c r="V31" i="3" s="1"/>
  <c r="U17" i="3"/>
  <c r="V17" i="3" s="1"/>
  <c r="U43" i="3"/>
  <c r="V43" i="3" s="1"/>
  <c r="U29" i="3"/>
  <c r="V29" i="3" s="1"/>
  <c r="U15" i="3"/>
  <c r="V15" i="3" s="1"/>
  <c r="U39" i="3"/>
  <c r="V39" i="3" s="1"/>
  <c r="U13" i="3"/>
  <c r="V13" i="3" s="1"/>
  <c r="U37" i="3"/>
  <c r="V37" i="3" s="1"/>
  <c r="U9" i="3"/>
  <c r="V9" i="3" s="1"/>
  <c r="U30" i="3"/>
  <c r="V30" i="3" s="1"/>
  <c r="U8" i="3"/>
  <c r="V8" i="3" s="1"/>
  <c r="U28" i="3"/>
  <c r="V28" i="3" s="1"/>
  <c r="U7" i="3"/>
  <c r="V7" i="3" s="1"/>
  <c r="U27" i="3"/>
  <c r="V27" i="3" s="1"/>
  <c r="U26" i="3"/>
  <c r="V26" i="3" s="1"/>
  <c r="U44" i="3"/>
  <c r="V44" i="3" s="1"/>
  <c r="U42" i="3"/>
  <c r="V42" i="3" s="1"/>
  <c r="U41" i="3"/>
  <c r="V41" i="3" s="1"/>
  <c r="U40" i="3"/>
  <c r="V40" i="3" s="1"/>
  <c r="U25" i="3"/>
  <c r="V25" i="3" s="1"/>
  <c r="U16" i="3"/>
  <c r="V16" i="3" s="1"/>
  <c r="U38" i="3"/>
  <c r="V38" i="3" s="1"/>
  <c r="U23" i="3"/>
  <c r="V23" i="3" s="1"/>
  <c r="U14" i="3"/>
  <c r="V14" i="3" s="1"/>
  <c r="U11" i="3"/>
  <c r="V11" i="3" s="1"/>
  <c r="U21" i="3"/>
  <c r="V21" i="3" s="1"/>
  <c r="Z159" i="7"/>
  <c r="Z153" i="7"/>
  <c r="Z147" i="7"/>
  <c r="Z141" i="7"/>
  <c r="Z135" i="7"/>
  <c r="Z129" i="7"/>
  <c r="Z123" i="7"/>
  <c r="Z117" i="7"/>
  <c r="Z158" i="7"/>
  <c r="Z152" i="7"/>
  <c r="Z146" i="7"/>
  <c r="Z140" i="7"/>
  <c r="Z134" i="7"/>
  <c r="Z128" i="7"/>
  <c r="Z122" i="7"/>
  <c r="Z116" i="7"/>
  <c r="Y162" i="7"/>
  <c r="Y156" i="7"/>
  <c r="Y150" i="7"/>
  <c r="Y144" i="7"/>
  <c r="Y138" i="7"/>
  <c r="Y132" i="7"/>
  <c r="Y126" i="7"/>
  <c r="Y120" i="7"/>
  <c r="Y163" i="7"/>
  <c r="Y155" i="7"/>
  <c r="Y147" i="7"/>
  <c r="Y139" i="7"/>
  <c r="Y131" i="7"/>
  <c r="Y123" i="7"/>
  <c r="Y115" i="7"/>
  <c r="C118" i="7" s="1"/>
  <c r="Z161" i="7"/>
  <c r="Y154" i="7"/>
  <c r="Z145" i="7"/>
  <c r="Z137" i="7"/>
  <c r="Y130" i="7"/>
  <c r="Z121" i="7"/>
  <c r="Y114" i="7"/>
  <c r="C117" i="7" s="1"/>
  <c r="Y161" i="7"/>
  <c r="Y153" i="7"/>
  <c r="Y145" i="7"/>
  <c r="Y137" i="7"/>
  <c r="Y129" i="7"/>
  <c r="Y121" i="7"/>
  <c r="Y152" i="7"/>
  <c r="Z142" i="7"/>
  <c r="Z132" i="7"/>
  <c r="Z120" i="7"/>
  <c r="Z163" i="7"/>
  <c r="Z151" i="7"/>
  <c r="Y142" i="7"/>
  <c r="Z131" i="7"/>
  <c r="Z119" i="7"/>
  <c r="Z162" i="7"/>
  <c r="Y151" i="7"/>
  <c r="Y141" i="7"/>
  <c r="Z130" i="7"/>
  <c r="Y119" i="7"/>
  <c r="Z160" i="7"/>
  <c r="Z150" i="7"/>
  <c r="Y140" i="7"/>
  <c r="Y128" i="7"/>
  <c r="Z118" i="7"/>
  <c r="Z149" i="7"/>
  <c r="Y135" i="7"/>
  <c r="Y118" i="7"/>
  <c r="Y149" i="7"/>
  <c r="Y134" i="7"/>
  <c r="Y117" i="7"/>
  <c r="Z148" i="7"/>
  <c r="Z133" i="7"/>
  <c r="Y116" i="7"/>
  <c r="C119" i="7" s="1"/>
  <c r="Y148" i="7"/>
  <c r="Y133" i="7"/>
  <c r="Z115" i="7"/>
  <c r="Z156" i="7"/>
  <c r="Y127" i="7"/>
  <c r="Z155" i="7"/>
  <c r="Z126" i="7"/>
  <c r="Z154" i="7"/>
  <c r="Z125" i="7"/>
  <c r="Z144" i="7"/>
  <c r="Z124" i="7"/>
  <c r="Y159" i="7"/>
  <c r="Y125" i="7"/>
  <c r="Y158" i="7"/>
  <c r="Y124" i="7"/>
  <c r="Z157" i="7"/>
  <c r="Y122" i="7"/>
  <c r="Y157" i="7"/>
  <c r="Z114" i="7"/>
  <c r="Y146" i="7"/>
  <c r="Z143" i="7"/>
  <c r="Y143" i="7"/>
  <c r="Z139" i="7"/>
  <c r="Z138" i="7"/>
  <c r="Z136" i="7"/>
  <c r="Y136" i="7"/>
  <c r="Z127" i="7"/>
  <c r="Y160" i="7"/>
  <c r="N126" i="7"/>
  <c r="O126" i="7" s="1" a="1"/>
  <c r="O126" i="7" s="1"/>
  <c r="O127" i="7" a="1"/>
  <c r="O127" i="7" s="1"/>
  <c r="O128" i="7" a="1"/>
  <c r="O128" i="7" s="1"/>
  <c r="U162" i="7"/>
  <c r="U156" i="7"/>
  <c r="U150" i="7"/>
  <c r="U144" i="7"/>
  <c r="U138" i="7"/>
  <c r="U132" i="7"/>
  <c r="U126" i="7"/>
  <c r="U120" i="7"/>
  <c r="U161" i="7"/>
  <c r="U155" i="7"/>
  <c r="U149" i="7"/>
  <c r="U143" i="7"/>
  <c r="U137" i="7"/>
  <c r="U131" i="7"/>
  <c r="U125" i="7"/>
  <c r="U119" i="7"/>
  <c r="U158" i="7"/>
  <c r="U151" i="7"/>
  <c r="V143" i="7"/>
  <c r="U136" i="7"/>
  <c r="U129" i="7"/>
  <c r="U122" i="7"/>
  <c r="U115" i="7"/>
  <c r="C115" i="7" s="1"/>
  <c r="U157" i="7"/>
  <c r="V149" i="7"/>
  <c r="U142" i="7"/>
  <c r="U135" i="7"/>
  <c r="U128" i="7"/>
  <c r="U121" i="7"/>
  <c r="U114" i="7"/>
  <c r="C114" i="7" s="1"/>
  <c r="D114" i="7" s="1"/>
  <c r="V163" i="7"/>
  <c r="V156" i="7"/>
  <c r="V148" i="7"/>
  <c r="V141" i="7"/>
  <c r="V134" i="7"/>
  <c r="V127" i="7"/>
  <c r="V120" i="7"/>
  <c r="V160" i="7"/>
  <c r="U152" i="7"/>
  <c r="U141" i="7"/>
  <c r="V132" i="7"/>
  <c r="U123" i="7"/>
  <c r="U160" i="7"/>
  <c r="V151" i="7"/>
  <c r="V140" i="7"/>
  <c r="V131" i="7"/>
  <c r="V122" i="7"/>
  <c r="V159" i="7"/>
  <c r="V150" i="7"/>
  <c r="U140" i="7"/>
  <c r="V130" i="7"/>
  <c r="V121" i="7"/>
  <c r="U159" i="7"/>
  <c r="U148" i="7"/>
  <c r="V139" i="7"/>
  <c r="U130" i="7"/>
  <c r="V119" i="7"/>
  <c r="U154" i="7"/>
  <c r="U139" i="7"/>
  <c r="V125" i="7"/>
  <c r="V153" i="7"/>
  <c r="V138" i="7"/>
  <c r="V124" i="7"/>
  <c r="U153" i="7"/>
  <c r="V137" i="7"/>
  <c r="U124" i="7"/>
  <c r="V152" i="7"/>
  <c r="V136" i="7"/>
  <c r="V123" i="7"/>
  <c r="V157" i="7"/>
  <c r="U134" i="7"/>
  <c r="U116" i="7"/>
  <c r="C116" i="7" s="1"/>
  <c r="V155" i="7"/>
  <c r="V133" i="7"/>
  <c r="V115" i="7"/>
  <c r="V154" i="7"/>
  <c r="U133" i="7"/>
  <c r="V114" i="7"/>
  <c r="U147" i="7"/>
  <c r="V128" i="7"/>
  <c r="U145" i="7"/>
  <c r="V144" i="7"/>
  <c r="V142" i="7"/>
  <c r="V135" i="7"/>
  <c r="U163" i="7"/>
  <c r="V129" i="7"/>
  <c r="V162" i="7"/>
  <c r="U127" i="7"/>
  <c r="V161" i="7"/>
  <c r="V126" i="7"/>
  <c r="V117" i="7"/>
  <c r="U117" i="7"/>
  <c r="V116" i="7"/>
  <c r="V158" i="7"/>
  <c r="V147" i="7"/>
  <c r="V146" i="7"/>
  <c r="U146" i="7"/>
  <c r="V145" i="7"/>
  <c r="U118" i="7"/>
  <c r="V118" i="7"/>
  <c r="Q19" i="7"/>
  <c r="D19" i="7"/>
  <c r="Q31" i="7"/>
  <c r="D31" i="7"/>
  <c r="D25" i="7"/>
  <c r="Q25" i="7"/>
  <c r="Q16" i="7"/>
  <c r="D16" i="7"/>
  <c r="Q54" i="7"/>
  <c r="D54" i="7"/>
  <c r="D8" i="5"/>
  <c r="Q8" i="5"/>
  <c r="Q47" i="5"/>
  <c r="D47" i="5"/>
  <c r="D37" i="5"/>
  <c r="Q37" i="5"/>
  <c r="Q39" i="5"/>
  <c r="D39" i="5"/>
  <c r="AZ90" i="2" a="1"/>
  <c r="AZ90" i="2" s="1"/>
  <c r="AZ86" i="2" a="1"/>
  <c r="AZ86" i="2" s="1"/>
  <c r="AZ87" i="2" a="1"/>
  <c r="AZ87" i="2" s="1"/>
  <c r="AZ89" i="2" a="1"/>
  <c r="AZ89" i="2" s="1"/>
  <c r="AZ85" i="2" a="1"/>
  <c r="AZ85" i="2" s="1"/>
  <c r="AZ88" i="2" a="1"/>
  <c r="AZ88" i="2" s="1"/>
  <c r="Q20" i="7"/>
  <c r="D20" i="7"/>
  <c r="D8" i="7"/>
  <c r="Q8" i="7"/>
  <c r="Q37" i="7"/>
  <c r="D37" i="7"/>
  <c r="D28" i="7"/>
  <c r="Q28" i="7"/>
  <c r="D41" i="5"/>
  <c r="Q41" i="5"/>
  <c r="Q25" i="5"/>
  <c r="D25" i="5"/>
  <c r="D6" i="5"/>
  <c r="Q6" i="5"/>
  <c r="Q53" i="5"/>
  <c r="D53" i="5"/>
  <c r="P25" i="3"/>
  <c r="G13" i="3"/>
  <c r="G53" i="3"/>
  <c r="G34" i="3"/>
  <c r="G39" i="3"/>
  <c r="G6" i="3"/>
  <c r="P90" i="3"/>
  <c r="Q90" i="3" s="1"/>
  <c r="Q43" i="7"/>
  <c r="D43" i="7"/>
  <c r="Q32" i="7"/>
  <c r="D32" i="7"/>
  <c r="Q49" i="7"/>
  <c r="D49" i="7"/>
  <c r="Q40" i="7"/>
  <c r="D40" i="7"/>
  <c r="Q42" i="5"/>
  <c r="D42" i="5"/>
  <c r="Q49" i="5"/>
  <c r="D49" i="5"/>
  <c r="D22" i="5"/>
  <c r="Q22" i="5"/>
  <c r="D5" i="5"/>
  <c r="Q5" i="5"/>
  <c r="M29" i="3"/>
  <c r="P47" i="3"/>
  <c r="G47" i="3"/>
  <c r="J17" i="3"/>
  <c r="F95" i="3"/>
  <c r="G95" i="3" s="1"/>
  <c r="F96" i="3"/>
  <c r="G96" i="3" s="1"/>
  <c r="J32" i="3"/>
  <c r="P49" i="3"/>
  <c r="G29" i="3"/>
  <c r="P51" i="3"/>
  <c r="J13" i="3"/>
  <c r="P22" i="3"/>
  <c r="P16" i="3"/>
  <c r="P44" i="3"/>
  <c r="AC163" i="7"/>
  <c r="AC157" i="7"/>
  <c r="AC151" i="7"/>
  <c r="AC145" i="7"/>
  <c r="AC139" i="7"/>
  <c r="AC133" i="7"/>
  <c r="AC127" i="7"/>
  <c r="AC121" i="7"/>
  <c r="AC115" i="7"/>
  <c r="C121" i="7" s="1"/>
  <c r="AC162" i="7"/>
  <c r="AC156" i="7"/>
  <c r="AC150" i="7"/>
  <c r="AC144" i="7"/>
  <c r="AC138" i="7"/>
  <c r="AC132" i="7"/>
  <c r="AC126" i="7"/>
  <c r="AC120" i="7"/>
  <c r="AD159" i="7"/>
  <c r="AD153" i="7"/>
  <c r="AD147" i="7"/>
  <c r="AD141" i="7"/>
  <c r="AD135" i="7"/>
  <c r="AD129" i="7"/>
  <c r="AD123" i="7"/>
  <c r="AD117" i="7"/>
  <c r="AD160" i="7"/>
  <c r="AD152" i="7"/>
  <c r="AD144" i="7"/>
  <c r="AD136" i="7"/>
  <c r="AD128" i="7"/>
  <c r="AD120" i="7"/>
  <c r="AC159" i="7"/>
  <c r="AD151" i="7"/>
  <c r="AC143" i="7"/>
  <c r="AC135" i="7"/>
  <c r="AD127" i="7"/>
  <c r="AC119" i="7"/>
  <c r="AD158" i="7"/>
  <c r="AD150" i="7"/>
  <c r="AD142" i="7"/>
  <c r="AD134" i="7"/>
  <c r="AD126" i="7"/>
  <c r="AD118" i="7"/>
  <c r="AD155" i="7"/>
  <c r="AC146" i="7"/>
  <c r="AC134" i="7"/>
  <c r="AC124" i="7"/>
  <c r="AC114" i="7"/>
  <c r="C120" i="7" s="1"/>
  <c r="AC155" i="7"/>
  <c r="AD145" i="7"/>
  <c r="AD133" i="7"/>
  <c r="AC123" i="7"/>
  <c r="AD154" i="7"/>
  <c r="AD143" i="7"/>
  <c r="AD132" i="7"/>
  <c r="AD122" i="7"/>
  <c r="AC154" i="7"/>
  <c r="AC142" i="7"/>
  <c r="AD131" i="7"/>
  <c r="AC122" i="7"/>
  <c r="AD163" i="7"/>
  <c r="AD148" i="7"/>
  <c r="AC131" i="7"/>
  <c r="AD116" i="7"/>
  <c r="AD162" i="7"/>
  <c r="AC148" i="7"/>
  <c r="AD130" i="7"/>
  <c r="AC116" i="7"/>
  <c r="C122" i="7" s="1"/>
  <c r="AD161" i="7"/>
  <c r="AC147" i="7"/>
  <c r="AC130" i="7"/>
  <c r="AD115" i="7"/>
  <c r="AC161" i="7"/>
  <c r="AD146" i="7"/>
  <c r="AC129" i="7"/>
  <c r="AD114" i="7"/>
  <c r="AC152" i="7"/>
  <c r="AD125" i="7"/>
  <c r="AD149" i="7"/>
  <c r="AC125" i="7"/>
  <c r="AC149" i="7"/>
  <c r="AD124" i="7"/>
  <c r="AD140" i="7"/>
  <c r="AD119" i="7"/>
  <c r="AC141" i="7"/>
  <c r="AC140" i="7"/>
  <c r="AD139" i="7"/>
  <c r="AD138" i="7"/>
  <c r="AD137" i="7"/>
  <c r="AC137" i="7"/>
  <c r="AC136" i="7"/>
  <c r="AC160" i="7"/>
  <c r="AC158" i="7"/>
  <c r="AD157" i="7"/>
  <c r="AD156" i="7"/>
  <c r="AC153" i="7"/>
  <c r="AC128" i="7"/>
  <c r="AD121" i="7"/>
  <c r="AC118" i="7"/>
  <c r="AC117" i="7"/>
  <c r="AN64" i="4"/>
  <c r="BH83" i="4"/>
  <c r="AS4" i="4"/>
  <c r="M31" i="3"/>
  <c r="Q21" i="7"/>
  <c r="D21" i="7"/>
  <c r="Q9" i="7"/>
  <c r="D9" i="7"/>
  <c r="D14" i="7"/>
  <c r="Q14" i="7"/>
  <c r="Q52" i="7"/>
  <c r="D52" i="7"/>
  <c r="Q44" i="5"/>
  <c r="D44" i="5"/>
  <c r="Q27" i="5"/>
  <c r="D27" i="5"/>
  <c r="Q38" i="5"/>
  <c r="D38" i="5"/>
  <c r="D16" i="5"/>
  <c r="Q16" i="5"/>
  <c r="J16" i="3"/>
  <c r="J44" i="3"/>
  <c r="AH115" i="5"/>
  <c r="AG114" i="5"/>
  <c r="C123" i="5" s="1"/>
  <c r="AG115" i="5"/>
  <c r="C124" i="5" s="1"/>
  <c r="AH114" i="5"/>
  <c r="P31" i="3"/>
  <c r="M48" i="3"/>
  <c r="D45" i="7"/>
  <c r="Q45" i="7"/>
  <c r="Q33" i="7"/>
  <c r="D33" i="7"/>
  <c r="D26" i="7"/>
  <c r="Q26" i="7"/>
  <c r="Q17" i="7"/>
  <c r="D17" i="7"/>
  <c r="Q45" i="5"/>
  <c r="D45" i="5"/>
  <c r="D51" i="5"/>
  <c r="Q51" i="5"/>
  <c r="Q20" i="5"/>
  <c r="D20" i="5"/>
  <c r="Q28" i="5"/>
  <c r="D28" i="5"/>
  <c r="AQ89" i="6" a="1"/>
  <c r="AQ89" i="6" s="1"/>
  <c r="AQ87" i="6" a="1"/>
  <c r="AQ87" i="6" s="1"/>
  <c r="AQ86" i="6" a="1"/>
  <c r="AQ86" i="6" s="1"/>
  <c r="AQ88" i="6" a="1"/>
  <c r="AQ88" i="6" s="1"/>
  <c r="AQ85" i="6" a="1"/>
  <c r="AQ85" i="6" s="1"/>
  <c r="AQ90" i="6" a="1"/>
  <c r="AQ90" i="6" s="1"/>
  <c r="M38" i="3"/>
  <c r="G17" i="3"/>
  <c r="AG59" i="3" a="1"/>
  <c r="M5" i="3"/>
  <c r="P94" i="3"/>
  <c r="Q94" i="3" s="1"/>
  <c r="P15" i="3"/>
  <c r="P38" i="3"/>
  <c r="J37" i="3"/>
  <c r="P40" i="3"/>
  <c r="P14" i="3"/>
  <c r="P35" i="3"/>
  <c r="G27" i="3"/>
  <c r="G38" i="3"/>
  <c r="J47" i="3"/>
  <c r="M17" i="3"/>
  <c r="G15" i="3"/>
  <c r="G24" i="3"/>
  <c r="G10" i="3"/>
  <c r="G46" i="3"/>
  <c r="M32" i="3"/>
  <c r="J29" i="3"/>
  <c r="M28" i="3"/>
  <c r="G51" i="3"/>
  <c r="J7" i="3"/>
  <c r="J35" i="3"/>
  <c r="P88" i="3"/>
  <c r="Q88" i="3" s="1"/>
  <c r="M42" i="3"/>
  <c r="M19" i="3"/>
  <c r="G8" i="3"/>
  <c r="P34" i="3"/>
  <c r="P18" i="3"/>
  <c r="AZ89" i="4" a="1"/>
  <c r="AZ89" i="4" s="1"/>
  <c r="AZ86" i="4" a="1"/>
  <c r="AZ86" i="4" s="1"/>
  <c r="AZ90" i="4" a="1"/>
  <c r="AZ90" i="4" s="1"/>
  <c r="AZ85" i="4" a="1"/>
  <c r="AZ85" i="4" s="1"/>
  <c r="AZ87" i="4" a="1"/>
  <c r="AZ87" i="4" s="1"/>
  <c r="AZ88" i="4" a="1"/>
  <c r="AZ88" i="4" s="1"/>
  <c r="P54" i="3"/>
  <c r="M6" i="3"/>
  <c r="P48" i="3"/>
  <c r="Q22" i="7"/>
  <c r="D22" i="7"/>
  <c r="D10" i="7"/>
  <c r="Q10" i="7"/>
  <c r="Q38" i="7"/>
  <c r="D38" i="7"/>
  <c r="D29" i="7"/>
  <c r="Q29" i="7"/>
  <c r="Q9" i="5"/>
  <c r="D9" i="5"/>
  <c r="D12" i="5"/>
  <c r="Q12" i="5"/>
  <c r="Q15" i="5"/>
  <c r="D15" i="5"/>
  <c r="Q35" i="5"/>
  <c r="D35" i="5"/>
  <c r="Q40" i="5"/>
  <c r="D40" i="5"/>
  <c r="P43" i="3"/>
  <c r="P32" i="3"/>
  <c r="J30" i="3"/>
  <c r="G26" i="3"/>
  <c r="G54" i="3"/>
  <c r="Q46" i="7"/>
  <c r="D46" i="7"/>
  <c r="Q34" i="7"/>
  <c r="D34" i="7"/>
  <c r="D50" i="7"/>
  <c r="Q50" i="7"/>
  <c r="D41" i="7"/>
  <c r="Q41" i="7"/>
  <c r="D10" i="5"/>
  <c r="Q10" i="5"/>
  <c r="D17" i="5"/>
  <c r="Q17" i="5"/>
  <c r="U5" i="5" s="1" a="1"/>
  <c r="D32" i="5"/>
  <c r="Q32" i="5"/>
  <c r="D50" i="5"/>
  <c r="Q50" i="5"/>
  <c r="D52" i="5"/>
  <c r="Q52" i="5"/>
  <c r="Y59" i="3" a="1"/>
  <c r="G5" i="3"/>
  <c r="M12" i="3"/>
  <c r="O127" i="5" a="1"/>
  <c r="O127" i="5" s="1"/>
  <c r="O128" i="5" a="1"/>
  <c r="O128" i="5" s="1"/>
  <c r="O126" i="5" a="1"/>
  <c r="O126" i="5" s="1"/>
  <c r="N126" i="5"/>
  <c r="AC59" i="3" a="1"/>
  <c r="J5" i="3"/>
  <c r="M24" i="3"/>
  <c r="AH160" i="7"/>
  <c r="AH154" i="7"/>
  <c r="AH148" i="7"/>
  <c r="AH142" i="7"/>
  <c r="AH136" i="7"/>
  <c r="AH130" i="7"/>
  <c r="AH124" i="7"/>
  <c r="AH118" i="7"/>
  <c r="AH159" i="7"/>
  <c r="AH153" i="7"/>
  <c r="AH147" i="7"/>
  <c r="AH141" i="7"/>
  <c r="AH135" i="7"/>
  <c r="AH129" i="7"/>
  <c r="AH123" i="7"/>
  <c r="AH117" i="7"/>
  <c r="AG163" i="7"/>
  <c r="AG157" i="7"/>
  <c r="AG151" i="7"/>
  <c r="AG145" i="7"/>
  <c r="AG139" i="7"/>
  <c r="AG133" i="7"/>
  <c r="AG127" i="7"/>
  <c r="AG121" i="7"/>
  <c r="AG115" i="7"/>
  <c r="C124" i="7" s="1"/>
  <c r="AG162" i="7"/>
  <c r="AG156" i="7"/>
  <c r="AG150" i="7"/>
  <c r="AG144" i="7"/>
  <c r="AG138" i="7"/>
  <c r="AG132" i="7"/>
  <c r="AG126" i="7"/>
  <c r="AG120" i="7"/>
  <c r="AG155" i="7"/>
  <c r="AG146" i="7"/>
  <c r="AG137" i="7"/>
  <c r="AG128" i="7"/>
  <c r="AG119" i="7"/>
  <c r="AH162" i="7"/>
  <c r="AG153" i="7"/>
  <c r="AH144" i="7"/>
  <c r="AG135" i="7"/>
  <c r="AH126" i="7"/>
  <c r="AG117" i="7"/>
  <c r="AH161" i="7"/>
  <c r="AH152" i="7"/>
  <c r="AH143" i="7"/>
  <c r="AH134" i="7"/>
  <c r="AH125" i="7"/>
  <c r="AH116" i="7"/>
  <c r="AG152" i="7"/>
  <c r="AH140" i="7"/>
  <c r="AG129" i="7"/>
  <c r="AG116" i="7"/>
  <c r="C125" i="7" s="1"/>
  <c r="AH151" i="7"/>
  <c r="AG140" i="7"/>
  <c r="AH128" i="7"/>
  <c r="AH115" i="7"/>
  <c r="AH163" i="7"/>
  <c r="AH150" i="7"/>
  <c r="AH139" i="7"/>
  <c r="AH127" i="7"/>
  <c r="AH114" i="7"/>
  <c r="AG161" i="7"/>
  <c r="AH149" i="7"/>
  <c r="AH138" i="7"/>
  <c r="AG125" i="7"/>
  <c r="AG114" i="7"/>
  <c r="C123" i="7" s="1"/>
  <c r="AG149" i="7"/>
  <c r="AH132" i="7"/>
  <c r="AG148" i="7"/>
  <c r="AH131" i="7"/>
  <c r="AG147" i="7"/>
  <c r="AG131" i="7"/>
  <c r="AH146" i="7"/>
  <c r="AG130" i="7"/>
  <c r="AH156" i="7"/>
  <c r="AG123" i="7"/>
  <c r="AH155" i="7"/>
  <c r="AH122" i="7"/>
  <c r="AG154" i="7"/>
  <c r="AG122" i="7"/>
  <c r="AG143" i="7"/>
  <c r="AH120" i="7"/>
  <c r="AG136" i="7"/>
  <c r="AG134" i="7"/>
  <c r="AH133" i="7"/>
  <c r="AG160" i="7"/>
  <c r="AG124" i="7"/>
  <c r="AG159" i="7"/>
  <c r="AH121" i="7"/>
  <c r="AH158" i="7"/>
  <c r="AH119" i="7"/>
  <c r="AG158" i="7"/>
  <c r="AG118" i="7"/>
  <c r="AG141" i="7"/>
  <c r="AH137" i="7"/>
  <c r="AH157" i="7"/>
  <c r="AH145" i="7"/>
  <c r="AG142" i="7"/>
  <c r="Q91" i="3"/>
  <c r="U101" i="7"/>
  <c r="V101" i="7" s="1"/>
  <c r="U89" i="7"/>
  <c r="V89" i="7" s="1"/>
  <c r="U77" i="7"/>
  <c r="V77" i="7" s="1"/>
  <c r="U65" i="7"/>
  <c r="V65" i="7" s="1"/>
  <c r="U102" i="7"/>
  <c r="V102" i="7" s="1"/>
  <c r="U88" i="7"/>
  <c r="V88" i="7" s="1"/>
  <c r="U75" i="7"/>
  <c r="V75" i="7" s="1"/>
  <c r="U62" i="7"/>
  <c r="V62" i="7" s="1"/>
  <c r="U100" i="7"/>
  <c r="V100" i="7" s="1"/>
  <c r="U87" i="7"/>
  <c r="V87" i="7" s="1"/>
  <c r="U74" i="7"/>
  <c r="V74" i="7" s="1"/>
  <c r="U61" i="7"/>
  <c r="V61" i="7" s="1"/>
  <c r="U99" i="7"/>
  <c r="V99" i="7" s="1"/>
  <c r="U86" i="7"/>
  <c r="V86" i="7" s="1"/>
  <c r="U73" i="7"/>
  <c r="V73" i="7" s="1"/>
  <c r="U98" i="7"/>
  <c r="V98" i="7" s="1"/>
  <c r="U85" i="7"/>
  <c r="V85" i="7" s="1"/>
  <c r="U72" i="7"/>
  <c r="V72" i="7" s="1"/>
  <c r="U60" i="7"/>
  <c r="V60" i="7" s="1"/>
  <c r="U108" i="7"/>
  <c r="V108" i="7" s="1"/>
  <c r="U91" i="7"/>
  <c r="V91" i="7" s="1"/>
  <c r="U69" i="7"/>
  <c r="V69" i="7" s="1"/>
  <c r="U107" i="7"/>
  <c r="V107" i="7" s="1"/>
  <c r="U90" i="7"/>
  <c r="V90" i="7" s="1"/>
  <c r="U68" i="7"/>
  <c r="V68" i="7" s="1"/>
  <c r="U106" i="7"/>
  <c r="V106" i="7" s="1"/>
  <c r="U84" i="7"/>
  <c r="V84" i="7" s="1"/>
  <c r="U67" i="7"/>
  <c r="V67" i="7" s="1"/>
  <c r="U104" i="7"/>
  <c r="V104" i="7" s="1"/>
  <c r="U82" i="7"/>
  <c r="V82" i="7" s="1"/>
  <c r="U64" i="7"/>
  <c r="V64" i="7" s="1"/>
  <c r="U97" i="7"/>
  <c r="V97" i="7" s="1"/>
  <c r="U71" i="7"/>
  <c r="V71" i="7" s="1"/>
  <c r="U96" i="7"/>
  <c r="V96" i="7" s="1"/>
  <c r="U70" i="7"/>
  <c r="V70" i="7" s="1"/>
  <c r="U95" i="7"/>
  <c r="V95" i="7" s="1"/>
  <c r="U66" i="7"/>
  <c r="V66" i="7" s="1"/>
  <c r="U94" i="7"/>
  <c r="V94" i="7" s="1"/>
  <c r="U63" i="7"/>
  <c r="V63" i="7" s="1"/>
  <c r="U93" i="7"/>
  <c r="V93" i="7" s="1"/>
  <c r="U92" i="7"/>
  <c r="V92" i="7" s="1"/>
  <c r="U83" i="7"/>
  <c r="V83" i="7" s="1"/>
  <c r="U109" i="7"/>
  <c r="V109" i="7" s="1"/>
  <c r="U105" i="7"/>
  <c r="V105" i="7" s="1"/>
  <c r="U103" i="7"/>
  <c r="V103" i="7" s="1"/>
  <c r="U81" i="7"/>
  <c r="V81" i="7" s="1"/>
  <c r="U80" i="7"/>
  <c r="V80" i="7" s="1"/>
  <c r="U79" i="7"/>
  <c r="V79" i="7" s="1"/>
  <c r="U78" i="7"/>
  <c r="V78" i="7" s="1"/>
  <c r="U76" i="7"/>
  <c r="V76" i="7" s="1"/>
  <c r="M35" i="3"/>
  <c r="G22" i="3"/>
  <c r="J54" i="3"/>
  <c r="J23" i="3"/>
  <c r="Q23" i="7"/>
  <c r="D23" i="7"/>
  <c r="D11" i="7"/>
  <c r="Q11" i="7"/>
  <c r="Q15" i="7"/>
  <c r="D15" i="7"/>
  <c r="D53" i="7"/>
  <c r="Q53" i="7"/>
  <c r="Q33" i="5"/>
  <c r="D33" i="5"/>
  <c r="Q18" i="5"/>
  <c r="D18" i="5"/>
  <c r="Q48" i="5"/>
  <c r="D48" i="5"/>
  <c r="D14" i="5"/>
  <c r="Q14" i="5"/>
  <c r="P41" i="3"/>
  <c r="J33" i="3"/>
  <c r="J20" i="3"/>
  <c r="P87" i="3"/>
  <c r="Q87" i="3" s="1"/>
  <c r="AD114" i="5"/>
  <c r="AC114" i="5"/>
  <c r="C120" i="5" s="1"/>
  <c r="AC115" i="5"/>
  <c r="C121" i="5" s="1"/>
  <c r="AD115" i="5"/>
  <c r="J22" i="3"/>
  <c r="Q89" i="3"/>
  <c r="D47" i="7"/>
  <c r="Q47" i="7"/>
  <c r="D35" i="7"/>
  <c r="Q35" i="7"/>
  <c r="Q27" i="7"/>
  <c r="D27" i="7"/>
  <c r="Q6" i="7"/>
  <c r="D6" i="7"/>
  <c r="D34" i="5"/>
  <c r="Q34" i="5"/>
  <c r="Q30" i="5"/>
  <c r="D30" i="5"/>
  <c r="Q19" i="5"/>
  <c r="D19" i="5"/>
  <c r="Q29" i="5"/>
  <c r="D29" i="5"/>
  <c r="Y114" i="5"/>
  <c r="C117" i="5" s="1"/>
  <c r="Z114" i="5"/>
  <c r="G90" i="3"/>
  <c r="Q96" i="3"/>
  <c r="P37" i="3"/>
  <c r="J41" i="3"/>
  <c r="F89" i="3"/>
  <c r="G89" i="3" s="1"/>
  <c r="F92" i="3"/>
  <c r="G92" i="3" s="1"/>
  <c r="K59" i="3"/>
  <c r="U59" i="3" a="1"/>
  <c r="G43" i="3"/>
  <c r="M46" i="3"/>
  <c r="P93" i="3"/>
  <c r="Q93" i="3" s="1"/>
  <c r="M54" i="3"/>
  <c r="P23" i="3"/>
  <c r="J31" i="3"/>
  <c r="G48" i="3"/>
  <c r="Q24" i="7"/>
  <c r="D24" i="7"/>
  <c r="Q12" i="7"/>
  <c r="D12" i="7"/>
  <c r="Q39" i="7"/>
  <c r="D39" i="7"/>
  <c r="Q18" i="7"/>
  <c r="D18" i="7"/>
  <c r="D11" i="5"/>
  <c r="Q11" i="5"/>
  <c r="D23" i="5"/>
  <c r="Q23" i="5"/>
  <c r="Q36" i="5"/>
  <c r="D36" i="5"/>
  <c r="D43" i="5"/>
  <c r="Q43" i="5"/>
  <c r="P52" i="3"/>
  <c r="G94" i="3"/>
  <c r="J9" i="3"/>
  <c r="G11" i="3"/>
  <c r="AY83" i="6"/>
  <c r="AI64" i="6"/>
  <c r="AN4" i="6"/>
  <c r="J46" i="3"/>
  <c r="P28" i="3"/>
  <c r="J14" i="3"/>
  <c r="G7" i="3"/>
  <c r="P13" i="3"/>
  <c r="G16" i="3"/>
  <c r="P53" i="3"/>
  <c r="M26" i="3"/>
  <c r="M34" i="3"/>
  <c r="G18" i="3"/>
  <c r="M39" i="3"/>
  <c r="P6" i="3"/>
  <c r="Q48" i="7"/>
  <c r="D48" i="7"/>
  <c r="D36" i="7"/>
  <c r="Q36" i="7"/>
  <c r="Q51" i="7"/>
  <c r="D51" i="7"/>
  <c r="Q30" i="7"/>
  <c r="D30" i="7"/>
  <c r="D31" i="5"/>
  <c r="Q31" i="5"/>
  <c r="Q46" i="5"/>
  <c r="D46" i="5"/>
  <c r="Q54" i="5"/>
  <c r="D54" i="5"/>
  <c r="Q13" i="5"/>
  <c r="D13" i="5"/>
  <c r="AN64" i="2"/>
  <c r="BH83" i="2"/>
  <c r="AS4" i="2"/>
  <c r="P95" i="3"/>
  <c r="Q95" i="3" s="1"/>
  <c r="U99" i="5"/>
  <c r="V99" i="5" s="1"/>
  <c r="U87" i="5"/>
  <c r="V87" i="5" s="1"/>
  <c r="U75" i="5"/>
  <c r="V75" i="5" s="1"/>
  <c r="U63" i="5"/>
  <c r="V63" i="5" s="1"/>
  <c r="U97" i="5"/>
  <c r="V97" i="5" s="1"/>
  <c r="U84" i="5"/>
  <c r="V84" i="5" s="1"/>
  <c r="U71" i="5"/>
  <c r="V71" i="5" s="1"/>
  <c r="U108" i="5"/>
  <c r="V108" i="5" s="1"/>
  <c r="U95" i="5"/>
  <c r="V95" i="5" s="1"/>
  <c r="U82" i="5"/>
  <c r="V82" i="5" s="1"/>
  <c r="U69" i="5"/>
  <c r="V69" i="5" s="1"/>
  <c r="U98" i="5"/>
  <c r="V98" i="5" s="1"/>
  <c r="U81" i="5"/>
  <c r="V81" i="5" s="1"/>
  <c r="U66" i="5"/>
  <c r="V66" i="5" s="1"/>
  <c r="U109" i="5"/>
  <c r="V109" i="5" s="1"/>
  <c r="U93" i="5"/>
  <c r="V93" i="5" s="1"/>
  <c r="U78" i="5"/>
  <c r="V78" i="5" s="1"/>
  <c r="U62" i="5"/>
  <c r="V62" i="5" s="1"/>
  <c r="U100" i="5"/>
  <c r="V100" i="5" s="1"/>
  <c r="U79" i="5"/>
  <c r="V79" i="5" s="1"/>
  <c r="U101" i="5"/>
  <c r="V101" i="5" s="1"/>
  <c r="U77" i="5"/>
  <c r="V77" i="5" s="1"/>
  <c r="U96" i="5"/>
  <c r="V96" i="5" s="1"/>
  <c r="U76" i="5"/>
  <c r="V76" i="5" s="1"/>
  <c r="U94" i="5"/>
  <c r="V94" i="5" s="1"/>
  <c r="U74" i="5"/>
  <c r="V74" i="5" s="1"/>
  <c r="U90" i="5"/>
  <c r="V90" i="5" s="1"/>
  <c r="U70" i="5"/>
  <c r="V70" i="5" s="1"/>
  <c r="U104" i="5"/>
  <c r="V104" i="5" s="1"/>
  <c r="U72" i="5"/>
  <c r="V72" i="5" s="1"/>
  <c r="U103" i="5"/>
  <c r="V103" i="5" s="1"/>
  <c r="U68" i="5"/>
  <c r="V68" i="5" s="1"/>
  <c r="U102" i="5"/>
  <c r="V102" i="5" s="1"/>
  <c r="U67" i="5"/>
  <c r="V67" i="5" s="1"/>
  <c r="U92" i="5"/>
  <c r="V92" i="5" s="1"/>
  <c r="U65" i="5"/>
  <c r="V65" i="5" s="1"/>
  <c r="U91" i="5"/>
  <c r="V91" i="5" s="1"/>
  <c r="U89" i="5"/>
  <c r="V89" i="5" s="1"/>
  <c r="U88" i="5"/>
  <c r="V88" i="5" s="1"/>
  <c r="U86" i="5"/>
  <c r="V86" i="5" s="1"/>
  <c r="U60" i="5"/>
  <c r="V60" i="5" s="1"/>
  <c r="U107" i="5"/>
  <c r="V107" i="5" s="1"/>
  <c r="U85" i="5"/>
  <c r="V85" i="5" s="1"/>
  <c r="U83" i="5"/>
  <c r="V83" i="5" s="1"/>
  <c r="U80" i="5"/>
  <c r="V80" i="5" s="1"/>
  <c r="U73" i="5"/>
  <c r="V73" i="5" s="1"/>
  <c r="U61" i="5"/>
  <c r="V61" i="5" s="1"/>
  <c r="U106" i="5"/>
  <c r="V106" i="5" s="1"/>
  <c r="U64" i="5"/>
  <c r="V64" i="5" s="1"/>
  <c r="U105" i="5"/>
  <c r="V105" i="5" s="1"/>
  <c r="G37" i="3"/>
  <c r="G88" i="3"/>
  <c r="M71" i="3"/>
  <c r="N71" i="3" s="1"/>
  <c r="K71" i="3"/>
  <c r="M10" i="3"/>
  <c r="G20" i="3"/>
  <c r="G30" i="3"/>
  <c r="J12" i="3"/>
  <c r="M51" i="3"/>
  <c r="J36" i="3"/>
  <c r="M45" i="3"/>
  <c r="P42" i="3"/>
  <c r="M16" i="3"/>
  <c r="U114" i="5"/>
  <c r="C114" i="5" s="1"/>
  <c r="D114" i="5" s="1"/>
  <c r="V114" i="5"/>
  <c r="J48" i="3"/>
  <c r="Q44" i="7"/>
  <c r="D44" i="7"/>
  <c r="D7" i="7"/>
  <c r="Q7" i="7"/>
  <c r="D13" i="7"/>
  <c r="Q13" i="7"/>
  <c r="D5" i="7"/>
  <c r="Q5" i="7"/>
  <c r="U5" i="7" s="1" a="1"/>
  <c r="Q42" i="7"/>
  <c r="D42" i="7"/>
  <c r="D7" i="5"/>
  <c r="Q7" i="5"/>
  <c r="D24" i="5"/>
  <c r="Q24" i="5"/>
  <c r="D21" i="5"/>
  <c r="Q21" i="5"/>
  <c r="D26" i="5"/>
  <c r="Q26" i="5"/>
  <c r="G25" i="3"/>
  <c r="U47" i="5" l="1"/>
  <c r="V47" i="5" s="1"/>
  <c r="U35" i="5"/>
  <c r="V35" i="5" s="1"/>
  <c r="U23" i="5"/>
  <c r="V23" i="5" s="1"/>
  <c r="U11" i="5"/>
  <c r="V11" i="5" s="1"/>
  <c r="U53" i="5"/>
  <c r="V53" i="5" s="1"/>
  <c r="U40" i="5"/>
  <c r="V40" i="5" s="1"/>
  <c r="U27" i="5"/>
  <c r="V27" i="5" s="1"/>
  <c r="U14" i="5"/>
  <c r="V14" i="5" s="1"/>
  <c r="U49" i="5"/>
  <c r="V49" i="5" s="1"/>
  <c r="U34" i="5"/>
  <c r="V34" i="5" s="1"/>
  <c r="U20" i="5"/>
  <c r="V20" i="5" s="1"/>
  <c r="U6" i="5"/>
  <c r="V6" i="5" s="1"/>
  <c r="U48" i="5"/>
  <c r="V48" i="5" s="1"/>
  <c r="U32" i="5"/>
  <c r="V32" i="5" s="1"/>
  <c r="U17" i="5"/>
  <c r="V17" i="5" s="1"/>
  <c r="U42" i="5"/>
  <c r="V42" i="5" s="1"/>
  <c r="U25" i="5"/>
  <c r="V25" i="5" s="1"/>
  <c r="U8" i="5"/>
  <c r="V8" i="5" s="1"/>
  <c r="U41" i="5"/>
  <c r="V41" i="5" s="1"/>
  <c r="U24" i="5"/>
  <c r="V24" i="5" s="1"/>
  <c r="U7" i="5"/>
  <c r="V7" i="5" s="1"/>
  <c r="U39" i="5"/>
  <c r="V39" i="5" s="1"/>
  <c r="U22" i="5"/>
  <c r="V22" i="5" s="1"/>
  <c r="U52" i="5"/>
  <c r="V52" i="5" s="1"/>
  <c r="U36" i="5"/>
  <c r="V36" i="5" s="1"/>
  <c r="U18" i="5"/>
  <c r="V18" i="5" s="1"/>
  <c r="U38" i="5"/>
  <c r="V38" i="5" s="1"/>
  <c r="U13" i="5"/>
  <c r="V13" i="5" s="1"/>
  <c r="U37" i="5"/>
  <c r="V37" i="5" s="1"/>
  <c r="U12" i="5"/>
  <c r="V12" i="5" s="1"/>
  <c r="U33" i="5"/>
  <c r="V33" i="5" s="1"/>
  <c r="U10" i="5"/>
  <c r="V10" i="5" s="1"/>
  <c r="U31" i="5"/>
  <c r="V31" i="5" s="1"/>
  <c r="U9" i="5"/>
  <c r="V9" i="5" s="1"/>
  <c r="U43" i="5"/>
  <c r="V43" i="5" s="1"/>
  <c r="U30" i="5"/>
  <c r="V30" i="5" s="1"/>
  <c r="U29" i="5"/>
  <c r="V29" i="5" s="1"/>
  <c r="U28" i="5"/>
  <c r="V28" i="5" s="1"/>
  <c r="U46" i="5"/>
  <c r="V46" i="5" s="1"/>
  <c r="U45" i="5"/>
  <c r="V45" i="5" s="1"/>
  <c r="U44" i="5"/>
  <c r="V44" i="5" s="1"/>
  <c r="U26" i="5"/>
  <c r="V26" i="5" s="1"/>
  <c r="U16" i="5"/>
  <c r="V16" i="5" s="1"/>
  <c r="U15" i="5"/>
  <c r="V15" i="5" s="1"/>
  <c r="U5" i="5"/>
  <c r="V5" i="5" s="1"/>
  <c r="U51" i="5"/>
  <c r="V51" i="5" s="1"/>
  <c r="U50" i="5"/>
  <c r="V50" i="5" s="1"/>
  <c r="U54" i="5"/>
  <c r="V54" i="5" s="1"/>
  <c r="U21" i="5"/>
  <c r="V21" i="5" s="1"/>
  <c r="U19" i="5"/>
  <c r="V19" i="5" s="1"/>
  <c r="U49" i="7"/>
  <c r="V49" i="7" s="1"/>
  <c r="U37" i="7"/>
  <c r="V37" i="7" s="1"/>
  <c r="U25" i="7"/>
  <c r="V25" i="7" s="1"/>
  <c r="U13" i="7"/>
  <c r="V13" i="7" s="1"/>
  <c r="U48" i="7"/>
  <c r="V48" i="7" s="1"/>
  <c r="U36" i="7"/>
  <c r="V36" i="7" s="1"/>
  <c r="U24" i="7"/>
  <c r="V24" i="7" s="1"/>
  <c r="U12" i="7"/>
  <c r="V12" i="7" s="1"/>
  <c r="U47" i="7"/>
  <c r="V47" i="7" s="1"/>
  <c r="U35" i="7"/>
  <c r="V35" i="7" s="1"/>
  <c r="U23" i="7"/>
  <c r="V23" i="7" s="1"/>
  <c r="U11" i="7"/>
  <c r="V11" i="7" s="1"/>
  <c r="U46" i="7"/>
  <c r="V46" i="7" s="1"/>
  <c r="U34" i="7"/>
  <c r="V34" i="7" s="1"/>
  <c r="U22" i="7"/>
  <c r="V22" i="7" s="1"/>
  <c r="U10" i="7"/>
  <c r="V10" i="7" s="1"/>
  <c r="U45" i="7"/>
  <c r="V45" i="7" s="1"/>
  <c r="U33" i="7"/>
  <c r="V33" i="7" s="1"/>
  <c r="U21" i="7"/>
  <c r="V21" i="7" s="1"/>
  <c r="U9" i="7"/>
  <c r="V9" i="7" s="1"/>
  <c r="U44" i="7"/>
  <c r="V44" i="7" s="1"/>
  <c r="U32" i="7"/>
  <c r="V32" i="7" s="1"/>
  <c r="U20" i="7"/>
  <c r="V20" i="7" s="1"/>
  <c r="U8" i="7"/>
  <c r="V8" i="7" s="1"/>
  <c r="U43" i="7"/>
  <c r="V43" i="7" s="1"/>
  <c r="U19" i="7"/>
  <c r="V19" i="7" s="1"/>
  <c r="U42" i="7"/>
  <c r="V42" i="7" s="1"/>
  <c r="U18" i="7"/>
  <c r="V18" i="7" s="1"/>
  <c r="U41" i="7"/>
  <c r="V41" i="7" s="1"/>
  <c r="U17" i="7"/>
  <c r="V17" i="7" s="1"/>
  <c r="U40" i="7"/>
  <c r="V40" i="7" s="1"/>
  <c r="U16" i="7"/>
  <c r="V16" i="7" s="1"/>
  <c r="U39" i="7"/>
  <c r="V39" i="7" s="1"/>
  <c r="U15" i="7"/>
  <c r="V15" i="7" s="1"/>
  <c r="U38" i="7"/>
  <c r="V38" i="7" s="1"/>
  <c r="U14" i="7"/>
  <c r="V14" i="7" s="1"/>
  <c r="U31" i="7"/>
  <c r="V31" i="7" s="1"/>
  <c r="U7" i="7"/>
  <c r="V7" i="7" s="1"/>
  <c r="U54" i="7"/>
  <c r="V54" i="7" s="1"/>
  <c r="U30" i="7"/>
  <c r="V30" i="7" s="1"/>
  <c r="U6" i="7"/>
  <c r="V6" i="7" s="1"/>
  <c r="U53" i="7"/>
  <c r="V53" i="7" s="1"/>
  <c r="U29" i="7"/>
  <c r="V29" i="7" s="1"/>
  <c r="U52" i="7"/>
  <c r="V52" i="7" s="1"/>
  <c r="U28" i="7"/>
  <c r="V28" i="7" s="1"/>
  <c r="U5" i="7"/>
  <c r="V5" i="7" s="1"/>
  <c r="U51" i="7"/>
  <c r="V51" i="7" s="1"/>
  <c r="U50" i="7"/>
  <c r="V50" i="7" s="1"/>
  <c r="U27" i="7"/>
  <c r="V27" i="7" s="1"/>
  <c r="U26" i="7"/>
  <c r="V26" i="7" s="1"/>
  <c r="H26" i="5"/>
  <c r="K26" i="5"/>
  <c r="I26" i="5"/>
  <c r="F26" i="5"/>
  <c r="O26" i="5"/>
  <c r="L26" i="5"/>
  <c r="M26" i="5" s="1"/>
  <c r="E26" i="5"/>
  <c r="N26" i="5"/>
  <c r="L11" i="5"/>
  <c r="H11" i="5"/>
  <c r="K11" i="5"/>
  <c r="I11" i="5"/>
  <c r="J11" i="5" s="1"/>
  <c r="E11" i="5"/>
  <c r="O11" i="5"/>
  <c r="N11" i="5"/>
  <c r="F11" i="5"/>
  <c r="G11" i="5" s="1"/>
  <c r="O25" i="7"/>
  <c r="N25" i="7"/>
  <c r="K25" i="7"/>
  <c r="E25" i="7"/>
  <c r="L25" i="7"/>
  <c r="I25" i="7"/>
  <c r="H25" i="7"/>
  <c r="F25" i="7"/>
  <c r="E18" i="7"/>
  <c r="O18" i="7"/>
  <c r="N18" i="7"/>
  <c r="L18" i="7"/>
  <c r="K18" i="7"/>
  <c r="I18" i="7"/>
  <c r="H18" i="7"/>
  <c r="F18" i="7"/>
  <c r="G18" i="7" s="1"/>
  <c r="I53" i="5"/>
  <c r="O53" i="5"/>
  <c r="L53" i="5"/>
  <c r="H53" i="5"/>
  <c r="K53" i="5"/>
  <c r="N53" i="5"/>
  <c r="F53" i="5"/>
  <c r="E53" i="5"/>
  <c r="AS64" i="4"/>
  <c r="AX4" i="4"/>
  <c r="K32" i="7"/>
  <c r="I32" i="7"/>
  <c r="J32" i="7" s="1"/>
  <c r="O32" i="7"/>
  <c r="N32" i="7"/>
  <c r="L32" i="7"/>
  <c r="H32" i="7"/>
  <c r="F32" i="7"/>
  <c r="E32" i="7"/>
  <c r="L8" i="7"/>
  <c r="K8" i="7"/>
  <c r="I8" i="7"/>
  <c r="H8" i="7"/>
  <c r="E8" i="7"/>
  <c r="O8" i="7"/>
  <c r="P8" i="7" s="1"/>
  <c r="N8" i="7"/>
  <c r="F8" i="7"/>
  <c r="N37" i="5"/>
  <c r="O37" i="5"/>
  <c r="K37" i="5"/>
  <c r="L37" i="5"/>
  <c r="M37" i="5" s="1"/>
  <c r="I37" i="5"/>
  <c r="H37" i="5"/>
  <c r="F37" i="5"/>
  <c r="E37" i="5"/>
  <c r="O13" i="7"/>
  <c r="N13" i="7"/>
  <c r="L13" i="7"/>
  <c r="K13" i="7"/>
  <c r="E13" i="7"/>
  <c r="I13" i="7"/>
  <c r="H13" i="7"/>
  <c r="F13" i="7"/>
  <c r="G13" i="7" s="1"/>
  <c r="AS64" i="2"/>
  <c r="AX4" i="2"/>
  <c r="K39" i="7"/>
  <c r="I39" i="7"/>
  <c r="J39" i="7" s="1"/>
  <c r="O39" i="7"/>
  <c r="N39" i="7"/>
  <c r="L39" i="7"/>
  <c r="H39" i="7"/>
  <c r="F39" i="7"/>
  <c r="E39" i="7"/>
  <c r="L35" i="7"/>
  <c r="K35" i="7"/>
  <c r="H35" i="7"/>
  <c r="F35" i="7"/>
  <c r="E35" i="7"/>
  <c r="O35" i="7"/>
  <c r="N35" i="7"/>
  <c r="I35" i="7"/>
  <c r="J35" i="7" s="1"/>
  <c r="N10" i="5"/>
  <c r="O10" i="5"/>
  <c r="I10" i="5"/>
  <c r="H10" i="5"/>
  <c r="F10" i="5"/>
  <c r="E10" i="5"/>
  <c r="L10" i="5"/>
  <c r="K10" i="5"/>
  <c r="F45" i="5"/>
  <c r="N45" i="5"/>
  <c r="H45" i="5"/>
  <c r="E45" i="5"/>
  <c r="O45" i="5"/>
  <c r="L45" i="5"/>
  <c r="M45" i="5" s="1"/>
  <c r="K45" i="5"/>
  <c r="I45" i="5"/>
  <c r="E44" i="5"/>
  <c r="F44" i="5"/>
  <c r="G44" i="5" s="1"/>
  <c r="N44" i="5"/>
  <c r="L44" i="5"/>
  <c r="K44" i="5"/>
  <c r="I44" i="5"/>
  <c r="H44" i="5"/>
  <c r="O44" i="5"/>
  <c r="P44" i="5" s="1"/>
  <c r="BI90" i="4" a="1"/>
  <c r="BI90" i="4" s="1"/>
  <c r="BI87" i="4" a="1"/>
  <c r="BI87" i="4" s="1"/>
  <c r="BI89" i="4" a="1"/>
  <c r="BI89" i="4" s="1"/>
  <c r="BI86" i="4" a="1"/>
  <c r="BI86" i="4" s="1"/>
  <c r="BI88" i="4" a="1"/>
  <c r="BI88" i="4" s="1"/>
  <c r="BI85" i="4" a="1"/>
  <c r="BI85" i="4" s="1"/>
  <c r="K20" i="7"/>
  <c r="I20" i="7"/>
  <c r="N20" i="7"/>
  <c r="L20" i="7"/>
  <c r="M20" i="7" s="1"/>
  <c r="H20" i="7"/>
  <c r="F20" i="7"/>
  <c r="G20" i="7" s="1"/>
  <c r="E20" i="7"/>
  <c r="O20" i="7"/>
  <c r="N47" i="5"/>
  <c r="L47" i="5"/>
  <c r="I47" i="5"/>
  <c r="K47" i="5"/>
  <c r="H47" i="5"/>
  <c r="E47" i="5"/>
  <c r="O47" i="5"/>
  <c r="P47" i="5" s="1"/>
  <c r="F47" i="5"/>
  <c r="G47" i="5" s="1"/>
  <c r="O19" i="7"/>
  <c r="N19" i="7"/>
  <c r="L19" i="7"/>
  <c r="K19" i="7"/>
  <c r="I19" i="7"/>
  <c r="H19" i="7"/>
  <c r="F19" i="7"/>
  <c r="E19" i="7"/>
  <c r="K117" i="7"/>
  <c r="D117" i="7"/>
  <c r="F12" i="5"/>
  <c r="I12" i="5"/>
  <c r="N12" i="5"/>
  <c r="H12" i="5"/>
  <c r="L12" i="5"/>
  <c r="K12" i="5"/>
  <c r="O12" i="5"/>
  <c r="E12" i="5"/>
  <c r="K121" i="7"/>
  <c r="D121" i="7"/>
  <c r="O53" i="7"/>
  <c r="L53" i="7"/>
  <c r="F53" i="7"/>
  <c r="E53" i="7"/>
  <c r="N53" i="7"/>
  <c r="K53" i="7"/>
  <c r="I53" i="7"/>
  <c r="H53" i="7"/>
  <c r="K125" i="7"/>
  <c r="D125" i="7"/>
  <c r="E17" i="5"/>
  <c r="F17" i="5"/>
  <c r="G17" i="5" s="1"/>
  <c r="O17" i="5"/>
  <c r="N17" i="5"/>
  <c r="K17" i="5"/>
  <c r="L17" i="5"/>
  <c r="M17" i="5" s="1"/>
  <c r="I17" i="5"/>
  <c r="H17" i="5"/>
  <c r="F27" i="5"/>
  <c r="L27" i="5"/>
  <c r="M27" i="5" s="1"/>
  <c r="K27" i="5"/>
  <c r="E27" i="5"/>
  <c r="H27" i="5"/>
  <c r="O27" i="5"/>
  <c r="I27" i="5"/>
  <c r="N27" i="5"/>
  <c r="K122" i="7"/>
  <c r="D122" i="7"/>
  <c r="F51" i="5"/>
  <c r="G51" i="5" s="1"/>
  <c r="O51" i="5"/>
  <c r="P51" i="5" s="1"/>
  <c r="K51" i="5"/>
  <c r="I51" i="5"/>
  <c r="J51" i="5" s="1"/>
  <c r="H51" i="5"/>
  <c r="N51" i="5"/>
  <c r="E51" i="5"/>
  <c r="L51" i="5"/>
  <c r="M51" i="5" s="1"/>
  <c r="O5" i="5"/>
  <c r="F5" i="5"/>
  <c r="E5" i="5"/>
  <c r="N5" i="5"/>
  <c r="K5" i="5"/>
  <c r="I5" i="5"/>
  <c r="J5" i="5" s="1"/>
  <c r="H5" i="5"/>
  <c r="L5" i="5"/>
  <c r="F24" i="5"/>
  <c r="H24" i="5"/>
  <c r="E24" i="5"/>
  <c r="L24" i="5"/>
  <c r="K24" i="5"/>
  <c r="I24" i="5"/>
  <c r="J24" i="5" s="1"/>
  <c r="O24" i="5"/>
  <c r="N24" i="5"/>
  <c r="BI89" i="2" a="1"/>
  <c r="BI89" i="2" s="1"/>
  <c r="BI88" i="2" a="1"/>
  <c r="BI88" i="2" s="1"/>
  <c r="BI90" i="2" a="1"/>
  <c r="BI90" i="2" s="1"/>
  <c r="BI86" i="2" a="1"/>
  <c r="BI86" i="2" s="1"/>
  <c r="BI85" i="2" a="1"/>
  <c r="BI85" i="2" s="1"/>
  <c r="BI87" i="2" a="1"/>
  <c r="BI87" i="2" s="1"/>
  <c r="L51" i="7"/>
  <c r="K51" i="7"/>
  <c r="I51" i="7"/>
  <c r="N51" i="7"/>
  <c r="H51" i="7"/>
  <c r="F51" i="7"/>
  <c r="E51" i="7"/>
  <c r="O51" i="7"/>
  <c r="P51" i="7" s="1"/>
  <c r="V60" i="3"/>
  <c r="U59" i="3"/>
  <c r="C59" i="3" s="1"/>
  <c r="D59" i="3" s="1"/>
  <c r="U60" i="3"/>
  <c r="C60" i="3" s="1"/>
  <c r="V59" i="3"/>
  <c r="N19" i="5"/>
  <c r="O19" i="5"/>
  <c r="P19" i="5" s="1"/>
  <c r="F19" i="5"/>
  <c r="K19" i="5"/>
  <c r="E19" i="5"/>
  <c r="I19" i="5"/>
  <c r="H19" i="5"/>
  <c r="L19" i="5"/>
  <c r="M19" i="5" s="1"/>
  <c r="K29" i="7"/>
  <c r="I29" i="7"/>
  <c r="L29" i="7"/>
  <c r="H29" i="7"/>
  <c r="F29" i="7"/>
  <c r="E29" i="7"/>
  <c r="O29" i="7"/>
  <c r="N29" i="7"/>
  <c r="K124" i="5"/>
  <c r="D124" i="5"/>
  <c r="E43" i="7"/>
  <c r="I43" i="7"/>
  <c r="J43" i="7" s="1"/>
  <c r="H43" i="7"/>
  <c r="F43" i="7"/>
  <c r="O43" i="7"/>
  <c r="N43" i="7"/>
  <c r="L43" i="7"/>
  <c r="K43" i="7"/>
  <c r="F6" i="5"/>
  <c r="K6" i="5"/>
  <c r="E6" i="5"/>
  <c r="I6" i="5"/>
  <c r="H6" i="5"/>
  <c r="O6" i="5"/>
  <c r="P6" i="5" s="1"/>
  <c r="N6" i="5"/>
  <c r="L6" i="5"/>
  <c r="O7" i="7"/>
  <c r="N7" i="7"/>
  <c r="L7" i="7"/>
  <c r="K7" i="7"/>
  <c r="I7" i="7"/>
  <c r="H7" i="7"/>
  <c r="F7" i="7"/>
  <c r="E7" i="7"/>
  <c r="H12" i="7"/>
  <c r="F12" i="7"/>
  <c r="G12" i="7" s="1"/>
  <c r="E12" i="7"/>
  <c r="O12" i="7"/>
  <c r="P12" i="7" s="1"/>
  <c r="N12" i="7"/>
  <c r="L12" i="7"/>
  <c r="K12" i="7"/>
  <c r="I12" i="7"/>
  <c r="O47" i="7"/>
  <c r="L47" i="7"/>
  <c r="M47" i="7" s="1"/>
  <c r="F47" i="7"/>
  <c r="E47" i="7"/>
  <c r="N47" i="7"/>
  <c r="H47" i="7"/>
  <c r="K47" i="7"/>
  <c r="I47" i="7"/>
  <c r="K14" i="5"/>
  <c r="N14" i="5"/>
  <c r="L14" i="5"/>
  <c r="M14" i="5" s="1"/>
  <c r="F14" i="5"/>
  <c r="H14" i="5"/>
  <c r="E14" i="5"/>
  <c r="I14" i="5"/>
  <c r="J14" i="5" s="1"/>
  <c r="O14" i="5"/>
  <c r="P14" i="5" s="1"/>
  <c r="L11" i="7"/>
  <c r="K11" i="7"/>
  <c r="I11" i="7"/>
  <c r="H11" i="7"/>
  <c r="E11" i="7"/>
  <c r="O11" i="7"/>
  <c r="N11" i="7"/>
  <c r="F11" i="7"/>
  <c r="G11" i="7" s="1"/>
  <c r="Z59" i="3"/>
  <c r="Y59" i="3"/>
  <c r="C62" i="3" s="1"/>
  <c r="O41" i="7"/>
  <c r="K41" i="7"/>
  <c r="I41" i="7"/>
  <c r="J41" i="7" s="1"/>
  <c r="N41" i="7"/>
  <c r="L41" i="7"/>
  <c r="H41" i="7"/>
  <c r="F41" i="7"/>
  <c r="E41" i="7"/>
  <c r="N40" i="5"/>
  <c r="F40" i="5"/>
  <c r="L40" i="5"/>
  <c r="I40" i="5"/>
  <c r="H40" i="5"/>
  <c r="O40" i="5"/>
  <c r="P40" i="5" s="1"/>
  <c r="K40" i="5"/>
  <c r="E40" i="5"/>
  <c r="O38" i="7"/>
  <c r="L38" i="7"/>
  <c r="M38" i="7" s="1"/>
  <c r="N38" i="7"/>
  <c r="K38" i="7"/>
  <c r="I38" i="7"/>
  <c r="H38" i="7"/>
  <c r="F38" i="7"/>
  <c r="E38" i="7"/>
  <c r="K17" i="7"/>
  <c r="O17" i="7"/>
  <c r="N17" i="7"/>
  <c r="L17" i="7"/>
  <c r="M17" i="7" s="1"/>
  <c r="I17" i="7"/>
  <c r="H17" i="7"/>
  <c r="F17" i="7"/>
  <c r="E17" i="7"/>
  <c r="K123" i="5"/>
  <c r="D123" i="5"/>
  <c r="H52" i="7"/>
  <c r="E52" i="7"/>
  <c r="O52" i="7"/>
  <c r="N52" i="7"/>
  <c r="L52" i="7"/>
  <c r="K52" i="7"/>
  <c r="I52" i="7"/>
  <c r="F52" i="7"/>
  <c r="N22" i="5"/>
  <c r="F22" i="5"/>
  <c r="K22" i="5"/>
  <c r="E22" i="5"/>
  <c r="O22" i="5"/>
  <c r="I22" i="5"/>
  <c r="H22" i="5"/>
  <c r="L22" i="5"/>
  <c r="M22" i="5" s="1"/>
  <c r="N25" i="5"/>
  <c r="F25" i="5"/>
  <c r="G25" i="5" s="1"/>
  <c r="H25" i="5"/>
  <c r="E25" i="5"/>
  <c r="L25" i="5"/>
  <c r="K25" i="5"/>
  <c r="I25" i="5"/>
  <c r="J25" i="5" s="1"/>
  <c r="O25" i="5"/>
  <c r="D119" i="7"/>
  <c r="K119" i="7"/>
  <c r="F27" i="7"/>
  <c r="E27" i="7"/>
  <c r="O27" i="7"/>
  <c r="P27" i="7" s="1"/>
  <c r="I27" i="7"/>
  <c r="J27" i="7" s="1"/>
  <c r="H27" i="7"/>
  <c r="N27" i="7"/>
  <c r="L27" i="7"/>
  <c r="K27" i="7"/>
  <c r="H49" i="7"/>
  <c r="E49" i="7"/>
  <c r="O49" i="7"/>
  <c r="N49" i="7"/>
  <c r="L49" i="7"/>
  <c r="K49" i="7"/>
  <c r="I49" i="7"/>
  <c r="J49" i="7" s="1"/>
  <c r="F49" i="7"/>
  <c r="G49" i="7" s="1"/>
  <c r="N31" i="5"/>
  <c r="F31" i="5"/>
  <c r="H31" i="5"/>
  <c r="I31" i="5"/>
  <c r="E31" i="5"/>
  <c r="K31" i="5"/>
  <c r="O31" i="5"/>
  <c r="L31" i="5"/>
  <c r="D117" i="5"/>
  <c r="K117" i="5"/>
  <c r="F9" i="5"/>
  <c r="E9" i="5"/>
  <c r="I9" i="5"/>
  <c r="H9" i="5"/>
  <c r="L9" i="5"/>
  <c r="K9" i="5"/>
  <c r="N9" i="5"/>
  <c r="O9" i="5"/>
  <c r="P9" i="5" s="1"/>
  <c r="L29" i="5"/>
  <c r="N29" i="5"/>
  <c r="F29" i="5"/>
  <c r="O29" i="5"/>
  <c r="P29" i="5" s="1"/>
  <c r="I29" i="5"/>
  <c r="J29" i="5" s="1"/>
  <c r="K29" i="5"/>
  <c r="H29" i="5"/>
  <c r="E29" i="5"/>
  <c r="F36" i="5"/>
  <c r="E36" i="5"/>
  <c r="O36" i="5"/>
  <c r="N36" i="5"/>
  <c r="K36" i="5"/>
  <c r="I36" i="5"/>
  <c r="H36" i="5"/>
  <c r="L36" i="5"/>
  <c r="M36" i="5" s="1"/>
  <c r="L54" i="7"/>
  <c r="K54" i="7"/>
  <c r="I54" i="7"/>
  <c r="N54" i="7"/>
  <c r="H54" i="7"/>
  <c r="F54" i="7"/>
  <c r="E54" i="7"/>
  <c r="O54" i="7"/>
  <c r="P54" i="7" s="1"/>
  <c r="AG59" i="3"/>
  <c r="C68" i="3" s="1"/>
  <c r="AH59" i="3"/>
  <c r="N43" i="5"/>
  <c r="E43" i="5"/>
  <c r="O43" i="5"/>
  <c r="P43" i="5" s="1"/>
  <c r="K43" i="5"/>
  <c r="F43" i="5"/>
  <c r="L43" i="5"/>
  <c r="H43" i="5"/>
  <c r="I43" i="5"/>
  <c r="J43" i="5" s="1"/>
  <c r="F30" i="5"/>
  <c r="I30" i="5"/>
  <c r="O30" i="5"/>
  <c r="L30" i="5"/>
  <c r="N30" i="5"/>
  <c r="K30" i="5"/>
  <c r="H30" i="5"/>
  <c r="E30" i="5"/>
  <c r="K23" i="7"/>
  <c r="I23" i="7"/>
  <c r="O23" i="7"/>
  <c r="N23" i="7"/>
  <c r="L23" i="7"/>
  <c r="M23" i="7" s="1"/>
  <c r="H23" i="7"/>
  <c r="F23" i="7"/>
  <c r="E23" i="7"/>
  <c r="N49" i="5"/>
  <c r="H49" i="5"/>
  <c r="F49" i="5"/>
  <c r="G49" i="5" s="1"/>
  <c r="L49" i="5"/>
  <c r="M49" i="5" s="1"/>
  <c r="K49" i="5"/>
  <c r="O49" i="5"/>
  <c r="I49" i="5"/>
  <c r="E49" i="5"/>
  <c r="I36" i="7"/>
  <c r="H36" i="7"/>
  <c r="E36" i="7"/>
  <c r="L36" i="7"/>
  <c r="K36" i="7"/>
  <c r="F36" i="7"/>
  <c r="G36" i="7" s="1"/>
  <c r="O36" i="7"/>
  <c r="N36" i="7"/>
  <c r="F35" i="5"/>
  <c r="O35" i="5"/>
  <c r="P35" i="5" s="1"/>
  <c r="N35" i="5"/>
  <c r="L35" i="5"/>
  <c r="H35" i="5"/>
  <c r="K35" i="5"/>
  <c r="I35" i="5"/>
  <c r="E35" i="5"/>
  <c r="F54" i="5"/>
  <c r="G54" i="5" s="1"/>
  <c r="N54" i="5"/>
  <c r="K54" i="5"/>
  <c r="L54" i="5"/>
  <c r="M54" i="5" s="1"/>
  <c r="O54" i="5"/>
  <c r="H54" i="5"/>
  <c r="E54" i="5"/>
  <c r="I54" i="5"/>
  <c r="O10" i="7"/>
  <c r="N10" i="7"/>
  <c r="L10" i="7"/>
  <c r="K10" i="7"/>
  <c r="I10" i="7"/>
  <c r="H10" i="7"/>
  <c r="F10" i="7"/>
  <c r="E10" i="7"/>
  <c r="K26" i="7"/>
  <c r="I26" i="7"/>
  <c r="E26" i="7"/>
  <c r="O26" i="7"/>
  <c r="L26" i="7"/>
  <c r="M26" i="7" s="1"/>
  <c r="H26" i="7"/>
  <c r="F26" i="7"/>
  <c r="N26" i="7"/>
  <c r="K14" i="7"/>
  <c r="L14" i="7"/>
  <c r="M14" i="7" s="1"/>
  <c r="I14" i="7"/>
  <c r="H14" i="7"/>
  <c r="F14" i="7"/>
  <c r="O14" i="7"/>
  <c r="P14" i="7" s="1"/>
  <c r="N14" i="7"/>
  <c r="E14" i="7"/>
  <c r="F42" i="5"/>
  <c r="I42" i="5"/>
  <c r="E42" i="5"/>
  <c r="O42" i="5"/>
  <c r="N42" i="5"/>
  <c r="L42" i="5"/>
  <c r="H42" i="5"/>
  <c r="K42" i="5"/>
  <c r="K41" i="5"/>
  <c r="L41" i="5"/>
  <c r="I41" i="5"/>
  <c r="E41" i="5"/>
  <c r="F41" i="5"/>
  <c r="G41" i="5" s="1"/>
  <c r="O41" i="5"/>
  <c r="N41" i="5"/>
  <c r="H41" i="5"/>
  <c r="O31" i="7"/>
  <c r="N31" i="7"/>
  <c r="K31" i="7"/>
  <c r="L31" i="7"/>
  <c r="M31" i="7" s="1"/>
  <c r="I31" i="7"/>
  <c r="H31" i="7"/>
  <c r="F31" i="7"/>
  <c r="E31" i="7"/>
  <c r="F48" i="5"/>
  <c r="K48" i="5"/>
  <c r="I48" i="5"/>
  <c r="N48" i="5"/>
  <c r="O48" i="5"/>
  <c r="L48" i="5"/>
  <c r="M48" i="5" s="1"/>
  <c r="H48" i="5"/>
  <c r="E48" i="5"/>
  <c r="D124" i="7"/>
  <c r="K124" i="7"/>
  <c r="K42" i="7"/>
  <c r="I42" i="7"/>
  <c r="H42" i="7"/>
  <c r="E42" i="7"/>
  <c r="O42" i="7"/>
  <c r="N42" i="7"/>
  <c r="L42" i="7"/>
  <c r="M42" i="7" s="1"/>
  <c r="F42" i="7"/>
  <c r="G42" i="7" s="1"/>
  <c r="O50" i="7"/>
  <c r="P50" i="7" s="1"/>
  <c r="L50" i="7"/>
  <c r="M50" i="7" s="1"/>
  <c r="F50" i="7"/>
  <c r="E50" i="7"/>
  <c r="N50" i="7"/>
  <c r="I50" i="7"/>
  <c r="H50" i="7"/>
  <c r="K50" i="7"/>
  <c r="K121" i="5"/>
  <c r="D121" i="5"/>
  <c r="O16" i="7"/>
  <c r="F16" i="7"/>
  <c r="E16" i="7"/>
  <c r="N16" i="7"/>
  <c r="L16" i="7"/>
  <c r="K16" i="7"/>
  <c r="I16" i="7"/>
  <c r="H16" i="7"/>
  <c r="D116" i="7"/>
  <c r="K116" i="7"/>
  <c r="AZ90" i="6" a="1"/>
  <c r="AZ90" i="6" s="1"/>
  <c r="AZ88" i="6" a="1"/>
  <c r="AZ88" i="6" s="1"/>
  <c r="AZ87" i="6" a="1"/>
  <c r="AZ87" i="6" s="1"/>
  <c r="AZ85" i="6" a="1"/>
  <c r="AZ85" i="6" s="1"/>
  <c r="AZ89" i="6" a="1"/>
  <c r="AZ89" i="6" s="1"/>
  <c r="AZ86" i="6" a="1"/>
  <c r="AZ86" i="6" s="1"/>
  <c r="I15" i="7"/>
  <c r="H15" i="7"/>
  <c r="F15" i="7"/>
  <c r="E15" i="7"/>
  <c r="O15" i="7"/>
  <c r="N15" i="7"/>
  <c r="L15" i="7"/>
  <c r="K15" i="7"/>
  <c r="N7" i="5"/>
  <c r="H7" i="5"/>
  <c r="K7" i="5"/>
  <c r="F7" i="5"/>
  <c r="G7" i="5" s="1"/>
  <c r="E7" i="5"/>
  <c r="O7" i="5"/>
  <c r="L7" i="5"/>
  <c r="I7" i="5"/>
  <c r="N13" i="5"/>
  <c r="F13" i="5"/>
  <c r="L13" i="5"/>
  <c r="H13" i="5"/>
  <c r="K13" i="5"/>
  <c r="E13" i="5"/>
  <c r="O13" i="5"/>
  <c r="P13" i="5" s="1"/>
  <c r="I13" i="5"/>
  <c r="J13" i="5" s="1"/>
  <c r="F24" i="7"/>
  <c r="E24" i="7"/>
  <c r="O24" i="7"/>
  <c r="N24" i="7"/>
  <c r="L24" i="7"/>
  <c r="K24" i="7"/>
  <c r="I24" i="7"/>
  <c r="H24" i="7"/>
  <c r="N52" i="5"/>
  <c r="L52" i="5"/>
  <c r="K52" i="5"/>
  <c r="F52" i="5"/>
  <c r="G52" i="5" s="1"/>
  <c r="O52" i="5"/>
  <c r="I52" i="5"/>
  <c r="E52" i="5"/>
  <c r="H52" i="5"/>
  <c r="O76" i="3" a="1"/>
  <c r="O76" i="3" s="1"/>
  <c r="O75" i="3" a="1"/>
  <c r="O75" i="3" s="1"/>
  <c r="O71" i="3" a="1"/>
  <c r="O71" i="3" s="1"/>
  <c r="O74" i="3" a="1"/>
  <c r="O74" i="3" s="1"/>
  <c r="O73" i="3" a="1"/>
  <c r="O73" i="3" s="1"/>
  <c r="O72" i="3" a="1"/>
  <c r="O72" i="3" s="1"/>
  <c r="N34" i="5"/>
  <c r="H34" i="5"/>
  <c r="E34" i="5"/>
  <c r="L34" i="5"/>
  <c r="K34" i="5"/>
  <c r="I34" i="5"/>
  <c r="F34" i="5"/>
  <c r="G34" i="5" s="1"/>
  <c r="O34" i="5"/>
  <c r="AD59" i="3"/>
  <c r="AC59" i="3"/>
  <c r="C65" i="3" s="1"/>
  <c r="O22" i="7"/>
  <c r="N22" i="7"/>
  <c r="K22" i="7"/>
  <c r="L22" i="7"/>
  <c r="M22" i="7" s="1"/>
  <c r="I22" i="7"/>
  <c r="H22" i="7"/>
  <c r="F22" i="7"/>
  <c r="E22" i="7"/>
  <c r="BH83" i="6"/>
  <c r="AN64" i="6"/>
  <c r="AS4" i="6"/>
  <c r="K120" i="5"/>
  <c r="D120" i="5"/>
  <c r="E46" i="7"/>
  <c r="O46" i="7"/>
  <c r="N46" i="7"/>
  <c r="L46" i="7"/>
  <c r="K46" i="7"/>
  <c r="I46" i="7"/>
  <c r="H46" i="7"/>
  <c r="F46" i="7"/>
  <c r="E40" i="7"/>
  <c r="L40" i="7"/>
  <c r="K40" i="7"/>
  <c r="I40" i="7"/>
  <c r="F40" i="7"/>
  <c r="G40" i="7" s="1"/>
  <c r="N40" i="7"/>
  <c r="H40" i="7"/>
  <c r="O40" i="7"/>
  <c r="O28" i="7"/>
  <c r="N28" i="7"/>
  <c r="K28" i="7"/>
  <c r="I28" i="7"/>
  <c r="H28" i="7"/>
  <c r="F28" i="7"/>
  <c r="E28" i="7"/>
  <c r="L28" i="7"/>
  <c r="M28" i="7" s="1"/>
  <c r="D115" i="7"/>
  <c r="K115" i="7"/>
  <c r="K118" i="7"/>
  <c r="D118" i="7"/>
  <c r="K45" i="7"/>
  <c r="I45" i="7"/>
  <c r="E45" i="7"/>
  <c r="O45" i="7"/>
  <c r="L45" i="7"/>
  <c r="M45" i="7" s="1"/>
  <c r="H45" i="7"/>
  <c r="F45" i="7"/>
  <c r="G45" i="7" s="1"/>
  <c r="N45" i="7"/>
  <c r="F21" i="5"/>
  <c r="G21" i="5" s="1"/>
  <c r="I21" i="5"/>
  <c r="J21" i="5" s="1"/>
  <c r="N21" i="5"/>
  <c r="H21" i="5"/>
  <c r="E21" i="5"/>
  <c r="O21" i="5"/>
  <c r="L21" i="5"/>
  <c r="K21" i="5"/>
  <c r="F30" i="7"/>
  <c r="E30" i="7"/>
  <c r="O30" i="7"/>
  <c r="P30" i="7" s="1"/>
  <c r="L30" i="7"/>
  <c r="K30" i="7"/>
  <c r="I30" i="7"/>
  <c r="H30" i="7"/>
  <c r="N30" i="7"/>
  <c r="O44" i="7"/>
  <c r="F44" i="7"/>
  <c r="E44" i="7"/>
  <c r="I44" i="7"/>
  <c r="H44" i="7"/>
  <c r="N44" i="7"/>
  <c r="L44" i="7"/>
  <c r="K44" i="7"/>
  <c r="F8" i="5"/>
  <c r="G8" i="5" s="1"/>
  <c r="K8" i="5"/>
  <c r="H8" i="5"/>
  <c r="E8" i="5"/>
  <c r="O8" i="5"/>
  <c r="N8" i="5"/>
  <c r="L8" i="5"/>
  <c r="I8" i="5"/>
  <c r="L48" i="7"/>
  <c r="K48" i="7"/>
  <c r="I48" i="7"/>
  <c r="N48" i="7"/>
  <c r="H48" i="7"/>
  <c r="F48" i="7"/>
  <c r="E48" i="7"/>
  <c r="O48" i="7"/>
  <c r="F18" i="5"/>
  <c r="O18" i="5"/>
  <c r="N18" i="5"/>
  <c r="K18" i="5"/>
  <c r="L18" i="5"/>
  <c r="M18" i="5" s="1"/>
  <c r="I18" i="5"/>
  <c r="H18" i="5"/>
  <c r="E18" i="5"/>
  <c r="O34" i="7"/>
  <c r="N34" i="7"/>
  <c r="K34" i="7"/>
  <c r="E34" i="7"/>
  <c r="L34" i="7"/>
  <c r="I34" i="7"/>
  <c r="H34" i="7"/>
  <c r="F34" i="7"/>
  <c r="G34" i="7" s="1"/>
  <c r="E50" i="5"/>
  <c r="O50" i="5"/>
  <c r="L50" i="5"/>
  <c r="M50" i="5" s="1"/>
  <c r="F50" i="5"/>
  <c r="I50" i="5"/>
  <c r="H50" i="5"/>
  <c r="N50" i="5"/>
  <c r="K50" i="5"/>
  <c r="F15" i="5"/>
  <c r="I15" i="5"/>
  <c r="O15" i="5"/>
  <c r="N15" i="5"/>
  <c r="L15" i="5"/>
  <c r="H15" i="5"/>
  <c r="K15" i="5"/>
  <c r="E15" i="5"/>
  <c r="N28" i="5"/>
  <c r="O28" i="5"/>
  <c r="P28" i="5" s="1"/>
  <c r="E28" i="5"/>
  <c r="F28" i="5"/>
  <c r="L28" i="5"/>
  <c r="K28" i="5"/>
  <c r="H28" i="5"/>
  <c r="I28" i="5"/>
  <c r="J28" i="5" s="1"/>
  <c r="F33" i="7"/>
  <c r="E33" i="7"/>
  <c r="O33" i="7"/>
  <c r="N33" i="7"/>
  <c r="L33" i="7"/>
  <c r="K33" i="7"/>
  <c r="I33" i="7"/>
  <c r="J33" i="7" s="1"/>
  <c r="H33" i="7"/>
  <c r="H9" i="7"/>
  <c r="F9" i="7"/>
  <c r="E9" i="7"/>
  <c r="O9" i="7"/>
  <c r="L9" i="7"/>
  <c r="K9" i="7"/>
  <c r="I9" i="7"/>
  <c r="J9" i="7" s="1"/>
  <c r="N9" i="7"/>
  <c r="D120" i="7"/>
  <c r="K120" i="7"/>
  <c r="N46" i="5"/>
  <c r="O46" i="5"/>
  <c r="L46" i="5"/>
  <c r="H46" i="5"/>
  <c r="F46" i="5"/>
  <c r="E46" i="5"/>
  <c r="K46" i="5"/>
  <c r="I46" i="5"/>
  <c r="I23" i="5"/>
  <c r="J23" i="5" s="1"/>
  <c r="F23" i="5"/>
  <c r="E23" i="5"/>
  <c r="O23" i="5"/>
  <c r="N23" i="5"/>
  <c r="L23" i="5"/>
  <c r="K23" i="5"/>
  <c r="H23" i="5"/>
  <c r="H6" i="7"/>
  <c r="F6" i="7"/>
  <c r="E6" i="7"/>
  <c r="O6" i="7"/>
  <c r="L6" i="7"/>
  <c r="K6" i="7"/>
  <c r="I6" i="7"/>
  <c r="J6" i="7" s="1"/>
  <c r="N6" i="7"/>
  <c r="F33" i="5"/>
  <c r="G33" i="5" s="1"/>
  <c r="K33" i="5"/>
  <c r="I33" i="5"/>
  <c r="H33" i="5"/>
  <c r="E33" i="5"/>
  <c r="O33" i="5"/>
  <c r="N33" i="5"/>
  <c r="L33" i="5"/>
  <c r="N16" i="5"/>
  <c r="F16" i="5"/>
  <c r="G16" i="5" s="1"/>
  <c r="O16" i="5"/>
  <c r="P16" i="5" s="1"/>
  <c r="I16" i="5"/>
  <c r="J16" i="5" s="1"/>
  <c r="K16" i="5"/>
  <c r="H16" i="5"/>
  <c r="E16" i="5"/>
  <c r="L16" i="5"/>
  <c r="O5" i="7"/>
  <c r="N5" i="7"/>
  <c r="L5" i="7"/>
  <c r="K5" i="7"/>
  <c r="I5" i="7"/>
  <c r="H5" i="7"/>
  <c r="F5" i="7"/>
  <c r="E5" i="7"/>
  <c r="D123" i="7"/>
  <c r="K123" i="7"/>
  <c r="L32" i="5"/>
  <c r="H32" i="5"/>
  <c r="I32" i="5"/>
  <c r="J32" i="5" s="1"/>
  <c r="F32" i="5"/>
  <c r="E32" i="5"/>
  <c r="K32" i="5"/>
  <c r="N32" i="5"/>
  <c r="O32" i="5"/>
  <c r="L20" i="5"/>
  <c r="M20" i="5" s="1"/>
  <c r="O20" i="5"/>
  <c r="P20" i="5" s="1"/>
  <c r="E20" i="5"/>
  <c r="N20" i="5"/>
  <c r="K20" i="5"/>
  <c r="I20" i="5"/>
  <c r="H20" i="5"/>
  <c r="F20" i="5"/>
  <c r="L38" i="5"/>
  <c r="E38" i="5"/>
  <c r="O38" i="5"/>
  <c r="N38" i="5"/>
  <c r="K38" i="5"/>
  <c r="I38" i="5"/>
  <c r="J38" i="5" s="1"/>
  <c r="F38" i="5"/>
  <c r="G38" i="5" s="1"/>
  <c r="H38" i="5"/>
  <c r="E21" i="7"/>
  <c r="O21" i="7"/>
  <c r="L21" i="7"/>
  <c r="K21" i="7"/>
  <c r="I21" i="7"/>
  <c r="H21" i="7"/>
  <c r="F21" i="7"/>
  <c r="G21" i="7" s="1"/>
  <c r="N21" i="7"/>
  <c r="E37" i="7"/>
  <c r="F37" i="7"/>
  <c r="G37" i="7" s="1"/>
  <c r="O37" i="7"/>
  <c r="P37" i="7" s="1"/>
  <c r="L37" i="7"/>
  <c r="K37" i="7"/>
  <c r="I37" i="7"/>
  <c r="H37" i="7"/>
  <c r="N37" i="7"/>
  <c r="F39" i="5"/>
  <c r="I39" i="5"/>
  <c r="N39" i="5"/>
  <c r="K39" i="5"/>
  <c r="E39" i="5"/>
  <c r="L39" i="5"/>
  <c r="M39" i="5" s="1"/>
  <c r="H39" i="5"/>
  <c r="O39" i="5"/>
  <c r="M6" i="7" l="1"/>
  <c r="P33" i="7"/>
  <c r="G35" i="7"/>
  <c r="M18" i="7"/>
  <c r="M9" i="7"/>
  <c r="G30" i="7"/>
  <c r="M24" i="5"/>
  <c r="P18" i="7"/>
  <c r="J54" i="5"/>
  <c r="J31" i="5"/>
  <c r="P37" i="5"/>
  <c r="M36" i="7"/>
  <c r="J40" i="5"/>
  <c r="G5" i="5"/>
  <c r="M44" i="5"/>
  <c r="P27" i="5"/>
  <c r="G42" i="5"/>
  <c r="J47" i="5"/>
  <c r="J15" i="5"/>
  <c r="J45" i="7"/>
  <c r="M29" i="7"/>
  <c r="P38" i="5"/>
  <c r="J5" i="7"/>
  <c r="M44" i="7"/>
  <c r="P42" i="5"/>
  <c r="J36" i="5"/>
  <c r="J22" i="5"/>
  <c r="G33" i="7"/>
  <c r="M15" i="5"/>
  <c r="G14" i="5"/>
  <c r="P11" i="5"/>
  <c r="M32" i="5"/>
  <c r="P44" i="7"/>
  <c r="M41" i="5"/>
  <c r="P49" i="5"/>
  <c r="P10" i="5"/>
  <c r="J25" i="7"/>
  <c r="J21" i="7"/>
  <c r="M48" i="7"/>
  <c r="P41" i="5"/>
  <c r="J52" i="7"/>
  <c r="P34" i="7"/>
  <c r="P17" i="7"/>
  <c r="J18" i="7"/>
  <c r="P32" i="5"/>
  <c r="G23" i="5"/>
  <c r="G50" i="5"/>
  <c r="M30" i="7"/>
  <c r="J40" i="7"/>
  <c r="P22" i="7"/>
  <c r="P16" i="7"/>
  <c r="P48" i="5"/>
  <c r="P31" i="7"/>
  <c r="J10" i="7"/>
  <c r="G29" i="5"/>
  <c r="M49" i="7"/>
  <c r="G27" i="7"/>
  <c r="P52" i="7"/>
  <c r="P41" i="7"/>
  <c r="G47" i="7"/>
  <c r="G7" i="7"/>
  <c r="P24" i="5"/>
  <c r="G53" i="7"/>
  <c r="G12" i="5"/>
  <c r="G45" i="5"/>
  <c r="G37" i="5"/>
  <c r="J8" i="7"/>
  <c r="P25" i="7"/>
  <c r="P26" i="5"/>
  <c r="G48" i="7"/>
  <c r="P46" i="7"/>
  <c r="M52" i="7"/>
  <c r="J50" i="5"/>
  <c r="J6" i="5"/>
  <c r="J19" i="5"/>
  <c r="J44" i="5"/>
  <c r="AX64" i="4"/>
  <c r="BC4" i="4"/>
  <c r="J48" i="7"/>
  <c r="D65" i="3"/>
  <c r="K65" i="3"/>
  <c r="M30" i="5"/>
  <c r="M31" i="5"/>
  <c r="K62" i="3"/>
  <c r="D62" i="3"/>
  <c r="M53" i="7"/>
  <c r="J20" i="7"/>
  <c r="AX64" i="2"/>
  <c r="BC4" i="2"/>
  <c r="G26" i="5"/>
  <c r="J39" i="5"/>
  <c r="M33" i="5"/>
  <c r="P6" i="7"/>
  <c r="J46" i="5"/>
  <c r="P50" i="5"/>
  <c r="J18" i="5"/>
  <c r="G28" i="7"/>
  <c r="M40" i="7"/>
  <c r="AS64" i="6"/>
  <c r="AX4" i="6"/>
  <c r="J24" i="7"/>
  <c r="M13" i="5"/>
  <c r="M15" i="7"/>
  <c r="P42" i="7"/>
  <c r="J48" i="5"/>
  <c r="G26" i="7"/>
  <c r="M10" i="7"/>
  <c r="J35" i="5"/>
  <c r="G23" i="7"/>
  <c r="P30" i="5"/>
  <c r="K68" i="3"/>
  <c r="D68" i="3"/>
  <c r="M29" i="5"/>
  <c r="P31" i="5"/>
  <c r="P49" i="7"/>
  <c r="P22" i="5"/>
  <c r="G38" i="7"/>
  <c r="M40" i="5"/>
  <c r="P47" i="7"/>
  <c r="J7" i="7"/>
  <c r="G6" i="5"/>
  <c r="P29" i="7"/>
  <c r="G19" i="5"/>
  <c r="J51" i="7"/>
  <c r="P5" i="5"/>
  <c r="J27" i="5"/>
  <c r="P17" i="5"/>
  <c r="P53" i="7"/>
  <c r="M10" i="5"/>
  <c r="J37" i="5"/>
  <c r="M8" i="7"/>
  <c r="G53" i="5"/>
  <c r="J26" i="5"/>
  <c r="J14" i="7"/>
  <c r="P39" i="7"/>
  <c r="M33" i="7"/>
  <c r="J12" i="5"/>
  <c r="G13" i="5"/>
  <c r="J42" i="5"/>
  <c r="P25" i="5"/>
  <c r="J12" i="7"/>
  <c r="G32" i="5"/>
  <c r="P9" i="7"/>
  <c r="P45" i="7"/>
  <c r="J28" i="7"/>
  <c r="G46" i="7"/>
  <c r="BI88" i="6" a="1"/>
  <c r="BI88" i="6" s="1"/>
  <c r="BI87" i="6" a="1"/>
  <c r="BI87" i="6" s="1"/>
  <c r="BI89" i="6" a="1"/>
  <c r="BI89" i="6" s="1"/>
  <c r="BI90" i="6" a="1"/>
  <c r="BI90" i="6" s="1"/>
  <c r="BI85" i="6" a="1"/>
  <c r="BI85" i="6" s="1"/>
  <c r="BI86" i="6" a="1"/>
  <c r="BI86" i="6" s="1"/>
  <c r="M24" i="7"/>
  <c r="P15" i="7"/>
  <c r="G48" i="5"/>
  <c r="P10" i="7"/>
  <c r="J36" i="7"/>
  <c r="G30" i="5"/>
  <c r="P36" i="5"/>
  <c r="J38" i="7"/>
  <c r="M7" i="7"/>
  <c r="M43" i="7"/>
  <c r="G29" i="7"/>
  <c r="M51" i="7"/>
  <c r="G19" i="7"/>
  <c r="G10" i="5"/>
  <c r="M35" i="7"/>
  <c r="G32" i="7"/>
  <c r="M11" i="7"/>
  <c r="M38" i="5"/>
  <c r="M5" i="7"/>
  <c r="C142" i="7" a="1"/>
  <c r="P34" i="5"/>
  <c r="J44" i="7"/>
  <c r="M21" i="5"/>
  <c r="J34" i="5"/>
  <c r="J7" i="5"/>
  <c r="J50" i="7"/>
  <c r="J42" i="7"/>
  <c r="P26" i="7"/>
  <c r="M35" i="5"/>
  <c r="G54" i="7"/>
  <c r="G22" i="5"/>
  <c r="P11" i="7"/>
  <c r="M12" i="7"/>
  <c r="M47" i="5"/>
  <c r="J45" i="5"/>
  <c r="J13" i="7"/>
  <c r="G25" i="7"/>
  <c r="P23" i="5"/>
  <c r="J30" i="7"/>
  <c r="M54" i="7"/>
  <c r="P13" i="7"/>
  <c r="M42" i="5"/>
  <c r="P35" i="7"/>
  <c r="G39" i="5"/>
  <c r="P33" i="5"/>
  <c r="M21" i="7"/>
  <c r="P15" i="5"/>
  <c r="J20" i="5"/>
  <c r="G9" i="7"/>
  <c r="P18" i="5"/>
  <c r="P21" i="5"/>
  <c r="G22" i="7"/>
  <c r="P24" i="7"/>
  <c r="M7" i="5"/>
  <c r="G15" i="7"/>
  <c r="J16" i="7"/>
  <c r="G31" i="7"/>
  <c r="J41" i="5"/>
  <c r="J49" i="5"/>
  <c r="P23" i="7"/>
  <c r="G36" i="5"/>
  <c r="M9" i="5"/>
  <c r="M27" i="7"/>
  <c r="M25" i="5"/>
  <c r="G17" i="7"/>
  <c r="G41" i="7"/>
  <c r="P7" i="7"/>
  <c r="P43" i="7"/>
  <c r="K60" i="3"/>
  <c r="D60" i="3"/>
  <c r="G24" i="5"/>
  <c r="P12" i="5"/>
  <c r="J19" i="7"/>
  <c r="J10" i="5"/>
  <c r="G39" i="7"/>
  <c r="M32" i="7"/>
  <c r="M53" i="5"/>
  <c r="P36" i="7"/>
  <c r="J17" i="5"/>
  <c r="G16" i="7"/>
  <c r="J30" i="5"/>
  <c r="P21" i="7"/>
  <c r="M16" i="5"/>
  <c r="G15" i="5"/>
  <c r="P8" i="5"/>
  <c r="P28" i="7"/>
  <c r="J52" i="5"/>
  <c r="J23" i="7"/>
  <c r="G31" i="5"/>
  <c r="G52" i="7"/>
  <c r="J47" i="7"/>
  <c r="M6" i="5"/>
  <c r="G43" i="7"/>
  <c r="J29" i="7"/>
  <c r="M5" i="5"/>
  <c r="C142" i="5" a="1"/>
  <c r="P20" i="7"/>
  <c r="G8" i="7"/>
  <c r="P53" i="5"/>
  <c r="G10" i="7"/>
  <c r="G9" i="5"/>
  <c r="P19" i="7"/>
  <c r="G5" i="7"/>
  <c r="M52" i="5"/>
  <c r="G51" i="7"/>
  <c r="G40" i="5"/>
  <c r="G20" i="5"/>
  <c r="G6" i="7"/>
  <c r="J8" i="5"/>
  <c r="P5" i="7"/>
  <c r="G46" i="5"/>
  <c r="M8" i="5"/>
  <c r="J37" i="7"/>
  <c r="J34" i="7"/>
  <c r="G44" i="7"/>
  <c r="J46" i="7"/>
  <c r="J33" i="5"/>
  <c r="M46" i="5"/>
  <c r="M28" i="5"/>
  <c r="M34" i="7"/>
  <c r="G18" i="5"/>
  <c r="M34" i="5"/>
  <c r="P7" i="5"/>
  <c r="J26" i="7"/>
  <c r="M43" i="5"/>
  <c r="P39" i="5"/>
  <c r="M37" i="7"/>
  <c r="M23" i="5"/>
  <c r="P46" i="5"/>
  <c r="G28" i="5"/>
  <c r="P48" i="7"/>
  <c r="P40" i="7"/>
  <c r="M46" i="7"/>
  <c r="J22" i="7"/>
  <c r="P52" i="5"/>
  <c r="G24" i="7"/>
  <c r="J15" i="7"/>
  <c r="M16" i="7"/>
  <c r="G50" i="7"/>
  <c r="J31" i="7"/>
  <c r="G14" i="7"/>
  <c r="P54" i="5"/>
  <c r="G35" i="5"/>
  <c r="G43" i="5"/>
  <c r="J54" i="7"/>
  <c r="J9" i="5"/>
  <c r="J17" i="7"/>
  <c r="P38" i="7"/>
  <c r="M41" i="7"/>
  <c r="J11" i="7"/>
  <c r="G27" i="5"/>
  <c r="J53" i="7"/>
  <c r="M12" i="5"/>
  <c r="M19" i="7"/>
  <c r="P45" i="5"/>
  <c r="M39" i="7"/>
  <c r="M13" i="7"/>
  <c r="P32" i="7"/>
  <c r="J53" i="5"/>
  <c r="M25" i="7"/>
  <c r="M11" i="5"/>
  <c r="C189" i="7" l="1"/>
  <c r="C177" i="7"/>
  <c r="C165" i="7"/>
  <c r="C153" i="7"/>
  <c r="C142" i="7"/>
  <c r="C188" i="7"/>
  <c r="C176" i="7"/>
  <c r="C164" i="7"/>
  <c r="C152" i="7"/>
  <c r="C187" i="7"/>
  <c r="C175" i="7"/>
  <c r="C163" i="7"/>
  <c r="C151" i="7"/>
  <c r="C186" i="7"/>
  <c r="C174" i="7"/>
  <c r="C162" i="7"/>
  <c r="C150" i="7"/>
  <c r="C185" i="7"/>
  <c r="C173" i="7"/>
  <c r="C161" i="7"/>
  <c r="C149" i="7"/>
  <c r="C184" i="7"/>
  <c r="C172" i="7"/>
  <c r="C160" i="7"/>
  <c r="C148" i="7"/>
  <c r="C183" i="7"/>
  <c r="C171" i="7"/>
  <c r="C159" i="7"/>
  <c r="C147" i="7"/>
  <c r="C182" i="7"/>
  <c r="C170" i="7"/>
  <c r="C158" i="7"/>
  <c r="C146" i="7"/>
  <c r="C181" i="7"/>
  <c r="C169" i="7"/>
  <c r="C157" i="7"/>
  <c r="C145" i="7"/>
  <c r="C180" i="7"/>
  <c r="C168" i="7"/>
  <c r="C156" i="7"/>
  <c r="C144" i="7"/>
  <c r="C191" i="7"/>
  <c r="C179" i="7"/>
  <c r="C167" i="7"/>
  <c r="C155" i="7"/>
  <c r="C143" i="7"/>
  <c r="C190" i="7"/>
  <c r="C178" i="7"/>
  <c r="C166" i="7"/>
  <c r="C154" i="7"/>
  <c r="J142" i="5" a="1"/>
  <c r="AX64" i="6"/>
  <c r="BC4" i="6"/>
  <c r="BC64" i="2"/>
  <c r="BH4" i="2"/>
  <c r="J142" i="7" a="1"/>
  <c r="C183" i="5"/>
  <c r="C171" i="5"/>
  <c r="C159" i="5"/>
  <c r="C147" i="5"/>
  <c r="C190" i="5"/>
  <c r="C177" i="5"/>
  <c r="C164" i="5"/>
  <c r="C151" i="5"/>
  <c r="C188" i="5"/>
  <c r="C175" i="5"/>
  <c r="C162" i="5"/>
  <c r="C149" i="5"/>
  <c r="C178" i="5"/>
  <c r="C161" i="5"/>
  <c r="C145" i="5"/>
  <c r="C189" i="5"/>
  <c r="C173" i="5"/>
  <c r="C157" i="5"/>
  <c r="C182" i="5"/>
  <c r="C165" i="5"/>
  <c r="C144" i="5"/>
  <c r="C184" i="5"/>
  <c r="C163" i="5"/>
  <c r="C142" i="5"/>
  <c r="C181" i="5"/>
  <c r="C160" i="5"/>
  <c r="C180" i="5"/>
  <c r="C158" i="5"/>
  <c r="C174" i="5"/>
  <c r="C154" i="5"/>
  <c r="C167" i="5"/>
  <c r="C166" i="5"/>
  <c r="C191" i="5"/>
  <c r="C156" i="5"/>
  <c r="C187" i="5"/>
  <c r="C155" i="5"/>
  <c r="C186" i="5"/>
  <c r="C146" i="5"/>
  <c r="C185" i="5"/>
  <c r="C143" i="5"/>
  <c r="C179" i="5"/>
  <c r="C176" i="5"/>
  <c r="C172" i="5"/>
  <c r="C170" i="5"/>
  <c r="C168" i="5"/>
  <c r="C150" i="5"/>
  <c r="C148" i="5"/>
  <c r="C169" i="5"/>
  <c r="C153" i="5"/>
  <c r="C152" i="5"/>
  <c r="BC64" i="4"/>
  <c r="BH4" i="4"/>
  <c r="J181" i="7" l="1"/>
  <c r="J169" i="7"/>
  <c r="J157" i="7"/>
  <c r="J145" i="7"/>
  <c r="J180" i="7"/>
  <c r="J168" i="7"/>
  <c r="J156" i="7"/>
  <c r="J144" i="7"/>
  <c r="J191" i="7"/>
  <c r="J179" i="7"/>
  <c r="J167" i="7"/>
  <c r="J155" i="7"/>
  <c r="J143" i="7"/>
  <c r="J190" i="7"/>
  <c r="J178" i="7"/>
  <c r="J166" i="7"/>
  <c r="J154" i="7"/>
  <c r="J189" i="7"/>
  <c r="J177" i="7"/>
  <c r="J165" i="7"/>
  <c r="J153" i="7"/>
  <c r="J142" i="7"/>
  <c r="J188" i="7"/>
  <c r="J176" i="7"/>
  <c r="J164" i="7"/>
  <c r="J152" i="7"/>
  <c r="J187" i="7"/>
  <c r="J175" i="7"/>
  <c r="J163" i="7"/>
  <c r="J151" i="7"/>
  <c r="J186" i="7"/>
  <c r="J174" i="7"/>
  <c r="J162" i="7"/>
  <c r="J150" i="7"/>
  <c r="J185" i="7"/>
  <c r="J173" i="7"/>
  <c r="J161" i="7"/>
  <c r="J149" i="7"/>
  <c r="J184" i="7"/>
  <c r="J172" i="7"/>
  <c r="J160" i="7"/>
  <c r="J148" i="7"/>
  <c r="J183" i="7"/>
  <c r="J171" i="7"/>
  <c r="J159" i="7"/>
  <c r="J147" i="7"/>
  <c r="J182" i="7"/>
  <c r="J170" i="7"/>
  <c r="J158" i="7"/>
  <c r="J146" i="7"/>
  <c r="F167" i="7"/>
  <c r="E167" i="7"/>
  <c r="D167" i="7"/>
  <c r="F158" i="7"/>
  <c r="E158" i="7"/>
  <c r="D158" i="7"/>
  <c r="F161" i="7"/>
  <c r="E161" i="7"/>
  <c r="D161" i="7"/>
  <c r="F164" i="7"/>
  <c r="G164" i="7" s="1"/>
  <c r="E164" i="7"/>
  <c r="D164" i="7"/>
  <c r="D148" i="5"/>
  <c r="F148" i="5"/>
  <c r="E148" i="5"/>
  <c r="E187" i="5"/>
  <c r="F187" i="5"/>
  <c r="D187" i="5"/>
  <c r="E163" i="5"/>
  <c r="D163" i="5"/>
  <c r="F163" i="5"/>
  <c r="G163" i="5" s="1"/>
  <c r="F162" i="5"/>
  <c r="G162" i="5" s="1"/>
  <c r="E162" i="5"/>
  <c r="D162" i="5"/>
  <c r="BH64" i="2"/>
  <c r="BM4" i="2"/>
  <c r="F179" i="7"/>
  <c r="E179" i="7"/>
  <c r="D179" i="7"/>
  <c r="F170" i="7"/>
  <c r="E170" i="7"/>
  <c r="D170" i="7"/>
  <c r="F173" i="7"/>
  <c r="E173" i="7"/>
  <c r="D173" i="7"/>
  <c r="F176" i="7"/>
  <c r="E176" i="7"/>
  <c r="D176" i="7"/>
  <c r="BH64" i="4"/>
  <c r="BM4" i="4"/>
  <c r="F143" i="5"/>
  <c r="D143" i="5"/>
  <c r="E143" i="5"/>
  <c r="D158" i="5"/>
  <c r="F158" i="5"/>
  <c r="E158" i="5"/>
  <c r="E189" i="5"/>
  <c r="F189" i="5"/>
  <c r="D189" i="5"/>
  <c r="F147" i="5"/>
  <c r="D147" i="5"/>
  <c r="E147" i="5"/>
  <c r="F178" i="7"/>
  <c r="E178" i="7"/>
  <c r="D178" i="7"/>
  <c r="F157" i="7"/>
  <c r="E157" i="7"/>
  <c r="D157" i="7"/>
  <c r="F160" i="7"/>
  <c r="E160" i="7"/>
  <c r="D160" i="7"/>
  <c r="F163" i="7"/>
  <c r="E163" i="7"/>
  <c r="D163" i="7"/>
  <c r="F185" i="5"/>
  <c r="E185" i="5"/>
  <c r="D185" i="5"/>
  <c r="F180" i="5"/>
  <c r="E180" i="5"/>
  <c r="D180" i="5"/>
  <c r="F145" i="5"/>
  <c r="D145" i="5"/>
  <c r="E145" i="5"/>
  <c r="E159" i="5"/>
  <c r="D159" i="5"/>
  <c r="F159" i="5"/>
  <c r="F190" i="7"/>
  <c r="E190" i="7"/>
  <c r="D190" i="7"/>
  <c r="F169" i="7"/>
  <c r="E169" i="7"/>
  <c r="D169" i="7"/>
  <c r="F172" i="7"/>
  <c r="E172" i="7"/>
  <c r="D172" i="7"/>
  <c r="F175" i="7"/>
  <c r="E175" i="7"/>
  <c r="D175" i="7"/>
  <c r="F152" i="5"/>
  <c r="E152" i="5"/>
  <c r="D152" i="5"/>
  <c r="E146" i="5"/>
  <c r="F146" i="5"/>
  <c r="G146" i="5" s="1"/>
  <c r="D146" i="5"/>
  <c r="E160" i="5"/>
  <c r="F160" i="5"/>
  <c r="D160" i="5"/>
  <c r="D161" i="5"/>
  <c r="F161" i="5"/>
  <c r="E161" i="5"/>
  <c r="F171" i="5"/>
  <c r="E171" i="5"/>
  <c r="D171" i="5"/>
  <c r="F143" i="7"/>
  <c r="E143" i="7"/>
  <c r="D143" i="7"/>
  <c r="F181" i="7"/>
  <c r="E181" i="7"/>
  <c r="D181" i="7"/>
  <c r="F184" i="7"/>
  <c r="E184" i="7"/>
  <c r="D184" i="7"/>
  <c r="F187" i="7"/>
  <c r="E187" i="7"/>
  <c r="D187" i="7"/>
  <c r="E153" i="5"/>
  <c r="D153" i="5"/>
  <c r="F153" i="5"/>
  <c r="G153" i="5" s="1"/>
  <c r="D186" i="5"/>
  <c r="F186" i="5"/>
  <c r="E186" i="5"/>
  <c r="E181" i="5"/>
  <c r="F181" i="5"/>
  <c r="D181" i="5"/>
  <c r="E178" i="5"/>
  <c r="D178" i="5"/>
  <c r="F178" i="5"/>
  <c r="D183" i="5"/>
  <c r="F183" i="5"/>
  <c r="E183" i="5"/>
  <c r="F155" i="7"/>
  <c r="E155" i="7"/>
  <c r="D155" i="7"/>
  <c r="F146" i="7"/>
  <c r="E146" i="7"/>
  <c r="D146" i="7"/>
  <c r="F149" i="7"/>
  <c r="E149" i="7"/>
  <c r="D149" i="7"/>
  <c r="F152" i="7"/>
  <c r="E152" i="7"/>
  <c r="D152" i="7"/>
  <c r="E169" i="5"/>
  <c r="D169" i="5"/>
  <c r="F169" i="5"/>
  <c r="F155" i="5"/>
  <c r="D155" i="5"/>
  <c r="E155" i="5"/>
  <c r="E142" i="5"/>
  <c r="F142" i="5"/>
  <c r="G142" i="5" s="1"/>
  <c r="D142" i="5"/>
  <c r="F149" i="5"/>
  <c r="E149" i="5"/>
  <c r="D149" i="5"/>
  <c r="F150" i="5"/>
  <c r="E150" i="5"/>
  <c r="D150" i="5"/>
  <c r="F156" i="5"/>
  <c r="D156" i="5"/>
  <c r="E156" i="5"/>
  <c r="E184" i="5"/>
  <c r="F184" i="5"/>
  <c r="G184" i="5" s="1"/>
  <c r="D184" i="5"/>
  <c r="E175" i="5"/>
  <c r="F175" i="5"/>
  <c r="G175" i="5" s="1"/>
  <c r="D175" i="5"/>
  <c r="F191" i="7"/>
  <c r="E191" i="7"/>
  <c r="D191" i="7"/>
  <c r="F182" i="7"/>
  <c r="E182" i="7"/>
  <c r="D182" i="7"/>
  <c r="F185" i="7"/>
  <c r="E185" i="7"/>
  <c r="D185" i="7"/>
  <c r="F188" i="7"/>
  <c r="E188" i="7"/>
  <c r="D188" i="7"/>
  <c r="F168" i="5"/>
  <c r="E168" i="5"/>
  <c r="D168" i="5"/>
  <c r="E191" i="5"/>
  <c r="D191" i="5"/>
  <c r="F191" i="5"/>
  <c r="E144" i="5"/>
  <c r="D144" i="5"/>
  <c r="F144" i="5"/>
  <c r="E188" i="5"/>
  <c r="F188" i="5"/>
  <c r="G188" i="5" s="1"/>
  <c r="D188" i="5"/>
  <c r="BC64" i="6"/>
  <c r="BH4" i="6"/>
  <c r="F144" i="7"/>
  <c r="E144" i="7"/>
  <c r="D144" i="7"/>
  <c r="F147" i="7"/>
  <c r="E147" i="7"/>
  <c r="D147" i="7"/>
  <c r="F150" i="7"/>
  <c r="E150" i="7"/>
  <c r="D150" i="7"/>
  <c r="F142" i="7"/>
  <c r="G142" i="7" s="1"/>
  <c r="E142" i="7"/>
  <c r="D142" i="7"/>
  <c r="D170" i="5"/>
  <c r="F170" i="5"/>
  <c r="E170" i="5"/>
  <c r="E166" i="5"/>
  <c r="F166" i="5"/>
  <c r="D166" i="5"/>
  <c r="F165" i="5"/>
  <c r="E165" i="5"/>
  <c r="D165" i="5"/>
  <c r="E151" i="5"/>
  <c r="F151" i="5"/>
  <c r="D151" i="5"/>
  <c r="F156" i="7"/>
  <c r="E156" i="7"/>
  <c r="D156" i="7"/>
  <c r="F159" i="7"/>
  <c r="E159" i="7"/>
  <c r="D159" i="7"/>
  <c r="F162" i="7"/>
  <c r="E162" i="7"/>
  <c r="D162" i="7"/>
  <c r="F153" i="7"/>
  <c r="G153" i="7" s="1"/>
  <c r="E153" i="7"/>
  <c r="D153" i="7"/>
  <c r="E172" i="5"/>
  <c r="F172" i="5"/>
  <c r="G172" i="5" s="1"/>
  <c r="D172" i="5"/>
  <c r="D167" i="5"/>
  <c r="F167" i="5"/>
  <c r="E167" i="5"/>
  <c r="E182" i="5"/>
  <c r="D182" i="5"/>
  <c r="F182" i="5"/>
  <c r="G182" i="5" s="1"/>
  <c r="D164" i="5"/>
  <c r="F164" i="5"/>
  <c r="E164" i="5"/>
  <c r="J187" i="5"/>
  <c r="J175" i="5"/>
  <c r="J163" i="5"/>
  <c r="J151" i="5"/>
  <c r="J186" i="5"/>
  <c r="J173" i="5"/>
  <c r="J160" i="5"/>
  <c r="J147" i="5"/>
  <c r="J184" i="5"/>
  <c r="J171" i="5"/>
  <c r="J158" i="5"/>
  <c r="J145" i="5"/>
  <c r="J183" i="5"/>
  <c r="J168" i="5"/>
  <c r="J153" i="5"/>
  <c r="J180" i="5"/>
  <c r="J165" i="5"/>
  <c r="J149" i="5"/>
  <c r="J182" i="5"/>
  <c r="J164" i="5"/>
  <c r="J144" i="5"/>
  <c r="J190" i="5"/>
  <c r="J169" i="5"/>
  <c r="J148" i="5"/>
  <c r="J189" i="5"/>
  <c r="J167" i="5"/>
  <c r="J146" i="5"/>
  <c r="J188" i="5"/>
  <c r="J166" i="5"/>
  <c r="J143" i="5"/>
  <c r="J179" i="5"/>
  <c r="J159" i="5"/>
  <c r="J170" i="5"/>
  <c r="J162" i="5"/>
  <c r="J161" i="5"/>
  <c r="J157" i="5"/>
  <c r="J177" i="5"/>
  <c r="J176" i="5"/>
  <c r="J174" i="5"/>
  <c r="J172" i="5"/>
  <c r="J142" i="5"/>
  <c r="J191" i="5"/>
  <c r="J185" i="5"/>
  <c r="J152" i="5"/>
  <c r="J150" i="5"/>
  <c r="J178" i="5"/>
  <c r="J156" i="5"/>
  <c r="J154" i="5"/>
  <c r="J181" i="5"/>
  <c r="J155" i="5"/>
  <c r="F168" i="7"/>
  <c r="E168" i="7"/>
  <c r="D168" i="7"/>
  <c r="F171" i="7"/>
  <c r="E171" i="7"/>
  <c r="D171" i="7"/>
  <c r="F174" i="7"/>
  <c r="E174" i="7"/>
  <c r="D174" i="7"/>
  <c r="F165" i="7"/>
  <c r="E165" i="7"/>
  <c r="D165" i="7"/>
  <c r="E176" i="5"/>
  <c r="D176" i="5"/>
  <c r="F176" i="5"/>
  <c r="E154" i="5"/>
  <c r="D154" i="5"/>
  <c r="F154" i="5"/>
  <c r="G154" i="5" s="1"/>
  <c r="E157" i="5"/>
  <c r="D157" i="5"/>
  <c r="F157" i="5"/>
  <c r="F177" i="5"/>
  <c r="D177" i="5"/>
  <c r="E177" i="5"/>
  <c r="F154" i="7"/>
  <c r="E154" i="7"/>
  <c r="D154" i="7"/>
  <c r="F180" i="7"/>
  <c r="E180" i="7"/>
  <c r="D180" i="7"/>
  <c r="F183" i="7"/>
  <c r="E183" i="7"/>
  <c r="D183" i="7"/>
  <c r="F186" i="7"/>
  <c r="E186" i="7"/>
  <c r="D186" i="7"/>
  <c r="F177" i="7"/>
  <c r="E177" i="7"/>
  <c r="D177" i="7"/>
  <c r="F179" i="5"/>
  <c r="D179" i="5"/>
  <c r="E179" i="5"/>
  <c r="E174" i="5"/>
  <c r="D174" i="5"/>
  <c r="F174" i="5"/>
  <c r="D173" i="5"/>
  <c r="F173" i="5"/>
  <c r="E173" i="5"/>
  <c r="E190" i="5"/>
  <c r="F190" i="5"/>
  <c r="G190" i="5" s="1"/>
  <c r="D190" i="5"/>
  <c r="F166" i="7"/>
  <c r="E166" i="7"/>
  <c r="D166" i="7"/>
  <c r="D145" i="7"/>
  <c r="F145" i="7"/>
  <c r="G145" i="7" s="1"/>
  <c r="E145" i="7"/>
  <c r="F148" i="7"/>
  <c r="E148" i="7"/>
  <c r="D148" i="7"/>
  <c r="D151" i="7"/>
  <c r="F151" i="7"/>
  <c r="E151" i="7"/>
  <c r="F189" i="7"/>
  <c r="E189" i="7"/>
  <c r="D189" i="7"/>
  <c r="G176" i="7" l="1"/>
  <c r="G169" i="5"/>
  <c r="G160" i="5"/>
  <c r="G189" i="5"/>
  <c r="G144" i="5"/>
  <c r="G178" i="5"/>
  <c r="G151" i="7"/>
  <c r="G158" i="7"/>
  <c r="G168" i="7"/>
  <c r="G181" i="5"/>
  <c r="G161" i="5"/>
  <c r="G179" i="7"/>
  <c r="G156" i="5"/>
  <c r="G155" i="5"/>
  <c r="G147" i="5"/>
  <c r="G159" i="7"/>
  <c r="G147" i="7"/>
  <c r="G183" i="5"/>
  <c r="G158" i="5"/>
  <c r="O147" i="5"/>
  <c r="K147" i="5"/>
  <c r="P147" i="5"/>
  <c r="Q147" i="5" s="1"/>
  <c r="G143" i="7"/>
  <c r="P150" i="7"/>
  <c r="O150" i="7"/>
  <c r="K150" i="7"/>
  <c r="G162" i="7"/>
  <c r="G161" i="7"/>
  <c r="G171" i="7"/>
  <c r="O143" i="5"/>
  <c r="K143" i="5"/>
  <c r="P143" i="5"/>
  <c r="Q143" i="5" s="1"/>
  <c r="O149" i="5"/>
  <c r="K149" i="5"/>
  <c r="P149" i="5"/>
  <c r="Q149" i="5" s="1"/>
  <c r="G170" i="7"/>
  <c r="P144" i="7"/>
  <c r="O144" i="7"/>
  <c r="K144" i="7"/>
  <c r="G176" i="5"/>
  <c r="P142" i="5"/>
  <c r="Q142" i="5" s="1"/>
  <c r="O142" i="5"/>
  <c r="K142" i="5"/>
  <c r="G167" i="5"/>
  <c r="G166" i="5"/>
  <c r="G185" i="7"/>
  <c r="G149" i="7"/>
  <c r="G187" i="7"/>
  <c r="G171" i="5"/>
  <c r="G152" i="5"/>
  <c r="G190" i="7"/>
  <c r="G185" i="5"/>
  <c r="G178" i="7"/>
  <c r="G143" i="5"/>
  <c r="G187" i="5"/>
  <c r="G173" i="7"/>
  <c r="G180" i="7"/>
  <c r="O151" i="5"/>
  <c r="P151" i="5"/>
  <c r="Q151" i="5" s="1"/>
  <c r="K151" i="5"/>
  <c r="G191" i="5"/>
  <c r="G159" i="5"/>
  <c r="BM64" i="4"/>
  <c r="BR4" i="4"/>
  <c r="O148" i="7"/>
  <c r="K148" i="7"/>
  <c r="P148" i="7"/>
  <c r="P151" i="7"/>
  <c r="O151" i="7"/>
  <c r="K151" i="7"/>
  <c r="P150" i="5"/>
  <c r="O150" i="5"/>
  <c r="K150" i="5"/>
  <c r="O144" i="5"/>
  <c r="K144" i="5"/>
  <c r="P144" i="5"/>
  <c r="Q144" i="5" s="1"/>
  <c r="G165" i="5"/>
  <c r="G177" i="7"/>
  <c r="G169" i="7"/>
  <c r="K146" i="5"/>
  <c r="P146" i="5"/>
  <c r="O146" i="5"/>
  <c r="G182" i="7"/>
  <c r="G146" i="7"/>
  <c r="G184" i="7"/>
  <c r="G175" i="7"/>
  <c r="G163" i="7"/>
  <c r="BM64" i="2"/>
  <c r="BR4" i="2"/>
  <c r="G148" i="5"/>
  <c r="P145" i="7"/>
  <c r="O145" i="7"/>
  <c r="K145" i="7"/>
  <c r="G183" i="7"/>
  <c r="G149" i="5"/>
  <c r="O142" i="7"/>
  <c r="K142" i="7"/>
  <c r="P142" i="7"/>
  <c r="G166" i="7"/>
  <c r="G154" i="7"/>
  <c r="G173" i="5"/>
  <c r="G156" i="7"/>
  <c r="G167" i="7"/>
  <c r="G157" i="7"/>
  <c r="G150" i="7"/>
  <c r="G179" i="5"/>
  <c r="G186" i="7"/>
  <c r="P146" i="7"/>
  <c r="O146" i="7"/>
  <c r="K146" i="7"/>
  <c r="P149" i="7"/>
  <c r="O149" i="7"/>
  <c r="K149" i="7"/>
  <c r="G174" i="7"/>
  <c r="G188" i="7"/>
  <c r="G152" i="7"/>
  <c r="G180" i="5"/>
  <c r="P147" i="7"/>
  <c r="O147" i="7"/>
  <c r="K147" i="7"/>
  <c r="G189" i="7"/>
  <c r="G170" i="5"/>
  <c r="G144" i="7"/>
  <c r="G148" i="7"/>
  <c r="G177" i="5"/>
  <c r="G165" i="7"/>
  <c r="K148" i="5"/>
  <c r="P148" i="5"/>
  <c r="O148" i="5"/>
  <c r="O145" i="5"/>
  <c r="P145" i="5"/>
  <c r="Q145" i="5" s="1"/>
  <c r="K145" i="5"/>
  <c r="BH64" i="6"/>
  <c r="BM4" i="6"/>
  <c r="G186" i="5"/>
  <c r="G174" i="5"/>
  <c r="G157" i="5"/>
  <c r="G164" i="5"/>
  <c r="G151" i="5"/>
  <c r="G168" i="5"/>
  <c r="G191" i="7"/>
  <c r="G150" i="5"/>
  <c r="G155" i="7"/>
  <c r="G181" i="7"/>
  <c r="G172" i="7"/>
  <c r="G145" i="5"/>
  <c r="G160" i="7"/>
  <c r="P143" i="7"/>
  <c r="O143" i="7"/>
  <c r="K143" i="7"/>
  <c r="Q150" i="5" l="1"/>
  <c r="Q142" i="7"/>
  <c r="BR64" i="2"/>
  <c r="BW4" i="2"/>
  <c r="Q149" i="7"/>
  <c r="Q144" i="7"/>
  <c r="Q146" i="7"/>
  <c r="Q150" i="7"/>
  <c r="Q146" i="5"/>
  <c r="Q151" i="7"/>
  <c r="Q143" i="7"/>
  <c r="BR64" i="4"/>
  <c r="BW4" i="4"/>
  <c r="BM64" i="6"/>
  <c r="BR4" i="6"/>
  <c r="Q147" i="7"/>
  <c r="Q148" i="5"/>
  <c r="Q145" i="7"/>
  <c r="Q148" i="7"/>
  <c r="BW64" i="4" l="1"/>
  <c r="CB4" i="4"/>
  <c r="CB64" i="4" s="1"/>
  <c r="BW64" i="2"/>
  <c r="CB4" i="2"/>
  <c r="CB64" i="2" s="1"/>
  <c r="BR64" i="6"/>
  <c r="BW4" i="6"/>
  <c r="BW64" i="6" l="1"/>
  <c r="CB4" i="6"/>
  <c r="CB64" i="6" s="1"/>
</calcChain>
</file>

<file path=xl/sharedStrings.xml><?xml version="1.0" encoding="utf-8"?>
<sst xmlns="http://schemas.openxmlformats.org/spreadsheetml/2006/main" count="1908" uniqueCount="352">
  <si>
    <t>CAMPEONATO DE MARCAS</t>
  </si>
  <si>
    <t>3ER MEETING 2026</t>
  </si>
  <si>
    <t>PARTICIPACIÓN</t>
  </si>
  <si>
    <t>ACUMULADO ANTERIOR</t>
  </si>
  <si>
    <t>INSCRIPCION</t>
  </si>
  <si>
    <t>SEMANAS</t>
  </si>
  <si>
    <t>MEETING ANTERIOR</t>
  </si>
  <si>
    <t>SEMANAS ACUMULADAS ANTERIOR</t>
  </si>
  <si>
    <t>00</t>
  </si>
  <si>
    <t>CODIGO</t>
  </si>
  <si>
    <t>NOMBRE PARTICIPANTE</t>
  </si>
  <si>
    <t>PAGO INSCRIPCION</t>
  </si>
  <si>
    <t>06/09/2026</t>
  </si>
  <si>
    <t>13/09/2026</t>
  </si>
  <si>
    <t>20/09/2026</t>
  </si>
  <si>
    <t>27/09/2026</t>
  </si>
  <si>
    <t>04/10/2026</t>
  </si>
  <si>
    <t>11/10/2026</t>
  </si>
  <si>
    <t>18/10/2026</t>
  </si>
  <si>
    <t>25/10/2026</t>
  </si>
  <si>
    <t>Columna1</t>
  </si>
  <si>
    <t>Columna2</t>
  </si>
  <si>
    <t>Columna3</t>
  </si>
  <si>
    <t>Columna4</t>
  </si>
  <si>
    <t>Columna5</t>
  </si>
  <si>
    <t>SEMANAS PARTICIPADAS</t>
  </si>
  <si>
    <t>APORTADO ACUMULADO DEL MEETING</t>
  </si>
  <si>
    <t>APORTADO ACUMULADO TOTAL ACIERTOS</t>
  </si>
  <si>
    <t>ACUMULADO A COBRAR TOTAL ACIERTOS</t>
  </si>
  <si>
    <t>COD 01</t>
  </si>
  <si>
    <t>GANADORES Y PULSO</t>
  </si>
  <si>
    <t>X</t>
  </si>
  <si>
    <t>SI</t>
  </si>
  <si>
    <t>COD 02</t>
  </si>
  <si>
    <t>JESUS QUERALES</t>
  </si>
  <si>
    <t>COD 03</t>
  </si>
  <si>
    <t>MUÑECA DEL HIPISMO</t>
  </si>
  <si>
    <t>COD 04</t>
  </si>
  <si>
    <t>EL HIPICO 701</t>
  </si>
  <si>
    <t>O</t>
  </si>
  <si>
    <t>COD 05</t>
  </si>
  <si>
    <t>MARCOS HIDALGO</t>
  </si>
  <si>
    <t>COD 06</t>
  </si>
  <si>
    <t>JESUS ROJAS</t>
  </si>
  <si>
    <t>NO</t>
  </si>
  <si>
    <t>COD 07</t>
  </si>
  <si>
    <t>NELSON OSORIO</t>
  </si>
  <si>
    <t>COD 08</t>
  </si>
  <si>
    <t>RUBEN DARIO CARDENAS</t>
  </si>
  <si>
    <t>COD 09</t>
  </si>
  <si>
    <t>JESUS ARASME</t>
  </si>
  <si>
    <t>COD 10</t>
  </si>
  <si>
    <t>JESUS CARAYACA</t>
  </si>
  <si>
    <t>COD 11</t>
  </si>
  <si>
    <t>ANDERSON ZERPA</t>
  </si>
  <si>
    <t>COD 12</t>
  </si>
  <si>
    <t>COD 13</t>
  </si>
  <si>
    <t>NOTAS HIPICAS</t>
  </si>
  <si>
    <t>COD 14</t>
  </si>
  <si>
    <t>PEDRO ALVAREZ</t>
  </si>
  <si>
    <t>COD 15</t>
  </si>
  <si>
    <t>CARLOS SUAREZ</t>
  </si>
  <si>
    <t>COD 16</t>
  </si>
  <si>
    <t>PODER HIPICO</t>
  </si>
  <si>
    <t>COD 17</t>
  </si>
  <si>
    <t>FERNANDO VALDIRIO</t>
  </si>
  <si>
    <t>COD 18</t>
  </si>
  <si>
    <t>CASTOR CHIRINOS</t>
  </si>
  <si>
    <t>-</t>
  </si>
  <si>
    <t>COD 19</t>
  </si>
  <si>
    <t>EL SAMURAI HIPICO</t>
  </si>
  <si>
    <t>COD 20</t>
  </si>
  <si>
    <t>CHINO</t>
  </si>
  <si>
    <t>COD 21</t>
  </si>
  <si>
    <t>WILMER</t>
  </si>
  <si>
    <t>COD 22</t>
  </si>
  <si>
    <t>ROGER PIÑA</t>
  </si>
  <si>
    <t>COD 23</t>
  </si>
  <si>
    <t>GILBERT</t>
  </si>
  <si>
    <t>COD 24</t>
  </si>
  <si>
    <t>COD 25</t>
  </si>
  <si>
    <t>GLEY GARCIA</t>
  </si>
  <si>
    <t>COD 26</t>
  </si>
  <si>
    <t>PEDRO TABEROA</t>
  </si>
  <si>
    <t>COD 27</t>
  </si>
  <si>
    <t>ANDERSON HERNANDEZ</t>
  </si>
  <si>
    <t>COD 28</t>
  </si>
  <si>
    <t>FRANKLIN DELGADO</t>
  </si>
  <si>
    <t>COD 29</t>
  </si>
  <si>
    <t>COD 30</t>
  </si>
  <si>
    <t>CARIACO</t>
  </si>
  <si>
    <t>COD 31</t>
  </si>
  <si>
    <t>ALBIN</t>
  </si>
  <si>
    <t>COD 32</t>
  </si>
  <si>
    <t>TONY CURTIS</t>
  </si>
  <si>
    <t>COD 33</t>
  </si>
  <si>
    <t>JOSE LUIS ANTUNEZ</t>
  </si>
  <si>
    <t>COD 34</t>
  </si>
  <si>
    <t>ROBERTO CARLOS</t>
  </si>
  <si>
    <t>COD 35</t>
  </si>
  <si>
    <t>YOVANNY</t>
  </si>
  <si>
    <t>COD 36</t>
  </si>
  <si>
    <t>EDGAR ALEXANDER</t>
  </si>
  <si>
    <t>COD 37</t>
  </si>
  <si>
    <t>GLADIADOR HIPICO</t>
  </si>
  <si>
    <t>COD 38</t>
  </si>
  <si>
    <t>DERVIN</t>
  </si>
  <si>
    <t>COD 39</t>
  </si>
  <si>
    <t>EL TAMAO</t>
  </si>
  <si>
    <t>COD 40</t>
  </si>
  <si>
    <t>FRED</t>
  </si>
  <si>
    <t>COD 41</t>
  </si>
  <si>
    <t>ENRIQUE LEFEBRE</t>
  </si>
  <si>
    <t>COD 42</t>
  </si>
  <si>
    <t>COD 43</t>
  </si>
  <si>
    <t>COD 44</t>
  </si>
  <si>
    <t>COD 45</t>
  </si>
  <si>
    <t>GUADIZMI</t>
  </si>
  <si>
    <t>COD 46</t>
  </si>
  <si>
    <t>COD 47</t>
  </si>
  <si>
    <t>COD 48</t>
  </si>
  <si>
    <t>COD 49</t>
  </si>
  <si>
    <t>COD 50</t>
  </si>
  <si>
    <t>RECAUDADO INSCRIPCION</t>
  </si>
  <si>
    <t>TOTAL PREMIO</t>
  </si>
  <si>
    <t>SEMANAS ACUMULADAS</t>
  </si>
  <si>
    <t>SOCIOS</t>
  </si>
  <si>
    <t>NRO DE PARTICIPANTES POR SEMANA</t>
  </si>
  <si>
    <t>1ER LUGAR</t>
  </si>
  <si>
    <t>2DO LUGAR</t>
  </si>
  <si>
    <t>3ER LUGAR YCATEGORIAS</t>
  </si>
  <si>
    <t>TOTAL PREMIO MEETING</t>
  </si>
  <si>
    <t>MONTO ACUMULADO POR SEMANA</t>
  </si>
  <si>
    <t>PREMIO</t>
  </si>
  <si>
    <t>CAMPEONATO DE MARCAS LA RINCONADA</t>
  </si>
  <si>
    <t>MEETING</t>
  </si>
  <si>
    <t>FECHA</t>
  </si>
  <si>
    <t>PARTICIPACION</t>
  </si>
  <si>
    <t>COMBINACIONES</t>
  </si>
  <si>
    <t>PAGADAS</t>
  </si>
  <si>
    <t>RECAUDADO</t>
  </si>
  <si>
    <t>SEMANA 1</t>
  </si>
  <si>
    <t>NO ENVIÓ</t>
  </si>
  <si>
    <t>PRUEBAS</t>
  </si>
  <si>
    <t xml:space="preserve">ORDEN DE LLEGADA </t>
  </si>
  <si>
    <t>PORCENTAJE DE ACIERTOS</t>
  </si>
  <si>
    <t>PENDIENTE</t>
  </si>
  <si>
    <t>FIJAS</t>
  </si>
  <si>
    <t>DIV</t>
  </si>
  <si>
    <t>UNA MARCA</t>
  </si>
  <si>
    <t>DOS MARCAS</t>
  </si>
  <si>
    <t>TRES MARCAS</t>
  </si>
  <si>
    <t>SEMANA</t>
  </si>
  <si>
    <t>VIENEN</t>
  </si>
  <si>
    <t>GENERAL</t>
  </si>
  <si>
    <t>PAGO</t>
  </si>
  <si>
    <t>ACIERTO DE FIJAS</t>
  </si>
  <si>
    <t>ACIERTO DE SUPERFIJAS</t>
  </si>
  <si>
    <t>0</t>
  </si>
  <si>
    <t>COD</t>
  </si>
  <si>
    <t>TIPO</t>
  </si>
  <si>
    <t>1</t>
  </si>
  <si>
    <t>2</t>
  </si>
  <si>
    <t>22</t>
  </si>
  <si>
    <t>3</t>
  </si>
  <si>
    <t>PTS</t>
  </si>
  <si>
    <t>12</t>
  </si>
  <si>
    <t>Columna23</t>
  </si>
  <si>
    <t>Columna28</t>
  </si>
  <si>
    <t>Columna53</t>
  </si>
  <si>
    <t>Columna52</t>
  </si>
  <si>
    <t>Columna6</t>
  </si>
  <si>
    <t>Columna7</t>
  </si>
  <si>
    <t>Columna8</t>
  </si>
  <si>
    <t>Columna83</t>
  </si>
  <si>
    <t>Columna82</t>
  </si>
  <si>
    <t>Columna9</t>
  </si>
  <si>
    <t>Columna10</t>
  </si>
  <si>
    <t>Columna11</t>
  </si>
  <si>
    <t>Columna113</t>
  </si>
  <si>
    <t>Columna112</t>
  </si>
  <si>
    <t>Columna12</t>
  </si>
  <si>
    <t>1RA</t>
  </si>
  <si>
    <t>2DA</t>
  </si>
  <si>
    <t>2DA2</t>
  </si>
  <si>
    <t>3RA</t>
  </si>
  <si>
    <t>Columna15</t>
  </si>
  <si>
    <t>Columna16</t>
  </si>
  <si>
    <t>Columna17</t>
  </si>
  <si>
    <t>Columna173</t>
  </si>
  <si>
    <t>Columna172</t>
  </si>
  <si>
    <t>Columna18</t>
  </si>
  <si>
    <t>123</t>
  </si>
  <si>
    <t>555</t>
  </si>
  <si>
    <t>556</t>
  </si>
  <si>
    <t>111</t>
  </si>
  <si>
    <t>Columna21</t>
  </si>
  <si>
    <t>AAAA</t>
  </si>
  <si>
    <t>BBBB</t>
  </si>
  <si>
    <t>Columna13</t>
  </si>
  <si>
    <t>CCCC</t>
  </si>
  <si>
    <t>Columna24</t>
  </si>
  <si>
    <t>Columna25</t>
  </si>
  <si>
    <t>Columna26</t>
  </si>
  <si>
    <t>Columna263</t>
  </si>
  <si>
    <t>Columna262</t>
  </si>
  <si>
    <t>Columna27</t>
  </si>
  <si>
    <t>Columna272</t>
  </si>
  <si>
    <t>Columna273</t>
  </si>
  <si>
    <t>Columna2732</t>
  </si>
  <si>
    <t>Columna274</t>
  </si>
  <si>
    <t>Columna275</t>
  </si>
  <si>
    <t>Columna276</t>
  </si>
  <si>
    <t>Columna277</t>
  </si>
  <si>
    <t>Columna2772</t>
  </si>
  <si>
    <t>Columna278</t>
  </si>
  <si>
    <t>Columna279</t>
  </si>
  <si>
    <t>Columna280</t>
  </si>
  <si>
    <t>Columna281</t>
  </si>
  <si>
    <t>Columna2812</t>
  </si>
  <si>
    <t>Columna282</t>
  </si>
  <si>
    <t>Columna283</t>
  </si>
  <si>
    <t>Columna2802</t>
  </si>
  <si>
    <t>Columna2813</t>
  </si>
  <si>
    <t>Columna28124</t>
  </si>
  <si>
    <t>Columna2825</t>
  </si>
  <si>
    <t>Columna28310</t>
  </si>
  <si>
    <t>Columna2803</t>
  </si>
  <si>
    <t>Columna2814</t>
  </si>
  <si>
    <t>Columna28125</t>
  </si>
  <si>
    <t>Columna2826</t>
  </si>
  <si>
    <t>Columna2837</t>
  </si>
  <si>
    <t>Columna2804</t>
  </si>
  <si>
    <t>Columna2815</t>
  </si>
  <si>
    <t>Columna28126</t>
  </si>
  <si>
    <t>Columna2827</t>
  </si>
  <si>
    <t>Columna2838</t>
  </si>
  <si>
    <t>Columna14</t>
  </si>
  <si>
    <t>Columna19</t>
  </si>
  <si>
    <t>Columna20</t>
  </si>
  <si>
    <t>Columna29</t>
  </si>
  <si>
    <t>Columna30</t>
  </si>
  <si>
    <t>Columna31</t>
  </si>
  <si>
    <t>Columna32</t>
  </si>
  <si>
    <t>Columna34</t>
  </si>
  <si>
    <t>Columna35</t>
  </si>
  <si>
    <t>Columna36</t>
  </si>
  <si>
    <t>Columna37</t>
  </si>
  <si>
    <t>Columna38</t>
  </si>
  <si>
    <t>Columna22</t>
  </si>
  <si>
    <t>Columna33</t>
  </si>
  <si>
    <t>Columna44</t>
  </si>
  <si>
    <t>CARRERA</t>
  </si>
  <si>
    <t>DIVIDENDO</t>
  </si>
  <si>
    <t>F</t>
  </si>
  <si>
    <t>SF</t>
  </si>
  <si>
    <t>MAYOR DIV.</t>
  </si>
  <si>
    <t>N° GAN</t>
  </si>
  <si>
    <t>POSICION</t>
  </si>
  <si>
    <t>* PRIMERA MARCA GANADORA</t>
  </si>
  <si>
    <t>1 PUNTO ADICIONAL</t>
  </si>
  <si>
    <t xml:space="preserve">*SUPER FIJO ACERTADO </t>
  </si>
  <si>
    <t>4 PUNTOS ADICIONALES</t>
  </si>
  <si>
    <t>ACUMULADO PREMIO 1ER LUGAR</t>
  </si>
  <si>
    <t>TOTAL RECAUDADO</t>
  </si>
  <si>
    <t>DIV.</t>
  </si>
  <si>
    <t>* SEGUNDA MARCA GANADORA</t>
  </si>
  <si>
    <t>ACUMULADO PREMIO 2DO LUGAR</t>
  </si>
  <si>
    <t>20% CASA</t>
  </si>
  <si>
    <t>* TERCERA MARCA GANADORA</t>
  </si>
  <si>
    <t xml:space="preserve">*EXACTA PERFECTA ACERTADA </t>
  </si>
  <si>
    <t>ACUMULADO PREMIO 3ER LUGAR</t>
  </si>
  <si>
    <t>ACUM. TOTAL ACIERTOS</t>
  </si>
  <si>
    <t>* FIJA ACERTADA</t>
  </si>
  <si>
    <t xml:space="preserve">*TRIFECTA ACERTADA </t>
  </si>
  <si>
    <t>2 PUNTOS ADICIONALES</t>
  </si>
  <si>
    <t>ACUMULADO PREMIO FIJAS Y EFECTIVIDAD C/U</t>
  </si>
  <si>
    <t>SUMA ACUMULADO</t>
  </si>
  <si>
    <t>FAVORITOS DEL CAMPEONATO DE MARCAS</t>
  </si>
  <si>
    <t>DOMINGO</t>
  </si>
  <si>
    <t>N°</t>
  </si>
  <si>
    <t>1°</t>
  </si>
  <si>
    <t>2°</t>
  </si>
  <si>
    <t>3°</t>
  </si>
  <si>
    <t>CATEDRA PRONOSTICADORES GANADORES Y PULSO RHD</t>
  </si>
  <si>
    <t>EJEMPLAR</t>
  </si>
  <si>
    <t>FACTOR</t>
  </si>
  <si>
    <t>BS</t>
  </si>
  <si>
    <t>BOLETO</t>
  </si>
  <si>
    <t>7/5</t>
  </si>
  <si>
    <t>3/2</t>
  </si>
  <si>
    <t>8/5</t>
  </si>
  <si>
    <t>9/5</t>
  </si>
  <si>
    <t>5/2</t>
  </si>
  <si>
    <t>7/2</t>
  </si>
  <si>
    <t>9/2</t>
  </si>
  <si>
    <t>CAMPEONATO DE MARCAS                        RANKING SEMANAL</t>
  </si>
  <si>
    <t>PUNTOS</t>
  </si>
  <si>
    <t>LOS MÁS DESTACADOS DE LA SEMANA</t>
  </si>
  <si>
    <t>CATEGORIA</t>
  </si>
  <si>
    <t>LOGRO</t>
  </si>
  <si>
    <t>MAS PUNTOS</t>
  </si>
  <si>
    <t>MAS 1RAS MARCAS</t>
  </si>
  <si>
    <t>MAS 2DAS MARCAS</t>
  </si>
  <si>
    <t>MAS 3RAS MARCAS</t>
  </si>
  <si>
    <t>MAYOR DIVIDENDO DIA</t>
  </si>
  <si>
    <t>MAYOR DIV. SUPERFIJA</t>
  </si>
  <si>
    <t>MAYOR DIV. FIJA</t>
  </si>
  <si>
    <t>MAS PUNTOS EN LA SEMANA</t>
  </si>
  <si>
    <t>MAS ACIERTOS EN 1RA MARCA</t>
  </si>
  <si>
    <t>MAS ACIERTOS EN 2 MARCAS</t>
  </si>
  <si>
    <t>MAS ACIERTOS EN 3 MARCAS</t>
  </si>
  <si>
    <t>MAYOR DIVIDENDO DEL DIA</t>
  </si>
  <si>
    <t>LINO EL ADIVINO</t>
  </si>
  <si>
    <t>MARCA MAYOR DIVIDENDO</t>
  </si>
  <si>
    <t>SUPERFIJA MAYOR DIVIDENDO</t>
  </si>
  <si>
    <t>SOLANA</t>
  </si>
  <si>
    <t>FIJA MAYOR DIVIDENDO</t>
  </si>
  <si>
    <t>ASTUTO</t>
  </si>
  <si>
    <t>RANKING GANADORES ACERTADOS</t>
  </si>
  <si>
    <t>RANKING FIJAS ACERTADAS</t>
  </si>
  <si>
    <t>CARRERAS</t>
  </si>
  <si>
    <t>ACIERTOS</t>
  </si>
  <si>
    <t>RENDIMIEN   TO</t>
  </si>
  <si>
    <t>RENDIMIENTO</t>
  </si>
  <si>
    <t>SEMANA 2</t>
  </si>
  <si>
    <t>CAMPEONATO DE MARCAS                            RANKING GENERAL</t>
  </si>
  <si>
    <t>CAMPEONATO DE MARCAS                            RANKING SEMANAL</t>
  </si>
  <si>
    <t>GRAN ANDRES</t>
  </si>
  <si>
    <t xml:space="preserve"> - </t>
  </si>
  <si>
    <t>BLACK STONE</t>
  </si>
  <si>
    <t>TINTA FINA</t>
  </si>
  <si>
    <t>SEMANA 3</t>
  </si>
  <si>
    <t>CÓDIGO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</si>
  <si>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</si>
  <si>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</si>
  <si>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</si>
  <si>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</si>
  <si>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</si>
  <si>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</si>
  <si>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</si>
  <si>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</si>
  <si>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</si>
  <si>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</si>
  <si>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</si>
  <si>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</si>
  <si>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C-13</t>
  </si>
  <si>
    <t>C-14</t>
  </si>
  <si>
    <t>C-15</t>
  </si>
  <si>
    <t>C-16</t>
  </si>
  <si>
    <t>N</t>
  </si>
  <si>
    <t>JEAN MARCO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</si>
</sst>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1" formatCode="_ * #,##0_ ;_ * \-#,##0_ ;_ * &quot;-&quot;_ ;_ @_ "/>
    <numFmt numFmtId="43" formatCode="_ * #,##0.00_ ;_ * \-#,##0.00_ ;_ * &quot;-&quot;??_ ;_ @_ "/>
    <numFmt numFmtId="164" formatCode="_ * #,##0.0_ ;_ * \-#,##0.0_ ;_ * &quot;-&quot;?_ ;_ @_ "/>
    <numFmt numFmtId="165" formatCode="&quot;CARRERA&quot;\ 0"/>
    <numFmt numFmtId="166" formatCode="&quot;COD&quot;\ 00"/>
    <numFmt numFmtId="167" formatCode="0.0"/>
    <numFmt numFmtId="168" formatCode="&quot;COD &quot;0"/>
    <numFmt numFmtId="169" formatCode="0&quot;C&quot;"/>
    <numFmt numFmtId="170" formatCode="&quot;CARRERA &quot;0"/>
  </numFmts>
  <fonts count="9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rgb="FF002060"/>
      <name val="Bahnschrift SemiCondensed"/>
      <family val="2"/>
    </font>
    <font>
      <sz val="9"/>
      <color theme="0"/>
      <name val="Bahnschrift SemiCondensed"/>
      <family val="2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Bahnschrift SemiCondensed"/>
      <family val="2"/>
    </font>
    <font>
      <sz val="14"/>
      <color theme="0"/>
      <name val="Bahnschrift SemiCondensed"/>
      <family val="2"/>
    </font>
    <font>
      <b/>
      <sz val="14"/>
      <color rgb="FF002060"/>
      <name val="Aptos Narrow"/>
      <family val="2"/>
      <scheme val="minor"/>
    </font>
    <font>
      <b/>
      <sz val="14"/>
      <color rgb="FFFFFF00"/>
      <name val="Aptos Narrow"/>
      <family val="2"/>
      <scheme val="minor"/>
    </font>
    <font>
      <sz val="14"/>
      <color rgb="FFFFFF00"/>
      <name val="Bahnschrift SemiCondensed"/>
      <family val="2"/>
    </font>
    <font>
      <sz val="10"/>
      <color theme="0"/>
      <name val="Bahnschrift SemiCondensed"/>
      <family val="2"/>
    </font>
    <font>
      <sz val="11"/>
      <color theme="0"/>
      <name val="Bahnschrift SemiCondensed"/>
      <family val="2"/>
    </font>
    <font>
      <b/>
      <sz val="10"/>
      <color theme="0"/>
      <name val="Bahnschrift SemiCondensed"/>
      <family val="2"/>
    </font>
    <font>
      <b/>
      <sz val="12"/>
      <color theme="0"/>
      <name val="Aptos Narrow"/>
      <family val="2"/>
      <scheme val="minor"/>
    </font>
    <font>
      <sz val="14"/>
      <color theme="1"/>
      <name val="Bahnschrift SemiCondensed"/>
      <family val="2"/>
    </font>
    <font>
      <b/>
      <sz val="14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rgb="FFFFFF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rgb="FFFFFF00"/>
      <name val="Aptos Narrow"/>
      <family val="2"/>
      <scheme val="minor"/>
    </font>
    <font>
      <b/>
      <sz val="10"/>
      <color rgb="FFFFFF00"/>
      <name val="Bahnschrift SemiBold SemiConden"/>
      <family val="2"/>
    </font>
    <font>
      <b/>
      <sz val="10"/>
      <color rgb="FFFFFF00"/>
      <name val="Bahnschrift SemiCondensed"/>
      <family val="2"/>
    </font>
    <font>
      <b/>
      <sz val="9"/>
      <color rgb="FFFFFF00"/>
      <name val="Bahnschrift SemiCondensed"/>
      <family val="2"/>
    </font>
    <font>
      <sz val="11"/>
      <color rgb="FFFFFF00"/>
      <name val="Aptos Narrow"/>
      <family val="2"/>
      <scheme val="minor"/>
    </font>
    <font>
      <b/>
      <sz val="14"/>
      <color rgb="FFFFFF00"/>
      <name val="Bahnschrift SemiCondensed"/>
      <family val="2"/>
    </font>
    <font>
      <b/>
      <sz val="14"/>
      <color theme="1"/>
      <name val="Bahnschrift SemiCondensed"/>
      <family val="2"/>
    </font>
    <font>
      <b/>
      <sz val="12"/>
      <color theme="1"/>
      <name val="Bahnschrift SemiCondensed"/>
      <family val="2"/>
    </font>
    <font>
      <b/>
      <sz val="16"/>
      <color theme="1"/>
      <name val="Bahnschrift SemiCondensed"/>
      <family val="2"/>
    </font>
    <font>
      <b/>
      <sz val="22"/>
      <color theme="1"/>
      <name val="Bahnschrift SemiCondensed"/>
      <family val="2"/>
    </font>
    <font>
      <sz val="10"/>
      <color rgb="FFFFFF00"/>
      <name val="Aptos Narrow"/>
      <family val="2"/>
      <scheme val="minor"/>
    </font>
    <font>
      <sz val="9"/>
      <color rgb="FFFFFF00"/>
      <name val="Aptos Narrow"/>
      <family val="2"/>
      <scheme val="minor"/>
    </font>
    <font>
      <b/>
      <sz val="11"/>
      <color theme="1"/>
      <name val="Bahnschrift SemiCondensed"/>
      <family val="2"/>
    </font>
    <font>
      <b/>
      <sz val="18"/>
      <color theme="1"/>
      <name val="Bahnschrift SemiCondensed"/>
      <family val="2"/>
    </font>
    <font>
      <b/>
      <sz val="10"/>
      <color theme="1"/>
      <name val="Bahnschrift SemiCondensed"/>
      <family val="2"/>
    </font>
    <font>
      <b/>
      <sz val="18"/>
      <color rgb="FFFFFF00"/>
      <name val="Bahnschrift SemiCondensed"/>
      <family val="2"/>
    </font>
    <font>
      <sz val="18"/>
      <color rgb="FFFFFF00"/>
      <name val="Bahnschrift SemiCondensed"/>
      <family val="2"/>
    </font>
    <font>
      <sz val="14"/>
      <name val="Bahnschrift SemiCondensed"/>
      <family val="2"/>
    </font>
    <font>
      <sz val="16"/>
      <color rgb="FFFFFF00"/>
      <name val="Bahnschrift SemiCondensed"/>
      <family val="2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rgb="FFFFFF0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rgb="FF00B0F0"/>
      <name val="Aptos Narrow"/>
      <family val="2"/>
      <scheme val="minor"/>
    </font>
    <font>
      <b/>
      <sz val="14"/>
      <color theme="1"/>
      <name val="ADLaM Display"/>
    </font>
    <font>
      <sz val="14"/>
      <color rgb="FF000000"/>
      <name val="ADLaM Display"/>
    </font>
    <font>
      <sz val="14"/>
      <color rgb="FF002060"/>
      <name val="ADLaM Display"/>
    </font>
    <font>
      <sz val="14"/>
      <color theme="0"/>
      <name val="ADLaM Display"/>
    </font>
    <font>
      <b/>
      <sz val="14"/>
      <name val="ADLaM Display"/>
    </font>
    <font>
      <sz val="14"/>
      <color theme="1"/>
      <name val="ADLaM Display"/>
    </font>
    <font>
      <sz val="11"/>
      <name val="Calibri"/>
      <family val="2"/>
    </font>
    <font>
      <b/>
      <sz val="28"/>
      <color rgb="FFFFFF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rgb="FFFFFF00"/>
      <name val="Aptos Narrow"/>
      <family val="2"/>
      <scheme val="minor"/>
    </font>
    <font>
      <b/>
      <sz val="24"/>
      <color rgb="FFFFFF00"/>
      <name val="Aptos Narrow"/>
      <family val="2"/>
      <scheme val="minor"/>
    </font>
    <font>
      <sz val="20"/>
      <color rgb="FFFFFF00"/>
      <name val="Aptos Narrow"/>
      <family val="2"/>
      <scheme val="minor"/>
    </font>
    <font>
      <b/>
      <sz val="18"/>
      <name val="Bahnschrift SemiCondensed"/>
      <family val="2"/>
    </font>
    <font>
      <sz val="26"/>
      <color theme="1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8"/>
      <color rgb="FFFFFF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rgb="FFFFFF00"/>
      <name val="Aptos Narrow"/>
      <family val="2"/>
      <scheme val="minor"/>
    </font>
    <font>
      <b/>
      <sz val="16"/>
      <name val="Aptos Narrow"/>
      <family val="2"/>
      <scheme val="minor"/>
    </font>
    <font>
      <sz val="16"/>
      <color rgb="FF002060"/>
      <name val="Aptos Narrow"/>
      <family val="2"/>
      <scheme val="minor"/>
    </font>
    <font>
      <sz val="16"/>
      <name val="Aptos Narrow"/>
      <family val="2"/>
      <scheme val="minor"/>
    </font>
    <font>
      <b/>
      <sz val="20"/>
      <name val="Aptos Narrow"/>
      <family val="2"/>
      <scheme val="minor"/>
    </font>
    <font>
      <sz val="16"/>
      <color rgb="FF2603B9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18"/>
      <color theme="4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6"/>
      <color theme="0"/>
      <name val="Bahnschrift SemiCondensed"/>
      <family val="2"/>
    </font>
    <font>
      <b/>
      <sz val="16"/>
      <color theme="0"/>
      <name val="Bahnschrift SemiBold SemiConden"/>
      <family val="2"/>
    </font>
    <font>
      <b/>
      <sz val="20"/>
      <name val="Bahnschrift SemiCondensed"/>
      <family val="2"/>
    </font>
    <font>
      <b/>
      <sz val="16"/>
      <color rgb="FF2603B9"/>
      <name val="Aptos Narrow"/>
      <family val="2"/>
      <scheme val="minor"/>
    </font>
    <font>
      <b/>
      <sz val="8"/>
      <color rgb="FFFFFF00"/>
      <name val="Aptos Narrow"/>
      <family val="2"/>
      <scheme val="minor"/>
    </font>
    <font>
      <b/>
      <sz val="14"/>
      <color rgb="FF002060"/>
      <name val="Bahnschrift SemiBold SemiConden"/>
      <family val="2"/>
    </font>
    <font>
      <b/>
      <sz val="14"/>
      <color theme="0"/>
      <name val="Bahnschrift SemiBold SemiConden"/>
      <family val="2"/>
    </font>
    <font>
      <b/>
      <sz val="16"/>
      <color rgb="FF002060"/>
      <name val="Bahnschrift SemiBold SemiConden"/>
      <family val="2"/>
    </font>
    <font>
      <b/>
      <sz val="18"/>
      <color theme="0"/>
      <name val="Bahnschrift SemiBold SemiConden"/>
      <family val="2"/>
    </font>
    <font>
      <b/>
      <sz val="24"/>
      <color rgb="FF002060"/>
      <name val="Bahnschrift SemiBold SemiConden"/>
      <family val="2"/>
    </font>
    <font>
      <sz val="16"/>
      <color rgb="FFFFFF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6F61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darkDown">
        <fgColor rgb="FF002060"/>
        <bgColor rgb="FF0070C0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901AF"/>
        <bgColor indexed="64"/>
      </patternFill>
    </fill>
    <fill>
      <gradientFill degree="90">
        <stop position="0">
          <color theme="1"/>
        </stop>
        <stop position="0.5">
          <color rgb="FF0070C0"/>
        </stop>
        <stop position="1">
          <color theme="1"/>
        </stop>
      </gradientFill>
    </fill>
    <fill>
      <patternFill patternType="solid">
        <fgColor rgb="FFD9E3F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darkDown">
        <fgColor theme="1"/>
        <bgColor theme="1" tint="0.14990691854609822"/>
      </patternFill>
    </fill>
    <fill>
      <patternFill patternType="solid">
        <fgColor rgb="FF2603B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gradientFill degree="90">
        <stop position="0">
          <color theme="2"/>
        </stop>
        <stop position="1">
          <color rgb="FF002060"/>
        </stop>
      </gradientFill>
    </fill>
    <fill>
      <patternFill patternType="darkDown">
        <fgColor theme="8" tint="-0.24994659260841701"/>
        <bgColor rgb="FF0070C0"/>
      </patternFill>
    </fill>
    <fill>
      <patternFill patternType="darkDown">
        <fgColor theme="1"/>
        <bgColor rgb="FF0070C0"/>
      </patternFill>
    </fill>
    <fill>
      <patternFill patternType="lightGrid">
        <bgColor theme="1" tint="0.2499465926084170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0" fontId="60" fillId="0" borderId="0">
      <alignment vertical="center"/>
    </xf>
  </cellStyleXfs>
  <cellXfs count="586">
    <xf numFmtId="0" fontId="0" fillId="0" borderId="0" xfId="0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22" fillId="15" borderId="9" xfId="0" applyFont="1" applyFill="1" applyBorder="1"/>
    <xf numFmtId="0" fontId="22" fillId="15" borderId="17" xfId="0" applyFont="1" applyFill="1" applyBorder="1"/>
    <xf numFmtId="0" fontId="2" fillId="0" borderId="0" xfId="0" applyFont="1" applyAlignment="1">
      <alignment horizontal="center" vertical="center"/>
    </xf>
    <xf numFmtId="0" fontId="4" fillId="15" borderId="1" xfId="0" applyFont="1" applyFill="1" applyBorder="1" applyAlignment="1">
      <alignment vertical="center"/>
    </xf>
    <xf numFmtId="0" fontId="4" fillId="15" borderId="2" xfId="0" applyFont="1" applyFill="1" applyBorder="1" applyAlignment="1">
      <alignment vertical="center"/>
    </xf>
    <xf numFmtId="0" fontId="5" fillId="15" borderId="2" xfId="0" applyFont="1" applyFill="1" applyBorder="1" applyAlignment="1">
      <alignment vertical="center"/>
    </xf>
    <xf numFmtId="0" fontId="5" fillId="15" borderId="2" xfId="0" applyFont="1" applyFill="1" applyBorder="1" applyAlignment="1">
      <alignment vertical="center" wrapText="1"/>
    </xf>
    <xf numFmtId="0" fontId="31" fillId="15" borderId="9" xfId="0" applyFont="1" applyFill="1" applyBorder="1" applyAlignment="1">
      <alignment horizontal="center" vertical="center"/>
    </xf>
    <xf numFmtId="0" fontId="32" fillId="4" borderId="13" xfId="0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Continuous" vertical="center" wrapText="1"/>
    </xf>
    <xf numFmtId="2" fontId="34" fillId="2" borderId="2" xfId="0" applyNumberFormat="1" applyFont="1" applyFill="1" applyBorder="1" applyAlignment="1">
      <alignment horizontal="centerContinuous" vertical="center"/>
    </xf>
    <xf numFmtId="0" fontId="34" fillId="4" borderId="2" xfId="0" applyFont="1" applyFill="1" applyBorder="1" applyAlignment="1">
      <alignment horizontal="centerContinuous" vertical="center" wrapText="1"/>
    </xf>
    <xf numFmtId="4" fontId="34" fillId="2" borderId="2" xfId="0" applyNumberFormat="1" applyFont="1" applyFill="1" applyBorder="1" applyAlignment="1">
      <alignment horizontal="centerContinuous" vertical="center" wrapText="1"/>
    </xf>
    <xf numFmtId="0" fontId="34" fillId="2" borderId="2" xfId="0" applyFont="1" applyFill="1" applyBorder="1" applyAlignment="1">
      <alignment horizontal="centerContinuous" vertical="center" wrapText="1"/>
    </xf>
    <xf numFmtId="0" fontId="35" fillId="2" borderId="22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 wrapText="1"/>
    </xf>
    <xf numFmtId="4" fontId="34" fillId="2" borderId="2" xfId="0" applyNumberFormat="1" applyFont="1" applyFill="1" applyBorder="1" applyAlignment="1">
      <alignment horizontal="centerContinuous" vertical="center"/>
    </xf>
    <xf numFmtId="0" fontId="32" fillId="16" borderId="9" xfId="0" applyFont="1" applyFill="1" applyBorder="1" applyAlignment="1">
      <alignment horizontal="center"/>
    </xf>
    <xf numFmtId="0" fontId="32" fillId="16" borderId="1" xfId="0" applyFont="1" applyFill="1" applyBorder="1" applyAlignment="1">
      <alignment horizontal="center"/>
    </xf>
    <xf numFmtId="4" fontId="19" fillId="17" borderId="8" xfId="0" applyNumberFormat="1" applyFont="1" applyFill="1" applyBorder="1" applyAlignment="1">
      <alignment horizontal="right"/>
    </xf>
    <xf numFmtId="4" fontId="11" fillId="18" borderId="5" xfId="0" applyNumberFormat="1" applyFont="1" applyFill="1" applyBorder="1"/>
    <xf numFmtId="4" fontId="11" fillId="19" borderId="5" xfId="0" applyNumberFormat="1" applyFont="1" applyFill="1" applyBorder="1"/>
    <xf numFmtId="4" fontId="19" fillId="17" borderId="5" xfId="0" applyNumberFormat="1" applyFont="1" applyFill="1" applyBorder="1" applyAlignment="1">
      <alignment horizontal="right"/>
    </xf>
    <xf numFmtId="2" fontId="15" fillId="12" borderId="8" xfId="0" applyNumberFormat="1" applyFont="1" applyFill="1" applyBorder="1" applyAlignment="1">
      <alignment horizontal="center" vertical="center" wrapText="1"/>
    </xf>
    <xf numFmtId="0" fontId="32" fillId="4" borderId="9" xfId="0" applyFont="1" applyFill="1" applyBorder="1" applyAlignment="1">
      <alignment horizontal="centerContinuous" vertical="center" wrapText="1"/>
    </xf>
    <xf numFmtId="0" fontId="38" fillId="4" borderId="9" xfId="0" applyFont="1" applyFill="1" applyBorder="1" applyAlignment="1">
      <alignment horizontal="center" vertical="center"/>
    </xf>
    <xf numFmtId="0" fontId="40" fillId="4" borderId="9" xfId="0" applyFont="1" applyFill="1" applyBorder="1" applyAlignment="1">
      <alignment horizontal="center" vertical="center" wrapText="1"/>
    </xf>
    <xf numFmtId="4" fontId="43" fillId="2" borderId="5" xfId="0" applyNumberFormat="1" applyFont="1" applyFill="1" applyBorder="1" applyAlignment="1">
      <alignment vertical="center"/>
    </xf>
    <xf numFmtId="49" fontId="26" fillId="19" borderId="20" xfId="0" applyNumberFormat="1" applyFont="1" applyFill="1" applyBorder="1" applyAlignment="1">
      <alignment horizontal="center" vertical="center"/>
    </xf>
    <xf numFmtId="14" fontId="27" fillId="19" borderId="19" xfId="0" applyNumberFormat="1" applyFont="1" applyFill="1" applyBorder="1" applyAlignment="1">
      <alignment horizontal="center" vertical="center" textRotation="90"/>
    </xf>
    <xf numFmtId="14" fontId="27" fillId="19" borderId="12" xfId="0" applyNumberFormat="1" applyFont="1" applyFill="1" applyBorder="1" applyAlignment="1">
      <alignment horizontal="center" vertical="center" textRotation="90"/>
    </xf>
    <xf numFmtId="14" fontId="28" fillId="19" borderId="21" xfId="0" applyNumberFormat="1" applyFont="1" applyFill="1" applyBorder="1" applyAlignment="1">
      <alignment horizontal="center" vertical="center" textRotation="90"/>
    </xf>
    <xf numFmtId="14" fontId="28" fillId="19" borderId="19" xfId="0" applyNumberFormat="1" applyFont="1" applyFill="1" applyBorder="1" applyAlignment="1">
      <alignment horizontal="center" vertical="center" textRotation="90"/>
    </xf>
    <xf numFmtId="0" fontId="29" fillId="19" borderId="21" xfId="0" applyFont="1" applyFill="1" applyBorder="1" applyAlignment="1">
      <alignment horizontal="center" vertical="center" wrapText="1" readingOrder="1"/>
    </xf>
    <xf numFmtId="0" fontId="29" fillId="19" borderId="12" xfId="0" applyFont="1" applyFill="1" applyBorder="1" applyAlignment="1">
      <alignment horizontal="center" vertical="center" wrapText="1"/>
    </xf>
    <xf numFmtId="0" fontId="29" fillId="19" borderId="7" xfId="0" applyFont="1" applyFill="1" applyBorder="1" applyAlignment="1">
      <alignment horizontal="center" vertical="center" wrapText="1"/>
    </xf>
    <xf numFmtId="0" fontId="23" fillId="19" borderId="20" xfId="0" applyFont="1" applyFill="1" applyBorder="1" applyAlignment="1">
      <alignment horizontal="center" vertical="center"/>
    </xf>
    <xf numFmtId="0" fontId="38" fillId="4" borderId="2" xfId="0" applyFont="1" applyFill="1" applyBorder="1" applyAlignment="1">
      <alignment horizontal="centerContinuous" vertical="center" wrapText="1"/>
    </xf>
    <xf numFmtId="0" fontId="40" fillId="4" borderId="2" xfId="0" applyFont="1" applyFill="1" applyBorder="1" applyAlignment="1">
      <alignment horizontal="centerContinuous" vertical="center" wrapText="1"/>
    </xf>
    <xf numFmtId="0" fontId="32" fillId="4" borderId="2" xfId="0" applyFont="1" applyFill="1" applyBorder="1" applyAlignment="1">
      <alignment horizontal="center" vertical="center"/>
    </xf>
    <xf numFmtId="0" fontId="37" fillId="19" borderId="11" xfId="0" applyFont="1" applyFill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center"/>
    </xf>
    <xf numFmtId="4" fontId="20" fillId="2" borderId="0" xfId="0" applyNumberFormat="1" applyFont="1" applyFill="1" applyAlignment="1">
      <alignment horizontal="center" vertical="center"/>
    </xf>
    <xf numFmtId="0" fontId="32" fillId="4" borderId="8" xfId="0" applyFont="1" applyFill="1" applyBorder="1" applyAlignment="1">
      <alignment horizontal="centerContinuous" vertical="center" wrapText="1"/>
    </xf>
    <xf numFmtId="4" fontId="44" fillId="15" borderId="23" xfId="0" applyNumberFormat="1" applyFont="1" applyFill="1" applyBorder="1" applyAlignment="1">
      <alignment horizontal="centerContinuous" vertical="center" wrapText="1"/>
    </xf>
    <xf numFmtId="4" fontId="14" fillId="15" borderId="23" xfId="0" applyNumberFormat="1" applyFont="1" applyFill="1" applyBorder="1" applyAlignment="1">
      <alignment horizontal="centerContinuous" vertical="center" wrapText="1"/>
    </xf>
    <xf numFmtId="4" fontId="41" fillId="15" borderId="2" xfId="0" applyNumberFormat="1" applyFont="1" applyFill="1" applyBorder="1" applyAlignment="1">
      <alignment horizontal="centerContinuous" vertical="center" wrapText="1"/>
    </xf>
    <xf numFmtId="4" fontId="42" fillId="15" borderId="22" xfId="0" applyNumberFormat="1" applyFont="1" applyFill="1" applyBorder="1" applyAlignment="1">
      <alignment horizontal="centerContinuous" vertical="center" wrapText="1"/>
    </xf>
    <xf numFmtId="0" fontId="16" fillId="19" borderId="24" xfId="0" applyFont="1" applyFill="1" applyBorder="1" applyAlignment="1">
      <alignment horizontal="center" vertical="center"/>
    </xf>
    <xf numFmtId="0" fontId="16" fillId="19" borderId="25" xfId="0" applyFont="1" applyFill="1" applyBorder="1" applyAlignment="1">
      <alignment horizontal="center" vertical="center"/>
    </xf>
    <xf numFmtId="0" fontId="16" fillId="19" borderId="26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vertical="center" wrapText="1"/>
    </xf>
    <xf numFmtId="0" fontId="6" fillId="4" borderId="15" xfId="0" applyFont="1" applyFill="1" applyBorder="1" applyAlignment="1">
      <alignment vertical="center"/>
    </xf>
    <xf numFmtId="0" fontId="32" fillId="4" borderId="15" xfId="0" applyFont="1" applyFill="1" applyBorder="1" applyAlignment="1">
      <alignment horizontal="right" vertical="center"/>
    </xf>
    <xf numFmtId="49" fontId="10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9" fillId="19" borderId="5" xfId="0" applyFont="1" applyFill="1" applyBorder="1" applyAlignment="1">
      <alignment horizontal="center"/>
    </xf>
    <xf numFmtId="49" fontId="10" fillId="19" borderId="5" xfId="0" applyNumberFormat="1" applyFont="1" applyFill="1" applyBorder="1" applyAlignment="1">
      <alignment horizontal="center"/>
    </xf>
    <xf numFmtId="0" fontId="10" fillId="19" borderId="5" xfId="0" applyFont="1" applyFill="1" applyBorder="1" applyAlignment="1">
      <alignment horizontal="center"/>
    </xf>
    <xf numFmtId="0" fontId="10" fillId="19" borderId="5" xfId="0" applyFont="1" applyFill="1" applyBorder="1"/>
    <xf numFmtId="1" fontId="39" fillId="6" borderId="7" xfId="0" applyNumberFormat="1" applyFont="1" applyFill="1" applyBorder="1" applyAlignment="1">
      <alignment horizontal="center" vertical="center"/>
    </xf>
    <xf numFmtId="4" fontId="23" fillId="22" borderId="9" xfId="0" applyNumberFormat="1" applyFont="1" applyFill="1" applyBorder="1" applyAlignment="1">
      <alignment horizontal="center" vertical="center"/>
    </xf>
    <xf numFmtId="4" fontId="23" fillId="22" borderId="1" xfId="0" applyNumberFormat="1" applyFont="1" applyFill="1" applyBorder="1" applyAlignment="1">
      <alignment horizontal="center" vertical="center"/>
    </xf>
    <xf numFmtId="0" fontId="36" fillId="7" borderId="0" xfId="0" applyFont="1" applyFill="1" applyAlignment="1">
      <alignment horizontal="center" vertical="center" wrapText="1"/>
    </xf>
    <xf numFmtId="0" fontId="48" fillId="7" borderId="0" xfId="0" applyFont="1" applyFill="1" applyAlignment="1">
      <alignment horizontal="center" vertical="center"/>
    </xf>
    <xf numFmtId="0" fontId="3" fillId="0" borderId="0" xfId="0" applyFont="1"/>
    <xf numFmtId="49" fontId="22" fillId="0" borderId="0" xfId="0" applyNumberFormat="1" applyFont="1" applyAlignment="1">
      <alignment horizontal="left" vertical="center"/>
    </xf>
    <xf numFmtId="0" fontId="20" fillId="0" borderId="0" xfId="0" applyFont="1"/>
    <xf numFmtId="0" fontId="2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2" fontId="49" fillId="4" borderId="29" xfId="0" applyNumberFormat="1" applyFont="1" applyFill="1" applyBorder="1" applyAlignment="1">
      <alignment horizontal="centerContinuous" vertical="center"/>
    </xf>
    <xf numFmtId="0" fontId="49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3" fillId="8" borderId="40" xfId="0" applyFont="1" applyFill="1" applyBorder="1" applyAlignment="1">
      <alignment horizontal="center" vertical="center"/>
    </xf>
    <xf numFmtId="0" fontId="20" fillId="8" borderId="40" xfId="0" applyFont="1" applyFill="1" applyBorder="1" applyAlignment="1">
      <alignment horizontal="center" vertical="center" wrapText="1"/>
    </xf>
    <xf numFmtId="0" fontId="53" fillId="8" borderId="10" xfId="0" applyFont="1" applyFill="1" applyBorder="1" applyAlignment="1">
      <alignment horizontal="center" vertical="center" wrapText="1"/>
    </xf>
    <xf numFmtId="0" fontId="53" fillId="8" borderId="41" xfId="0" applyFont="1" applyFill="1" applyBorder="1" applyAlignment="1">
      <alignment horizontal="center" vertical="center"/>
    </xf>
    <xf numFmtId="0" fontId="53" fillId="8" borderId="10" xfId="0" applyFont="1" applyFill="1" applyBorder="1" applyAlignment="1">
      <alignment horizontal="center" vertical="center"/>
    </xf>
    <xf numFmtId="0" fontId="53" fillId="8" borderId="3" xfId="0" applyFont="1" applyFill="1" applyBorder="1" applyAlignment="1">
      <alignment horizontal="center" vertical="center"/>
    </xf>
    <xf numFmtId="0" fontId="53" fillId="8" borderId="42" xfId="0" applyFont="1" applyFill="1" applyBorder="1" applyAlignment="1">
      <alignment horizontal="center" vertical="center"/>
    </xf>
    <xf numFmtId="49" fontId="53" fillId="8" borderId="3" xfId="0" applyNumberFormat="1" applyFont="1" applyFill="1" applyBorder="1" applyAlignment="1">
      <alignment horizontal="center" vertical="center"/>
    </xf>
    <xf numFmtId="49" fontId="53" fillId="8" borderId="41" xfId="0" applyNumberFormat="1" applyFont="1" applyFill="1" applyBorder="1" applyAlignment="1">
      <alignment horizontal="center" vertical="center"/>
    </xf>
    <xf numFmtId="49" fontId="53" fillId="8" borderId="18" xfId="0" applyNumberFormat="1" applyFont="1" applyFill="1" applyBorder="1" applyAlignment="1">
      <alignment horizontal="center" vertical="center"/>
    </xf>
    <xf numFmtId="0" fontId="53" fillId="8" borderId="18" xfId="0" applyFont="1" applyFill="1" applyBorder="1" applyAlignment="1">
      <alignment horizontal="center" vertical="center"/>
    </xf>
    <xf numFmtId="0" fontId="54" fillId="0" borderId="6" xfId="0" applyFont="1" applyBorder="1" applyAlignment="1">
      <alignment horizontal="center" vertical="center"/>
    </xf>
    <xf numFmtId="0" fontId="55" fillId="23" borderId="5" xfId="0" applyFont="1" applyFill="1" applyBorder="1" applyAlignment="1">
      <alignment horizontal="left" vertical="center" shrinkToFit="1"/>
    </xf>
    <xf numFmtId="0" fontId="58" fillId="6" borderId="5" xfId="0" applyFont="1" applyFill="1" applyBorder="1" applyAlignment="1">
      <alignment horizontal="center" vertical="center"/>
    </xf>
    <xf numFmtId="2" fontId="54" fillId="2" borderId="43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48" fillId="7" borderId="9" xfId="0" applyFont="1" applyFill="1" applyBorder="1"/>
    <xf numFmtId="0" fontId="48" fillId="7" borderId="3" xfId="0" applyFont="1" applyFill="1" applyBorder="1"/>
    <xf numFmtId="0" fontId="61" fillId="7" borderId="3" xfId="0" applyFont="1" applyFill="1" applyBorder="1" applyAlignment="1">
      <alignment horizontal="left" vertical="center"/>
    </xf>
    <xf numFmtId="14" fontId="61" fillId="7" borderId="3" xfId="0" applyNumberFormat="1" applyFont="1" applyFill="1" applyBorder="1" applyAlignment="1">
      <alignment horizontal="left" vertical="center"/>
    </xf>
    <xf numFmtId="0" fontId="48" fillId="7" borderId="3" xfId="0" applyFont="1" applyFill="1" applyBorder="1" applyAlignment="1">
      <alignment horizontal="center"/>
    </xf>
    <xf numFmtId="0" fontId="48" fillId="7" borderId="4" xfId="0" applyFont="1" applyFill="1" applyBorder="1"/>
    <xf numFmtId="0" fontId="62" fillId="0" borderId="0" xfId="0" applyFont="1" applyAlignment="1">
      <alignment horizontal="center" vertical="center"/>
    </xf>
    <xf numFmtId="0" fontId="47" fillId="0" borderId="0" xfId="0" applyFont="1"/>
    <xf numFmtId="0" fontId="63" fillId="26" borderId="14" xfId="0" applyFont="1" applyFill="1" applyBorder="1" applyAlignment="1">
      <alignment horizontal="center" vertical="center"/>
    </xf>
    <xf numFmtId="0" fontId="63" fillId="26" borderId="15" xfId="0" applyFont="1" applyFill="1" applyBorder="1" applyAlignment="1">
      <alignment horizontal="center" vertical="center"/>
    </xf>
    <xf numFmtId="0" fontId="63" fillId="26" borderId="16" xfId="0" applyFont="1" applyFill="1" applyBorder="1" applyAlignment="1">
      <alignment horizontal="center" vertical="center"/>
    </xf>
    <xf numFmtId="0" fontId="63" fillId="7" borderId="21" xfId="0" applyFont="1" applyFill="1" applyBorder="1" applyAlignment="1">
      <alignment horizontal="center" vertical="center"/>
    </xf>
    <xf numFmtId="0" fontId="47" fillId="0" borderId="19" xfId="0" applyFont="1" applyBorder="1" applyAlignment="1">
      <alignment horizontal="center" vertical="center"/>
    </xf>
    <xf numFmtId="0" fontId="62" fillId="11" borderId="11" xfId="0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63" fillId="7" borderId="36" xfId="0" applyFont="1" applyFill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62" fillId="11" borderId="15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62" fillId="11" borderId="16" xfId="0" applyFont="1" applyFill="1" applyBorder="1" applyAlignment="1">
      <alignment horizontal="center" vertical="center"/>
    </xf>
    <xf numFmtId="0" fontId="47" fillId="0" borderId="0" xfId="0" applyFont="1" applyAlignment="1">
      <alignment horizontal="center"/>
    </xf>
    <xf numFmtId="0" fontId="64" fillId="7" borderId="31" xfId="0" applyFont="1" applyFill="1" applyBorder="1" applyAlignment="1">
      <alignment horizontal="left" vertical="center"/>
    </xf>
    <xf numFmtId="0" fontId="61" fillId="7" borderId="33" xfId="0" applyFont="1" applyFill="1" applyBorder="1" applyAlignment="1">
      <alignment horizontal="left" vertical="center"/>
    </xf>
    <xf numFmtId="0" fontId="65" fillId="7" borderId="33" xfId="0" applyFont="1" applyFill="1" applyBorder="1"/>
    <xf numFmtId="0" fontId="48" fillId="7" borderId="33" xfId="0" applyFont="1" applyFill="1" applyBorder="1"/>
    <xf numFmtId="14" fontId="61" fillId="7" borderId="33" xfId="0" applyNumberFormat="1" applyFont="1" applyFill="1" applyBorder="1" applyAlignment="1">
      <alignment horizontal="left" vertical="center"/>
    </xf>
    <xf numFmtId="0" fontId="65" fillId="7" borderId="32" xfId="0" applyFont="1" applyFill="1" applyBorder="1"/>
    <xf numFmtId="0" fontId="65" fillId="7" borderId="33" xfId="0" applyFont="1" applyFill="1" applyBorder="1" applyAlignment="1">
      <alignment horizontal="center"/>
    </xf>
    <xf numFmtId="0" fontId="62" fillId="3" borderId="1" xfId="0" applyFont="1" applyFill="1" applyBorder="1" applyAlignment="1">
      <alignment horizontal="center" vertical="center"/>
    </xf>
    <xf numFmtId="0" fontId="25" fillId="3" borderId="22" xfId="0" applyFont="1" applyFill="1" applyBorder="1" applyAlignment="1">
      <alignment horizontal="center" vertical="center"/>
    </xf>
    <xf numFmtId="0" fontId="62" fillId="3" borderId="2" xfId="0" applyFont="1" applyFill="1" applyBorder="1" applyAlignment="1">
      <alignment vertical="center"/>
    </xf>
    <xf numFmtId="0" fontId="66" fillId="0" borderId="19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6" fillId="0" borderId="14" xfId="0" applyFont="1" applyBorder="1" applyAlignment="1">
      <alignment horizontal="center" vertical="center"/>
    </xf>
    <xf numFmtId="0" fontId="62" fillId="0" borderId="15" xfId="0" applyFont="1" applyBorder="1" applyAlignment="1">
      <alignment horizontal="left" vertical="center"/>
    </xf>
    <xf numFmtId="0" fontId="47" fillId="0" borderId="15" xfId="0" applyFont="1" applyBorder="1"/>
    <xf numFmtId="0" fontId="62" fillId="0" borderId="16" xfId="0" applyFont="1" applyBorder="1" applyAlignment="1">
      <alignment horizontal="center" vertical="center"/>
    </xf>
    <xf numFmtId="0" fontId="62" fillId="0" borderId="15" xfId="0" applyFont="1" applyBorder="1"/>
    <xf numFmtId="0" fontId="25" fillId="3" borderId="4" xfId="0" applyFont="1" applyFill="1" applyBorder="1" applyAlignment="1">
      <alignment horizontal="center" vertical="center"/>
    </xf>
    <xf numFmtId="0" fontId="62" fillId="0" borderId="3" xfId="0" applyFont="1" applyBorder="1" applyAlignment="1">
      <alignment horizontal="left" vertical="center"/>
    </xf>
    <xf numFmtId="0" fontId="62" fillId="0" borderId="3" xfId="0" applyFont="1" applyBorder="1"/>
    <xf numFmtId="0" fontId="62" fillId="0" borderId="4" xfId="0" applyFont="1" applyBorder="1" applyAlignment="1">
      <alignment horizontal="center" vertical="center"/>
    </xf>
    <xf numFmtId="0" fontId="66" fillId="0" borderId="5" xfId="0" applyFont="1" applyBorder="1" applyAlignment="1">
      <alignment horizontal="center" vertical="center"/>
    </xf>
    <xf numFmtId="0" fontId="47" fillId="2" borderId="0" xfId="0" applyFont="1" applyFill="1"/>
    <xf numFmtId="0" fontId="62" fillId="2" borderId="11" xfId="0" applyFont="1" applyFill="1" applyBorder="1" applyAlignment="1">
      <alignment horizontal="center" vertical="center"/>
    </xf>
    <xf numFmtId="0" fontId="62" fillId="2" borderId="0" xfId="0" applyFont="1" applyFill="1"/>
    <xf numFmtId="1" fontId="56" fillId="29" borderId="5" xfId="0" applyNumberFormat="1" applyFont="1" applyFill="1" applyBorder="1" applyAlignment="1">
      <alignment horizontal="center" vertical="center" shrinkToFit="1"/>
    </xf>
    <xf numFmtId="0" fontId="56" fillId="29" borderId="5" xfId="0" applyFont="1" applyFill="1" applyBorder="1" applyAlignment="1">
      <alignment horizontal="center" vertical="center"/>
    </xf>
    <xf numFmtId="0" fontId="56" fillId="29" borderId="5" xfId="0" applyFont="1" applyFill="1" applyBorder="1" applyAlignment="1">
      <alignment horizontal="center" vertical="center" shrinkToFit="1"/>
    </xf>
    <xf numFmtId="1" fontId="56" fillId="29" borderId="5" xfId="2" applyNumberFormat="1" applyFont="1" applyFill="1" applyBorder="1" applyAlignment="1">
      <alignment horizontal="center" vertical="center" shrinkToFit="1"/>
    </xf>
    <xf numFmtId="1" fontId="56" fillId="29" borderId="5" xfId="2" applyNumberFormat="1" applyFont="1" applyFill="1" applyBorder="1" applyAlignment="1">
      <alignment horizontal="center" vertical="center"/>
    </xf>
    <xf numFmtId="0" fontId="56" fillId="29" borderId="5" xfId="2" applyFont="1" applyFill="1" applyBorder="1" applyAlignment="1">
      <alignment horizontal="center" vertical="center" shrinkToFit="1"/>
    </xf>
    <xf numFmtId="0" fontId="56" fillId="29" borderId="5" xfId="0" applyFont="1" applyFill="1" applyBorder="1" applyAlignment="1">
      <alignment horizontal="center" vertical="center" wrapText="1"/>
    </xf>
    <xf numFmtId="1" fontId="56" fillId="29" borderId="5" xfId="0" applyNumberFormat="1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vertical="center"/>
    </xf>
    <xf numFmtId="0" fontId="5" fillId="3" borderId="37" xfId="0" applyFont="1" applyFill="1" applyBorder="1" applyAlignment="1">
      <alignment vertical="center"/>
    </xf>
    <xf numFmtId="0" fontId="48" fillId="7" borderId="0" xfId="0" applyFont="1" applyFill="1"/>
    <xf numFmtId="0" fontId="46" fillId="0" borderId="0" xfId="0" applyFont="1" applyAlignment="1">
      <alignment horizontal="center" vertical="center" wrapText="1"/>
    </xf>
    <xf numFmtId="1" fontId="67" fillId="0" borderId="0" xfId="0" applyNumberFormat="1" applyFont="1" applyAlignment="1">
      <alignment horizontal="center" vertical="center"/>
    </xf>
    <xf numFmtId="12" fontId="47" fillId="0" borderId="0" xfId="0" applyNumberFormat="1" applyFont="1" applyAlignment="1">
      <alignment horizontal="center" vertical="center"/>
    </xf>
    <xf numFmtId="0" fontId="70" fillId="7" borderId="1" xfId="0" applyFont="1" applyFill="1" applyBorder="1" applyAlignment="1">
      <alignment vertical="center"/>
    </xf>
    <xf numFmtId="0" fontId="30" fillId="7" borderId="22" xfId="0" applyFont="1" applyFill="1" applyBorder="1" applyAlignment="1">
      <alignment vertical="center"/>
    </xf>
    <xf numFmtId="0" fontId="46" fillId="0" borderId="0" xfId="0" applyFont="1" applyAlignment="1">
      <alignment horizontal="left" vertical="center" wrapText="1"/>
    </xf>
    <xf numFmtId="0" fontId="71" fillId="0" borderId="1" xfId="0" applyFont="1" applyBorder="1" applyAlignment="1">
      <alignment horizontal="centerContinuous" vertical="center"/>
    </xf>
    <xf numFmtId="0" fontId="2" fillId="0" borderId="22" xfId="0" applyFont="1" applyBorder="1" applyAlignment="1">
      <alignment horizontal="centerContinuous" vertical="center"/>
    </xf>
    <xf numFmtId="1" fontId="57" fillId="3" borderId="5" xfId="0" applyNumberFormat="1" applyFont="1" applyFill="1" applyBorder="1" applyAlignment="1">
      <alignment horizontal="center" vertical="center"/>
    </xf>
    <xf numFmtId="0" fontId="57" fillId="3" borderId="5" xfId="0" applyFont="1" applyFill="1" applyBorder="1" applyAlignment="1">
      <alignment horizontal="center" vertical="center"/>
    </xf>
    <xf numFmtId="9" fontId="57" fillId="3" borderId="5" xfId="1" applyFont="1" applyFill="1" applyBorder="1" applyAlignment="1">
      <alignment vertical="center"/>
    </xf>
    <xf numFmtId="1" fontId="12" fillId="7" borderId="14" xfId="0" applyNumberFormat="1" applyFont="1" applyFill="1" applyBorder="1" applyAlignment="1">
      <alignment horizontal="center"/>
    </xf>
    <xf numFmtId="0" fontId="12" fillId="7" borderId="14" xfId="0" applyFont="1" applyFill="1" applyBorder="1" applyAlignment="1">
      <alignment horizontal="center" vertical="center"/>
    </xf>
    <xf numFmtId="0" fontId="63" fillId="7" borderId="9" xfId="0" applyFont="1" applyFill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62" fillId="11" borderId="4" xfId="0" applyFont="1" applyFill="1" applyBorder="1" applyAlignment="1">
      <alignment horizontal="center" vertical="center"/>
    </xf>
    <xf numFmtId="0" fontId="63" fillId="7" borderId="3" xfId="0" applyFont="1" applyFill="1" applyBorder="1" applyAlignment="1">
      <alignment horizontal="center" vertical="center"/>
    </xf>
    <xf numFmtId="0" fontId="63" fillId="7" borderId="19" xfId="0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63" fillId="7" borderId="0" xfId="0" applyFont="1" applyFill="1" applyAlignment="1">
      <alignment horizontal="center" vertical="center"/>
    </xf>
    <xf numFmtId="0" fontId="63" fillId="7" borderId="14" xfId="0" applyFont="1" applyFill="1" applyBorder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62" fillId="0" borderId="0" xfId="0" applyFont="1"/>
    <xf numFmtId="0" fontId="25" fillId="3" borderId="3" xfId="0" applyFont="1" applyFill="1" applyBorder="1" applyAlignment="1">
      <alignment horizontal="center" vertical="center"/>
    </xf>
    <xf numFmtId="0" fontId="62" fillId="3" borderId="3" xfId="0" applyFont="1" applyFill="1" applyBorder="1" applyAlignment="1">
      <alignment vertical="center"/>
    </xf>
    <xf numFmtId="0" fontId="66" fillId="0" borderId="8" xfId="0" applyFont="1" applyBorder="1" applyAlignment="1">
      <alignment horizontal="center" vertical="center"/>
    </xf>
    <xf numFmtId="0" fontId="62" fillId="2" borderId="3" xfId="0" applyFont="1" applyFill="1" applyBorder="1"/>
    <xf numFmtId="0" fontId="62" fillId="25" borderId="3" xfId="0" applyFont="1" applyFill="1" applyBorder="1" applyAlignment="1">
      <alignment horizontal="centerContinuous" vertical="center"/>
    </xf>
    <xf numFmtId="0" fontId="62" fillId="25" borderId="4" xfId="0" applyFont="1" applyFill="1" applyBorder="1" applyAlignment="1">
      <alignment horizontal="centerContinuous" vertical="center"/>
    </xf>
    <xf numFmtId="0" fontId="62" fillId="25" borderId="3" xfId="0" applyFont="1" applyFill="1" applyBorder="1" applyAlignment="1">
      <alignment horizontal="centerContinuous"/>
    </xf>
    <xf numFmtId="0" fontId="62" fillId="25" borderId="4" xfId="0" applyFont="1" applyFill="1" applyBorder="1" applyAlignment="1">
      <alignment horizontal="centerContinuous"/>
    </xf>
    <xf numFmtId="9" fontId="57" fillId="3" borderId="8" xfId="1" applyFont="1" applyFill="1" applyBorder="1" applyAlignment="1">
      <alignment vertical="center"/>
    </xf>
    <xf numFmtId="0" fontId="57" fillId="3" borderId="8" xfId="0" applyFont="1" applyFill="1" applyBorder="1" applyAlignment="1">
      <alignment horizontal="center" vertical="center"/>
    </xf>
    <xf numFmtId="0" fontId="24" fillId="5" borderId="9" xfId="0" applyFont="1" applyFill="1" applyBorder="1" applyAlignment="1">
      <alignment vertical="center"/>
    </xf>
    <xf numFmtId="0" fontId="24" fillId="5" borderId="3" xfId="0" applyFont="1" applyFill="1" applyBorder="1" applyAlignment="1">
      <alignment vertical="center"/>
    </xf>
    <xf numFmtId="0" fontId="24" fillId="5" borderId="3" xfId="0" applyFont="1" applyFill="1" applyBorder="1" applyAlignment="1">
      <alignment horizontal="right" vertical="center"/>
    </xf>
    <xf numFmtId="2" fontId="24" fillId="4" borderId="11" xfId="0" applyNumberFormat="1" applyFont="1" applyFill="1" applyBorder="1" applyAlignment="1">
      <alignment horizontal="centerContinuous" vertical="center"/>
    </xf>
    <xf numFmtId="2" fontId="24" fillId="5" borderId="4" xfId="0" applyNumberFormat="1" applyFont="1" applyFill="1" applyBorder="1" applyAlignment="1">
      <alignment horizontal="centerContinuous" vertical="center"/>
    </xf>
    <xf numFmtId="0" fontId="24" fillId="8" borderId="19" xfId="0" applyFont="1" applyFill="1" applyBorder="1" applyAlignment="1">
      <alignment vertical="center"/>
    </xf>
    <xf numFmtId="0" fontId="24" fillId="8" borderId="0" xfId="0" applyFont="1" applyFill="1" applyAlignment="1">
      <alignment vertical="center"/>
    </xf>
    <xf numFmtId="0" fontId="24" fillId="8" borderId="0" xfId="0" applyFont="1" applyFill="1" applyAlignment="1">
      <alignment horizontal="right" vertical="center"/>
    </xf>
    <xf numFmtId="2" fontId="24" fillId="8" borderId="11" xfId="0" applyNumberFormat="1" applyFont="1" applyFill="1" applyBorder="1" applyAlignment="1">
      <alignment horizontal="centerContinuous" vertical="center"/>
    </xf>
    <xf numFmtId="0" fontId="24" fillId="4" borderId="19" xfId="0" applyFont="1" applyFill="1" applyBorder="1" applyAlignment="1">
      <alignment vertical="center"/>
    </xf>
    <xf numFmtId="0" fontId="24" fillId="4" borderId="0" xfId="0" applyFont="1" applyFill="1" applyAlignment="1">
      <alignment vertical="center"/>
    </xf>
    <xf numFmtId="0" fontId="24" fillId="4" borderId="0" xfId="0" applyFont="1" applyFill="1" applyAlignment="1">
      <alignment horizontal="right" vertical="center"/>
    </xf>
    <xf numFmtId="0" fontId="23" fillId="21" borderId="14" xfId="0" applyFont="1" applyFill="1" applyBorder="1" applyAlignment="1">
      <alignment vertical="center"/>
    </xf>
    <xf numFmtId="0" fontId="23" fillId="21" borderId="15" xfId="0" applyFont="1" applyFill="1" applyBorder="1" applyAlignment="1">
      <alignment vertical="center"/>
    </xf>
    <xf numFmtId="0" fontId="23" fillId="21" borderId="15" xfId="0" applyFont="1" applyFill="1" applyBorder="1" applyAlignment="1">
      <alignment horizontal="right" vertical="center"/>
    </xf>
    <xf numFmtId="2" fontId="23" fillId="21" borderId="16" xfId="0" applyNumberFormat="1" applyFont="1" applyFill="1" applyBorder="1" applyAlignment="1">
      <alignment horizontal="centerContinuous" vertical="center"/>
    </xf>
    <xf numFmtId="0" fontId="8" fillId="15" borderId="21" xfId="0" applyFont="1" applyFill="1" applyBorder="1" applyAlignment="1">
      <alignment vertical="center"/>
    </xf>
    <xf numFmtId="0" fontId="8" fillId="15" borderId="36" xfId="0" applyFont="1" applyFill="1" applyBorder="1" applyAlignment="1">
      <alignment vertical="center"/>
    </xf>
    <xf numFmtId="0" fontId="8" fillId="15" borderId="37" xfId="0" applyFont="1" applyFill="1" applyBorder="1" applyAlignment="1">
      <alignment vertical="center"/>
    </xf>
    <xf numFmtId="0" fontId="20" fillId="15" borderId="37" xfId="0" applyFont="1" applyFill="1" applyBorder="1"/>
    <xf numFmtId="0" fontId="20" fillId="15" borderId="37" xfId="0" applyFont="1" applyFill="1" applyBorder="1" applyAlignment="1">
      <alignment horizontal="center"/>
    </xf>
    <xf numFmtId="4" fontId="62" fillId="5" borderId="3" xfId="0" applyNumberFormat="1" applyFont="1" applyFill="1" applyBorder="1" applyAlignment="1">
      <alignment horizontal="centerContinuous" vertical="center"/>
    </xf>
    <xf numFmtId="4" fontId="62" fillId="8" borderId="0" xfId="0" applyNumberFormat="1" applyFont="1" applyFill="1" applyAlignment="1">
      <alignment horizontal="centerContinuous" vertical="center"/>
    </xf>
    <xf numFmtId="4" fontId="62" fillId="4" borderId="0" xfId="0" applyNumberFormat="1" applyFont="1" applyFill="1" applyAlignment="1">
      <alignment horizontal="centerContinuous" vertical="center"/>
    </xf>
    <xf numFmtId="4" fontId="63" fillId="21" borderId="15" xfId="0" applyNumberFormat="1" applyFont="1" applyFill="1" applyBorder="1" applyAlignment="1">
      <alignment horizontal="centerContinuous" vertical="center"/>
    </xf>
    <xf numFmtId="0" fontId="4" fillId="15" borderId="28" xfId="0" applyFont="1" applyFill="1" applyBorder="1" applyAlignment="1">
      <alignment vertical="center"/>
    </xf>
    <xf numFmtId="0" fontId="4" fillId="15" borderId="29" xfId="0" applyFont="1" applyFill="1" applyBorder="1" applyAlignment="1">
      <alignment vertical="center"/>
    </xf>
    <xf numFmtId="0" fontId="4" fillId="15" borderId="29" xfId="0" applyFont="1" applyFill="1" applyBorder="1" applyAlignment="1">
      <alignment horizontal="center" vertical="center"/>
    </xf>
    <xf numFmtId="0" fontId="4" fillId="15" borderId="30" xfId="0" applyFont="1" applyFill="1" applyBorder="1" applyAlignment="1">
      <alignment vertical="center"/>
    </xf>
    <xf numFmtId="2" fontId="49" fillId="2" borderId="29" xfId="0" applyNumberFormat="1" applyFont="1" applyFill="1" applyBorder="1" applyAlignment="1">
      <alignment vertical="center"/>
    </xf>
    <xf numFmtId="2" fontId="49" fillId="2" borderId="29" xfId="0" applyNumberFormat="1" applyFont="1" applyFill="1" applyBorder="1" applyAlignment="1">
      <alignment horizontal="center" vertical="center"/>
    </xf>
    <xf numFmtId="2" fontId="50" fillId="4" borderId="29" xfId="0" applyNumberFormat="1" applyFont="1" applyFill="1" applyBorder="1" applyAlignment="1">
      <alignment horizontal="centerContinuous" vertical="center"/>
    </xf>
    <xf numFmtId="0" fontId="5" fillId="3" borderId="31" xfId="0" applyFont="1" applyFill="1" applyBorder="1" applyAlignment="1">
      <alignment horizontal="centerContinuous" vertical="center"/>
    </xf>
    <xf numFmtId="0" fontId="5" fillId="3" borderId="33" xfId="0" applyFont="1" applyFill="1" applyBorder="1" applyAlignment="1">
      <alignment horizontal="centerContinuous" vertical="center"/>
    </xf>
    <xf numFmtId="0" fontId="4" fillId="15" borderId="33" xfId="0" applyFont="1" applyFill="1" applyBorder="1" applyAlignment="1">
      <alignment vertical="center"/>
    </xf>
    <xf numFmtId="0" fontId="5" fillId="7" borderId="9" xfId="0" applyFont="1" applyFill="1" applyBorder="1" applyAlignment="1">
      <alignment vertical="center"/>
    </xf>
    <xf numFmtId="0" fontId="5" fillId="7" borderId="4" xfId="0" applyFont="1" applyFill="1" applyBorder="1" applyAlignment="1">
      <alignment vertical="center"/>
    </xf>
    <xf numFmtId="0" fontId="5" fillId="7" borderId="19" xfId="0" applyFont="1" applyFill="1" applyBorder="1" applyAlignment="1">
      <alignment vertical="center"/>
    </xf>
    <xf numFmtId="0" fontId="5" fillId="7" borderId="11" xfId="0" applyFont="1" applyFill="1" applyBorder="1" applyAlignment="1">
      <alignment vertical="center"/>
    </xf>
    <xf numFmtId="0" fontId="5" fillId="7" borderId="14" xfId="0" applyFont="1" applyFill="1" applyBorder="1" applyAlignment="1">
      <alignment horizontal="centerContinuous" vertical="center"/>
    </xf>
    <xf numFmtId="0" fontId="5" fillId="7" borderId="16" xfId="0" applyFont="1" applyFill="1" applyBorder="1" applyAlignment="1">
      <alignment horizontal="centerContinuous" vertical="center"/>
    </xf>
    <xf numFmtId="2" fontId="50" fillId="5" borderId="33" xfId="0" applyNumberFormat="1" applyFont="1" applyFill="1" applyBorder="1" applyAlignment="1">
      <alignment vertical="center"/>
    </xf>
    <xf numFmtId="2" fontId="50" fillId="5" borderId="32" xfId="0" applyNumberFormat="1" applyFont="1" applyFill="1" applyBorder="1" applyAlignment="1">
      <alignment vertical="center"/>
    </xf>
    <xf numFmtId="2" fontId="50" fillId="5" borderId="0" xfId="0" applyNumberFormat="1" applyFont="1" applyFill="1" applyAlignment="1">
      <alignment vertical="center"/>
    </xf>
    <xf numFmtId="2" fontId="50" fillId="5" borderId="34" xfId="0" applyNumberFormat="1" applyFont="1" applyFill="1" applyBorder="1" applyAlignment="1">
      <alignment vertical="center"/>
    </xf>
    <xf numFmtId="2" fontId="50" fillId="5" borderId="38" xfId="0" applyNumberFormat="1" applyFont="1" applyFill="1" applyBorder="1" applyAlignment="1">
      <alignment horizontal="centerContinuous" vertical="center"/>
    </xf>
    <xf numFmtId="49" fontId="52" fillId="7" borderId="31" xfId="0" applyNumberFormat="1" applyFont="1" applyFill="1" applyBorder="1" applyAlignment="1">
      <alignment horizontal="centerContinuous" vertical="center"/>
    </xf>
    <xf numFmtId="49" fontId="52" fillId="7" borderId="33" xfId="0" applyNumberFormat="1" applyFont="1" applyFill="1" applyBorder="1" applyAlignment="1">
      <alignment horizontal="centerContinuous" vertical="center"/>
    </xf>
    <xf numFmtId="49" fontId="52" fillId="7" borderId="32" xfId="0" applyNumberFormat="1" applyFont="1" applyFill="1" applyBorder="1" applyAlignment="1">
      <alignment horizontal="centerContinuous" vertical="center"/>
    </xf>
    <xf numFmtId="49" fontId="52" fillId="7" borderId="31" xfId="0" applyNumberFormat="1" applyFont="1" applyFill="1" applyBorder="1" applyAlignment="1">
      <alignment horizontal="centerContinuous" vertical="center" wrapText="1"/>
    </xf>
    <xf numFmtId="49" fontId="52" fillId="7" borderId="33" xfId="0" applyNumberFormat="1" applyFont="1" applyFill="1" applyBorder="1" applyAlignment="1">
      <alignment horizontal="centerContinuous" vertical="center" wrapText="1"/>
    </xf>
    <xf numFmtId="49" fontId="52" fillId="7" borderId="32" xfId="0" applyNumberFormat="1" applyFont="1" applyFill="1" applyBorder="1" applyAlignment="1">
      <alignment horizontal="centerContinuous" vertical="center" wrapText="1"/>
    </xf>
    <xf numFmtId="4" fontId="73" fillId="4" borderId="28" xfId="0" applyNumberFormat="1" applyFont="1" applyFill="1" applyBorder="1" applyAlignment="1">
      <alignment horizontal="centerContinuous" vertical="center"/>
    </xf>
    <xf numFmtId="4" fontId="73" fillId="4" borderId="29" xfId="0" applyNumberFormat="1" applyFont="1" applyFill="1" applyBorder="1" applyAlignment="1">
      <alignment horizontal="centerContinuous" vertical="center"/>
    </xf>
    <xf numFmtId="0" fontId="73" fillId="2" borderId="28" xfId="0" applyFont="1" applyFill="1" applyBorder="1" applyAlignment="1">
      <alignment horizontal="centerContinuous" vertical="center"/>
    </xf>
    <xf numFmtId="0" fontId="73" fillId="2" borderId="29" xfId="0" applyFont="1" applyFill="1" applyBorder="1" applyAlignment="1">
      <alignment horizontal="centerContinuous" vertical="center"/>
    </xf>
    <xf numFmtId="0" fontId="73" fillId="2" borderId="30" xfId="0" applyFont="1" applyFill="1" applyBorder="1" applyAlignment="1">
      <alignment horizontal="centerContinuous" vertical="center"/>
    </xf>
    <xf numFmtId="0" fontId="73" fillId="0" borderId="31" xfId="0" applyFont="1" applyBorder="1" applyAlignment="1">
      <alignment horizontal="centerContinuous" vertical="center"/>
    </xf>
    <xf numFmtId="0" fontId="73" fillId="0" borderId="33" xfId="0" applyFont="1" applyBorder="1" applyAlignment="1">
      <alignment horizontal="centerContinuous" vertical="center"/>
    </xf>
    <xf numFmtId="0" fontId="73" fillId="0" borderId="29" xfId="0" applyFont="1" applyBorder="1" applyAlignment="1">
      <alignment horizontal="centerContinuous" vertical="center"/>
    </xf>
    <xf numFmtId="0" fontId="73" fillId="0" borderId="30" xfId="0" applyFont="1" applyBorder="1" applyAlignment="1">
      <alignment horizontal="centerContinuous" vertical="center"/>
    </xf>
    <xf numFmtId="14" fontId="73" fillId="0" borderId="31" xfId="0" applyNumberFormat="1" applyFont="1" applyBorder="1" applyAlignment="1">
      <alignment horizontal="centerContinuous" vertical="center"/>
    </xf>
    <xf numFmtId="0" fontId="73" fillId="0" borderId="32" xfId="0" applyFont="1" applyBorder="1" applyAlignment="1">
      <alignment horizontal="centerContinuous" vertical="center"/>
    </xf>
    <xf numFmtId="0" fontId="52" fillId="7" borderId="9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vertical="top"/>
    </xf>
    <xf numFmtId="0" fontId="8" fillId="7" borderId="7" xfId="0" applyFont="1" applyFill="1" applyBorder="1" applyAlignment="1">
      <alignment vertical="top"/>
    </xf>
    <xf numFmtId="0" fontId="52" fillId="7" borderId="14" xfId="0" applyFont="1" applyFill="1" applyBorder="1" applyAlignment="1">
      <alignment horizontal="center" vertical="center"/>
    </xf>
    <xf numFmtId="1" fontId="52" fillId="7" borderId="9" xfId="0" applyNumberFormat="1" applyFont="1" applyFill="1" applyBorder="1" applyAlignment="1">
      <alignment horizontal="center"/>
    </xf>
    <xf numFmtId="0" fontId="52" fillId="7" borderId="7" xfId="0" applyFont="1" applyFill="1" applyBorder="1" applyAlignment="1">
      <alignment horizontal="center" vertical="center"/>
    </xf>
    <xf numFmtId="0" fontId="73" fillId="29" borderId="3" xfId="0" applyFont="1" applyFill="1" applyBorder="1" applyAlignment="1">
      <alignment horizontal="centerContinuous" vertical="center"/>
    </xf>
    <xf numFmtId="0" fontId="73" fillId="29" borderId="46" xfId="0" applyFont="1" applyFill="1" applyBorder="1" applyAlignment="1">
      <alignment horizontal="centerContinuous" vertical="center"/>
    </xf>
    <xf numFmtId="0" fontId="73" fillId="29" borderId="47" xfId="0" applyFont="1" applyFill="1" applyBorder="1" applyAlignment="1">
      <alignment horizontal="centerContinuous" vertical="center"/>
    </xf>
    <xf numFmtId="49" fontId="75" fillId="29" borderId="5" xfId="0" applyNumberFormat="1" applyFont="1" applyFill="1" applyBorder="1" applyAlignment="1">
      <alignment horizontal="center" vertical="center"/>
    </xf>
    <xf numFmtId="2" fontId="75" fillId="29" borderId="1" xfId="0" applyNumberFormat="1" applyFont="1" applyFill="1" applyBorder="1" applyAlignment="1">
      <alignment horizontal="centerContinuous" vertical="top"/>
    </xf>
    <xf numFmtId="2" fontId="75" fillId="29" borderId="2" xfId="0" applyNumberFormat="1" applyFont="1" applyFill="1" applyBorder="1" applyAlignment="1">
      <alignment horizontal="centerContinuous" vertical="center"/>
    </xf>
    <xf numFmtId="2" fontId="75" fillId="29" borderId="22" xfId="0" applyNumberFormat="1" applyFont="1" applyFill="1" applyBorder="1" applyAlignment="1">
      <alignment vertical="center"/>
    </xf>
    <xf numFmtId="49" fontId="75" fillId="29" borderId="32" xfId="0" applyNumberFormat="1" applyFont="1" applyFill="1" applyBorder="1" applyAlignment="1">
      <alignment horizontal="center" vertical="center"/>
    </xf>
    <xf numFmtId="2" fontId="75" fillId="29" borderId="31" xfId="0" applyNumberFormat="1" applyFont="1" applyFill="1" applyBorder="1" applyAlignment="1">
      <alignment horizontal="centerContinuous" vertical="top"/>
    </xf>
    <xf numFmtId="2" fontId="75" fillId="29" borderId="33" xfId="0" applyNumberFormat="1" applyFont="1" applyFill="1" applyBorder="1" applyAlignment="1">
      <alignment horizontal="centerContinuous" vertical="center"/>
    </xf>
    <xf numFmtId="2" fontId="75" fillId="29" borderId="32" xfId="0" applyNumberFormat="1" applyFont="1" applyFill="1" applyBorder="1" applyAlignment="1">
      <alignment vertical="center"/>
    </xf>
    <xf numFmtId="49" fontId="75" fillId="29" borderId="39" xfId="0" applyNumberFormat="1" applyFont="1" applyFill="1" applyBorder="1" applyAlignment="1">
      <alignment horizontal="center" vertical="center"/>
    </xf>
    <xf numFmtId="2" fontId="75" fillId="29" borderId="32" xfId="0" applyNumberFormat="1" applyFont="1" applyFill="1" applyBorder="1" applyAlignment="1">
      <alignment horizontal="center" vertical="center"/>
    </xf>
    <xf numFmtId="0" fontId="62" fillId="3" borderId="9" xfId="0" applyFont="1" applyFill="1" applyBorder="1" applyAlignment="1">
      <alignment horizontal="center" vertical="center"/>
    </xf>
    <xf numFmtId="4" fontId="23" fillId="12" borderId="44" xfId="0" applyNumberFormat="1" applyFont="1" applyFill="1" applyBorder="1" applyAlignment="1">
      <alignment horizontal="right" vertical="center"/>
    </xf>
    <xf numFmtId="4" fontId="23" fillId="31" borderId="45" xfId="0" applyNumberFormat="1" applyFont="1" applyFill="1" applyBorder="1" applyAlignment="1">
      <alignment vertical="center"/>
    </xf>
    <xf numFmtId="4" fontId="23" fillId="15" borderId="44" xfId="0" applyNumberFormat="1" applyFont="1" applyFill="1" applyBorder="1" applyAlignment="1">
      <alignment horizontal="right" vertical="center"/>
    </xf>
    <xf numFmtId="4" fontId="76" fillId="5" borderId="37" xfId="0" applyNumberFormat="1" applyFont="1" applyFill="1" applyBorder="1" applyAlignment="1">
      <alignment horizontal="centerContinuous" vertical="center"/>
    </xf>
    <xf numFmtId="0" fontId="24" fillId="8" borderId="39" xfId="0" applyFont="1" applyFill="1" applyBorder="1" applyAlignment="1">
      <alignment horizontal="center" vertical="center" wrapText="1"/>
    </xf>
    <xf numFmtId="0" fontId="24" fillId="8" borderId="51" xfId="0" applyFont="1" applyFill="1" applyBorder="1" applyAlignment="1">
      <alignment horizontal="center" vertical="center" wrapText="1"/>
    </xf>
    <xf numFmtId="0" fontId="24" fillId="8" borderId="5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4" fillId="27" borderId="3" xfId="0" applyFont="1" applyFill="1" applyBorder="1" applyAlignment="1">
      <alignment vertical="center"/>
    </xf>
    <xf numFmtId="0" fontId="46" fillId="2" borderId="0" xfId="0" applyFont="1" applyFill="1" applyAlignment="1">
      <alignment vertical="center"/>
    </xf>
    <xf numFmtId="0" fontId="77" fillId="28" borderId="5" xfId="0" applyFont="1" applyFill="1" applyBorder="1" applyAlignment="1">
      <alignment horizontal="center" vertical="center"/>
    </xf>
    <xf numFmtId="0" fontId="13" fillId="28" borderId="5" xfId="0" applyFont="1" applyFill="1" applyBorder="1" applyAlignment="1">
      <alignment horizontal="center" vertical="center"/>
    </xf>
    <xf numFmtId="0" fontId="23" fillId="28" borderId="5" xfId="0" applyFont="1" applyFill="1" applyBorder="1" applyAlignment="1">
      <alignment horizontal="center" vertical="center"/>
    </xf>
    <xf numFmtId="0" fontId="23" fillId="28" borderId="5" xfId="0" applyFont="1" applyFill="1" applyBorder="1" applyAlignment="1">
      <alignment vertical="center"/>
    </xf>
    <xf numFmtId="0" fontId="23" fillId="28" borderId="5" xfId="0" applyFont="1" applyFill="1" applyBorder="1" applyAlignment="1">
      <alignment vertical="center" wrapText="1"/>
    </xf>
    <xf numFmtId="0" fontId="23" fillId="28" borderId="1" xfId="0" applyFont="1" applyFill="1" applyBorder="1" applyAlignment="1">
      <alignment vertical="center"/>
    </xf>
    <xf numFmtId="0" fontId="23" fillId="28" borderId="2" xfId="0" applyFont="1" applyFill="1" applyBorder="1" applyAlignment="1">
      <alignment vertical="center"/>
    </xf>
    <xf numFmtId="0" fontId="23" fillId="28" borderId="22" xfId="0" applyFont="1" applyFill="1" applyBorder="1" applyAlignment="1">
      <alignment vertical="center"/>
    </xf>
    <xf numFmtId="0" fontId="23" fillId="28" borderId="5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3" fillId="33" borderId="5" xfId="0" applyFont="1" applyFill="1" applyBorder="1" applyAlignment="1">
      <alignment horizontal="center" vertical="center"/>
    </xf>
    <xf numFmtId="0" fontId="52" fillId="20" borderId="5" xfId="0" applyFont="1" applyFill="1" applyBorder="1" applyAlignment="1">
      <alignment horizontal="left" vertical="center"/>
    </xf>
    <xf numFmtId="1" fontId="8" fillId="13" borderId="5" xfId="0" applyNumberFormat="1" applyFont="1" applyFill="1" applyBorder="1" applyAlignment="1">
      <alignment horizontal="center" vertical="center"/>
    </xf>
    <xf numFmtId="10" fontId="8" fillId="13" borderId="5" xfId="0" applyNumberFormat="1" applyFont="1" applyFill="1" applyBorder="1" applyAlignment="1">
      <alignment horizontal="center" vertical="center"/>
    </xf>
    <xf numFmtId="1" fontId="8" fillId="12" borderId="5" xfId="0" applyNumberFormat="1" applyFont="1" applyFill="1" applyBorder="1" applyAlignment="1">
      <alignment horizontal="center" vertical="center"/>
    </xf>
    <xf numFmtId="10" fontId="8" fillId="12" borderId="5" xfId="0" applyNumberFormat="1" applyFont="1" applyFill="1" applyBorder="1" applyAlignment="1">
      <alignment horizontal="center" vertical="center"/>
    </xf>
    <xf numFmtId="1" fontId="8" fillId="31" borderId="5" xfId="0" applyNumberFormat="1" applyFont="1" applyFill="1" applyBorder="1" applyAlignment="1">
      <alignment horizontal="center" vertical="center"/>
    </xf>
    <xf numFmtId="10" fontId="8" fillId="31" borderId="5" xfId="0" applyNumberFormat="1" applyFont="1" applyFill="1" applyBorder="1" applyAlignment="1">
      <alignment horizontal="center" vertical="center"/>
    </xf>
    <xf numFmtId="1" fontId="8" fillId="20" borderId="5" xfId="0" applyNumberFormat="1" applyFont="1" applyFill="1" applyBorder="1" applyAlignment="1">
      <alignment horizontal="center" vertical="center"/>
    </xf>
    <xf numFmtId="9" fontId="8" fillId="20" borderId="5" xfId="1" applyFont="1" applyFill="1" applyBorder="1" applyAlignment="1">
      <alignment horizontal="center" vertical="center"/>
    </xf>
    <xf numFmtId="0" fontId="72" fillId="34" borderId="5" xfId="0" applyFont="1" applyFill="1" applyBorder="1" applyAlignment="1">
      <alignment horizontal="center" vertical="center"/>
    </xf>
    <xf numFmtId="0" fontId="72" fillId="33" borderId="5" xfId="0" applyFont="1" applyFill="1" applyBorder="1" applyAlignment="1">
      <alignment horizontal="center" vertical="center"/>
    </xf>
    <xf numFmtId="0" fontId="72" fillId="33" borderId="7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79" fillId="2" borderId="0" xfId="0" applyFont="1" applyFill="1" applyAlignment="1">
      <alignment horizontal="left" vertical="center"/>
    </xf>
    <xf numFmtId="1" fontId="78" fillId="2" borderId="0" xfId="0" applyNumberFormat="1" applyFont="1" applyFill="1" applyAlignment="1">
      <alignment horizontal="center" vertical="center"/>
    </xf>
    <xf numFmtId="10" fontId="78" fillId="2" borderId="0" xfId="0" applyNumberFormat="1" applyFont="1" applyFill="1" applyAlignment="1">
      <alignment horizontal="center" vertical="center"/>
    </xf>
    <xf numFmtId="9" fontId="78" fillId="2" borderId="0" xfId="1" applyFont="1" applyFill="1" applyAlignment="1">
      <alignment horizontal="center" vertical="center"/>
    </xf>
    <xf numFmtId="0" fontId="45" fillId="2" borderId="0" xfId="0" applyFont="1" applyFill="1"/>
    <xf numFmtId="2" fontId="5" fillId="27" borderId="1" xfId="0" applyNumberFormat="1" applyFont="1" applyFill="1" applyBorder="1" applyAlignment="1">
      <alignment vertical="center"/>
    </xf>
    <xf numFmtId="2" fontId="5" fillId="27" borderId="2" xfId="0" applyNumberFormat="1" applyFont="1" applyFill="1" applyBorder="1" applyAlignment="1">
      <alignment vertical="center"/>
    </xf>
    <xf numFmtId="0" fontId="80" fillId="27" borderId="2" xfId="0" applyFont="1" applyFill="1" applyBorder="1" applyAlignment="1">
      <alignment horizontal="center" vertical="center"/>
    </xf>
    <xf numFmtId="10" fontId="80" fillId="27" borderId="2" xfId="0" applyNumberFormat="1" applyFont="1" applyFill="1" applyBorder="1" applyAlignment="1">
      <alignment horizontal="center" vertical="center"/>
    </xf>
    <xf numFmtId="0" fontId="8" fillId="27" borderId="2" xfId="0" applyFont="1" applyFill="1" applyBorder="1" applyAlignment="1">
      <alignment horizontal="center" vertical="center"/>
    </xf>
    <xf numFmtId="0" fontId="81" fillId="27" borderId="2" xfId="0" applyFont="1" applyFill="1" applyBorder="1" applyAlignment="1">
      <alignment horizontal="center" vertical="center"/>
    </xf>
    <xf numFmtId="0" fontId="68" fillId="27" borderId="9" xfId="0" applyFont="1" applyFill="1" applyBorder="1" applyAlignment="1">
      <alignment vertical="center"/>
    </xf>
    <xf numFmtId="0" fontId="68" fillId="27" borderId="3" xfId="0" applyFont="1" applyFill="1" applyBorder="1" applyAlignment="1">
      <alignment vertical="center"/>
    </xf>
    <xf numFmtId="0" fontId="68" fillId="27" borderId="4" xfId="0" applyFont="1" applyFill="1" applyBorder="1" applyAlignment="1">
      <alignment vertical="center"/>
    </xf>
    <xf numFmtId="0" fontId="23" fillId="28" borderId="1" xfId="0" applyFont="1" applyFill="1" applyBorder="1" applyAlignment="1">
      <alignment horizontal="centerContinuous" vertical="center"/>
    </xf>
    <xf numFmtId="0" fontId="23" fillId="28" borderId="22" xfId="0" applyFont="1" applyFill="1" applyBorder="1" applyAlignment="1">
      <alignment horizontal="centerContinuous" vertical="center"/>
    </xf>
    <xf numFmtId="0" fontId="23" fillId="28" borderId="2" xfId="0" applyFont="1" applyFill="1" applyBorder="1" applyAlignment="1">
      <alignment horizontal="center" vertical="center"/>
    </xf>
    <xf numFmtId="0" fontId="5" fillId="27" borderId="11" xfId="0" applyFont="1" applyFill="1" applyBorder="1" applyAlignment="1">
      <alignment horizontal="center" vertical="center" wrapText="1"/>
    </xf>
    <xf numFmtId="0" fontId="5" fillId="27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18" fillId="27" borderId="28" xfId="0" applyNumberFormat="1" applyFont="1" applyFill="1" applyBorder="1" applyAlignment="1">
      <alignment vertical="top"/>
    </xf>
    <xf numFmtId="0" fontId="18" fillId="27" borderId="29" xfId="0" applyFont="1" applyFill="1" applyBorder="1" applyAlignment="1">
      <alignment horizontal="right" vertical="center"/>
    </xf>
    <xf numFmtId="0" fontId="84" fillId="28" borderId="5" xfId="0" applyFont="1" applyFill="1" applyBorder="1" applyAlignment="1">
      <alignment horizontal="center" vertical="center"/>
    </xf>
    <xf numFmtId="0" fontId="85" fillId="28" borderId="5" xfId="0" applyFont="1" applyFill="1" applyBorder="1" applyAlignment="1">
      <alignment horizontal="center" vertical="center" wrapText="1"/>
    </xf>
    <xf numFmtId="0" fontId="13" fillId="28" borderId="1" xfId="0" applyFont="1" applyFill="1" applyBorder="1" applyAlignment="1">
      <alignment horizontal="center" vertical="center"/>
    </xf>
    <xf numFmtId="0" fontId="13" fillId="28" borderId="1" xfId="0" applyFont="1" applyFill="1" applyBorder="1" applyAlignment="1">
      <alignment horizontal="centerContinuous" vertical="center"/>
    </xf>
    <xf numFmtId="0" fontId="13" fillId="28" borderId="2" xfId="0" applyFont="1" applyFill="1" applyBorder="1" applyAlignment="1">
      <alignment horizontal="centerContinuous" vertical="center"/>
    </xf>
    <xf numFmtId="0" fontId="13" fillId="28" borderId="22" xfId="0" applyFont="1" applyFill="1" applyBorder="1" applyAlignment="1">
      <alignment horizontal="centerContinuous" vertical="center"/>
    </xf>
    <xf numFmtId="0" fontId="85" fillId="28" borderId="22" xfId="0" applyFont="1" applyFill="1" applyBorder="1" applyAlignment="1">
      <alignment horizontal="center" vertical="center" wrapText="1"/>
    </xf>
    <xf numFmtId="0" fontId="52" fillId="27" borderId="5" xfId="0" applyFont="1" applyFill="1" applyBorder="1" applyAlignment="1">
      <alignment horizontal="center" vertical="center"/>
    </xf>
    <xf numFmtId="10" fontId="87" fillId="35" borderId="43" xfId="0" applyNumberFormat="1" applyFont="1" applyFill="1" applyBorder="1" applyAlignment="1">
      <alignment horizontal="center" vertical="center"/>
    </xf>
    <xf numFmtId="0" fontId="52" fillId="31" borderId="15" xfId="0" applyFont="1" applyFill="1" applyBorder="1" applyAlignment="1">
      <alignment vertical="center"/>
    </xf>
    <xf numFmtId="0" fontId="52" fillId="31" borderId="16" xfId="0" applyFont="1" applyFill="1" applyBorder="1" applyAlignment="1">
      <alignment vertical="center"/>
    </xf>
    <xf numFmtId="0" fontId="5" fillId="27" borderId="5" xfId="0" applyFont="1" applyFill="1" applyBorder="1" applyAlignment="1">
      <alignment horizontal="center" vertical="center"/>
    </xf>
    <xf numFmtId="0" fontId="52" fillId="31" borderId="2" xfId="0" applyFont="1" applyFill="1" applyBorder="1" applyAlignment="1">
      <alignment vertical="center"/>
    </xf>
    <xf numFmtId="0" fontId="52" fillId="31" borderId="22" xfId="0" applyFont="1" applyFill="1" applyBorder="1" applyAlignment="1">
      <alignment vertical="center"/>
    </xf>
    <xf numFmtId="10" fontId="87" fillId="35" borderId="35" xfId="0" applyNumberFormat="1" applyFont="1" applyFill="1" applyBorder="1" applyAlignment="1">
      <alignment horizontal="center" vertical="center"/>
    </xf>
    <xf numFmtId="0" fontId="5" fillId="27" borderId="9" xfId="0" applyFont="1" applyFill="1" applyBorder="1"/>
    <xf numFmtId="10" fontId="5" fillId="27" borderId="2" xfId="0" applyNumberFormat="1" applyFont="1" applyFill="1" applyBorder="1" applyAlignment="1">
      <alignment horizontal="right" vertical="center"/>
    </xf>
    <xf numFmtId="0" fontId="3" fillId="2" borderId="0" xfId="0" applyFont="1" applyFill="1"/>
    <xf numFmtId="49" fontId="82" fillId="31" borderId="7" xfId="0" applyNumberFormat="1" applyFont="1" applyFill="1" applyBorder="1" applyAlignment="1">
      <alignment horizontal="centerContinuous" vertical="center"/>
    </xf>
    <xf numFmtId="49" fontId="82" fillId="31" borderId="5" xfId="0" applyNumberFormat="1" applyFont="1" applyFill="1" applyBorder="1" applyAlignment="1">
      <alignment horizontal="centerContinuous" vertical="center"/>
    </xf>
    <xf numFmtId="2" fontId="45" fillId="0" borderId="0" xfId="0" applyNumberFormat="1" applyFont="1"/>
    <xf numFmtId="4" fontId="45" fillId="0" borderId="0" xfId="0" applyNumberFormat="1" applyFont="1"/>
    <xf numFmtId="0" fontId="0" fillId="0" borderId="0" xfId="0" applyAlignment="1">
      <alignment horizontal="center"/>
    </xf>
    <xf numFmtId="0" fontId="52" fillId="20" borderId="22" xfId="0" applyFont="1" applyFill="1" applyBorder="1" applyAlignment="1">
      <alignment horizontal="left" vertical="center"/>
    </xf>
    <xf numFmtId="2" fontId="18" fillId="27" borderId="28" xfId="0" applyNumberFormat="1" applyFont="1" applyFill="1" applyBorder="1" applyAlignment="1">
      <alignment horizontal="right" vertical="center"/>
    </xf>
    <xf numFmtId="0" fontId="90" fillId="10" borderId="19" xfId="0" applyFont="1" applyFill="1" applyBorder="1" applyAlignment="1">
      <alignment horizontal="centerContinuous" vertical="center"/>
    </xf>
    <xf numFmtId="0" fontId="90" fillId="10" borderId="15" xfId="0" applyFont="1" applyFill="1" applyBorder="1" applyAlignment="1">
      <alignment horizontal="centerContinuous" vertical="center"/>
    </xf>
    <xf numFmtId="10" fontId="5" fillId="27" borderId="1" xfId="0" applyNumberFormat="1" applyFont="1" applyFill="1" applyBorder="1" applyAlignment="1">
      <alignment horizontal="right" vertical="center"/>
    </xf>
    <xf numFmtId="10" fontId="81" fillId="27" borderId="22" xfId="0" applyNumberFormat="1" applyFont="1" applyFill="1" applyBorder="1" applyAlignment="1">
      <alignment vertical="center"/>
    </xf>
    <xf numFmtId="0" fontId="80" fillId="27" borderId="0" xfId="0" applyFont="1" applyFill="1" applyAlignment="1">
      <alignment horizontal="center" vertical="center"/>
    </xf>
    <xf numFmtId="10" fontId="80" fillId="27" borderId="0" xfId="0" applyNumberFormat="1" applyFont="1" applyFill="1" applyAlignment="1">
      <alignment horizontal="center" vertical="center"/>
    </xf>
    <xf numFmtId="0" fontId="80" fillId="27" borderId="15" xfId="0" applyFont="1" applyFill="1" applyBorder="1" applyAlignment="1">
      <alignment horizontal="center" vertical="center"/>
    </xf>
    <xf numFmtId="10" fontId="80" fillId="27" borderId="15" xfId="0" applyNumberFormat="1" applyFont="1" applyFill="1" applyBorder="1" applyAlignment="1">
      <alignment horizontal="center" vertical="center"/>
    </xf>
    <xf numFmtId="0" fontId="5" fillId="27" borderId="16" xfId="0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49" fontId="5" fillId="36" borderId="0" xfId="0" applyNumberFormat="1" applyFont="1" applyFill="1" applyAlignment="1">
      <alignment vertical="center"/>
    </xf>
    <xf numFmtId="49" fontId="5" fillId="36" borderId="19" xfId="0" applyNumberFormat="1" applyFont="1" applyFill="1" applyBorder="1" applyAlignment="1">
      <alignment vertical="center"/>
    </xf>
    <xf numFmtId="49" fontId="8" fillId="36" borderId="11" xfId="0" applyNumberFormat="1" applyFont="1" applyFill="1" applyBorder="1" applyAlignment="1">
      <alignment vertical="center"/>
    </xf>
    <xf numFmtId="49" fontId="5" fillId="36" borderId="15" xfId="0" applyNumberFormat="1" applyFont="1" applyFill="1" applyBorder="1" applyAlignment="1">
      <alignment vertical="center"/>
    </xf>
    <xf numFmtId="49" fontId="8" fillId="36" borderId="16" xfId="0" applyNumberFormat="1" applyFont="1" applyFill="1" applyBorder="1" applyAlignment="1">
      <alignment vertical="center"/>
    </xf>
    <xf numFmtId="0" fontId="88" fillId="10" borderId="33" xfId="0" applyFont="1" applyFill="1" applyBorder="1" applyAlignment="1">
      <alignment vertical="center"/>
    </xf>
    <xf numFmtId="0" fontId="88" fillId="10" borderId="49" xfId="0" applyFont="1" applyFill="1" applyBorder="1" applyAlignment="1">
      <alignment vertical="center"/>
    </xf>
    <xf numFmtId="2" fontId="18" fillId="27" borderId="9" xfId="0" applyNumberFormat="1" applyFont="1" applyFill="1" applyBorder="1" applyAlignment="1">
      <alignment horizontal="left" vertical="top"/>
    </xf>
    <xf numFmtId="2" fontId="18" fillId="27" borderId="3" xfId="0" applyNumberFormat="1" applyFont="1" applyFill="1" applyBorder="1" applyAlignment="1">
      <alignment horizontal="right" vertical="center"/>
    </xf>
    <xf numFmtId="2" fontId="18" fillId="27" borderId="3" xfId="0" applyNumberFormat="1" applyFont="1" applyFill="1" applyBorder="1" applyAlignment="1">
      <alignment horizontal="centerContinuous" vertical="center"/>
    </xf>
    <xf numFmtId="2" fontId="18" fillId="27" borderId="4" xfId="0" applyNumberFormat="1" applyFont="1" applyFill="1" applyBorder="1" applyAlignment="1">
      <alignment horizontal="right" vertical="center"/>
    </xf>
    <xf numFmtId="0" fontId="88" fillId="10" borderId="53" xfId="0" applyFont="1" applyFill="1" applyBorder="1" applyAlignment="1">
      <alignment vertical="center"/>
    </xf>
    <xf numFmtId="0" fontId="88" fillId="10" borderId="50" xfId="0" applyFont="1" applyFill="1" applyBorder="1" applyAlignment="1">
      <alignment horizontal="right" vertical="center"/>
    </xf>
    <xf numFmtId="0" fontId="86" fillId="7" borderId="1" xfId="0" applyFont="1" applyFill="1" applyBorder="1" applyAlignment="1">
      <alignment horizontal="center" vertical="center"/>
    </xf>
    <xf numFmtId="10" fontId="87" fillId="35" borderId="5" xfId="0" applyNumberFormat="1" applyFont="1" applyFill="1" applyBorder="1" applyAlignment="1">
      <alignment horizontal="center" vertical="center"/>
    </xf>
    <xf numFmtId="49" fontId="82" fillId="31" borderId="14" xfId="0" applyNumberFormat="1" applyFont="1" applyFill="1" applyBorder="1" applyAlignment="1">
      <alignment horizontal="centerContinuous" vertical="center"/>
    </xf>
    <xf numFmtId="49" fontId="82" fillId="31" borderId="1" xfId="0" applyNumberFormat="1" applyFont="1" applyFill="1" applyBorder="1" applyAlignment="1">
      <alignment horizontal="centerContinuous" vertical="center"/>
    </xf>
    <xf numFmtId="0" fontId="23" fillId="28" borderId="9" xfId="0" applyFont="1" applyFill="1" applyBorder="1" applyAlignment="1">
      <alignment horizontal="centerContinuous" vertical="center"/>
    </xf>
    <xf numFmtId="0" fontId="23" fillId="28" borderId="3" xfId="0" applyFont="1" applyFill="1" applyBorder="1" applyAlignment="1">
      <alignment horizontal="centerContinuous" vertical="center"/>
    </xf>
    <xf numFmtId="0" fontId="89" fillId="35" borderId="0" xfId="0" applyFont="1" applyFill="1" applyAlignment="1">
      <alignment horizontal="centerContinuous" vertical="center"/>
    </xf>
    <xf numFmtId="49" fontId="5" fillId="36" borderId="1" xfId="0" applyNumberFormat="1" applyFont="1" applyFill="1" applyBorder="1" applyAlignment="1">
      <alignment vertical="center"/>
    </xf>
    <xf numFmtId="49" fontId="5" fillId="36" borderId="2" xfId="0" applyNumberFormat="1" applyFont="1" applyFill="1" applyBorder="1" applyAlignment="1">
      <alignment vertical="center"/>
    </xf>
    <xf numFmtId="49" fontId="8" fillId="36" borderId="22" xfId="0" applyNumberFormat="1" applyFont="1" applyFill="1" applyBorder="1" applyAlignment="1">
      <alignment vertical="center"/>
    </xf>
    <xf numFmtId="0" fontId="45" fillId="0" borderId="0" xfId="0" applyFont="1" applyAlignment="1">
      <alignment horizontal="center"/>
    </xf>
    <xf numFmtId="0" fontId="45" fillId="0" borderId="0" xfId="0" applyFont="1"/>
    <xf numFmtId="0" fontId="45" fillId="0" borderId="0" xfId="0" applyFont="1" applyAlignment="1">
      <alignment horizontal="center" vertical="center"/>
    </xf>
    <xf numFmtId="0" fontId="45" fillId="0" borderId="5" xfId="0" applyFont="1" applyBorder="1"/>
    <xf numFmtId="0" fontId="24" fillId="0" borderId="0" xfId="0" applyFont="1" applyAlignment="1">
      <alignment horizontal="left"/>
    </xf>
    <xf numFmtId="0" fontId="63" fillId="15" borderId="1" xfId="0" applyFont="1" applyFill="1" applyBorder="1" applyAlignment="1">
      <alignment horizontal="centerContinuous" vertical="center"/>
    </xf>
    <xf numFmtId="0" fontId="63" fillId="15" borderId="2" xfId="0" applyFont="1" applyFill="1" applyBorder="1" applyAlignment="1">
      <alignment horizontal="centerContinuous" vertical="center"/>
    </xf>
    <xf numFmtId="0" fontId="63" fillId="15" borderId="22" xfId="0" applyFont="1" applyFill="1" applyBorder="1" applyAlignment="1">
      <alignment horizontal="centerContinuous" vertical="center"/>
    </xf>
    <xf numFmtId="0" fontId="72" fillId="15" borderId="0" xfId="0" applyFont="1" applyFill="1" applyAlignment="1">
      <alignment horizontal="centerContinuous" vertical="center"/>
    </xf>
    <xf numFmtId="0" fontId="91" fillId="12" borderId="5" xfId="0" applyFont="1" applyFill="1" applyBorder="1" applyAlignment="1">
      <alignment horizontal="center" vertical="center"/>
    </xf>
    <xf numFmtId="0" fontId="91" fillId="12" borderId="22" xfId="0" applyFont="1" applyFill="1" applyBorder="1" applyAlignment="1">
      <alignment horizontal="center" vertical="center"/>
    </xf>
    <xf numFmtId="0" fontId="89" fillId="35" borderId="22" xfId="0" applyFont="1" applyFill="1" applyBorder="1" applyAlignment="1">
      <alignment horizontal="centerContinuous" vertical="center"/>
    </xf>
    <xf numFmtId="0" fontId="53" fillId="8" borderId="34" xfId="0" applyFont="1" applyFill="1" applyBorder="1" applyAlignment="1">
      <alignment horizontal="center" vertical="center"/>
    </xf>
    <xf numFmtId="0" fontId="20" fillId="8" borderId="51" xfId="0" applyFont="1" applyFill="1" applyBorder="1" applyAlignment="1">
      <alignment horizontal="center" vertical="center" wrapText="1"/>
    </xf>
    <xf numFmtId="0" fontId="53" fillId="8" borderId="54" xfId="0" applyFont="1" applyFill="1" applyBorder="1" applyAlignment="1">
      <alignment horizontal="center" vertical="center" wrapText="1"/>
    </xf>
    <xf numFmtId="0" fontId="53" fillId="8" borderId="51" xfId="0" applyFont="1" applyFill="1" applyBorder="1" applyAlignment="1">
      <alignment horizontal="center" vertical="center"/>
    </xf>
    <xf numFmtId="0" fontId="53" fillId="8" borderId="54" xfId="0" applyFont="1" applyFill="1" applyBorder="1" applyAlignment="1">
      <alignment horizontal="center" vertical="center"/>
    </xf>
    <xf numFmtId="0" fontId="53" fillId="8" borderId="0" xfId="0" applyFont="1" applyFill="1" applyAlignment="1">
      <alignment horizontal="center" vertical="center"/>
    </xf>
    <xf numFmtId="0" fontId="53" fillId="8" borderId="55" xfId="0" applyFont="1" applyFill="1" applyBorder="1" applyAlignment="1">
      <alignment horizontal="center" vertical="center"/>
    </xf>
    <xf numFmtId="49" fontId="53" fillId="8" borderId="0" xfId="0" applyNumberFormat="1" applyFont="1" applyFill="1" applyAlignment="1">
      <alignment horizontal="center" vertical="center"/>
    </xf>
    <xf numFmtId="49" fontId="53" fillId="8" borderId="34" xfId="0" applyNumberFormat="1" applyFont="1" applyFill="1" applyBorder="1" applyAlignment="1">
      <alignment horizontal="center" vertical="center"/>
    </xf>
    <xf numFmtId="49" fontId="53" fillId="8" borderId="21" xfId="0" applyNumberFormat="1" applyFont="1" applyFill="1" applyBorder="1" applyAlignment="1">
      <alignment horizontal="center" vertical="center"/>
    </xf>
    <xf numFmtId="0" fontId="53" fillId="8" borderId="21" xfId="0" applyFont="1" applyFill="1" applyBorder="1" applyAlignment="1">
      <alignment horizontal="center" vertical="center"/>
    </xf>
    <xf numFmtId="0" fontId="55" fillId="37" borderId="5" xfId="0" applyFont="1" applyFill="1" applyBorder="1" applyAlignment="1">
      <alignment horizontal="left" vertical="center" shrinkToFit="1"/>
    </xf>
    <xf numFmtId="1" fontId="56" fillId="37" borderId="5" xfId="0" applyNumberFormat="1" applyFont="1" applyFill="1" applyBorder="1" applyAlignment="1">
      <alignment horizontal="center" vertical="center" shrinkToFit="1"/>
    </xf>
    <xf numFmtId="0" fontId="56" fillId="37" borderId="5" xfId="0" applyFont="1" applyFill="1" applyBorder="1" applyAlignment="1">
      <alignment horizontal="center" vertical="center" shrinkToFit="1"/>
    </xf>
    <xf numFmtId="0" fontId="56" fillId="37" borderId="5" xfId="0" applyFont="1" applyFill="1" applyBorder="1" applyAlignment="1">
      <alignment horizontal="center" vertical="center"/>
    </xf>
    <xf numFmtId="1" fontId="56" fillId="37" borderId="5" xfId="2" applyNumberFormat="1" applyFont="1" applyFill="1" applyBorder="1" applyAlignment="1">
      <alignment horizontal="center" vertical="center" shrinkToFit="1"/>
    </xf>
    <xf numFmtId="0" fontId="56" fillId="37" borderId="5" xfId="2" applyFont="1" applyFill="1" applyBorder="1" applyAlignment="1">
      <alignment horizontal="center" vertical="center" shrinkToFit="1"/>
    </xf>
    <xf numFmtId="1" fontId="56" fillId="37" borderId="5" xfId="2" applyNumberFormat="1" applyFont="1" applyFill="1" applyBorder="1" applyAlignment="1">
      <alignment horizontal="center" vertical="center"/>
    </xf>
    <xf numFmtId="0" fontId="56" fillId="37" borderId="5" xfId="0" applyFont="1" applyFill="1" applyBorder="1" applyAlignment="1">
      <alignment horizontal="center" vertical="center" wrapText="1"/>
    </xf>
    <xf numFmtId="1" fontId="56" fillId="37" borderId="5" xfId="0" applyNumberFormat="1" applyFont="1" applyFill="1" applyBorder="1" applyAlignment="1">
      <alignment horizontal="center" vertical="center"/>
    </xf>
    <xf numFmtId="0" fontId="73" fillId="4" borderId="28" xfId="0" applyFont="1" applyFill="1" applyBorder="1" applyAlignment="1">
      <alignment horizontal="centerContinuous" vertical="center"/>
    </xf>
    <xf numFmtId="0" fontId="63" fillId="26" borderId="0" xfId="0" applyFont="1" applyFill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0" fontId="47" fillId="0" borderId="11" xfId="0" applyFont="1" applyBorder="1" applyAlignment="1">
      <alignment horizontal="center" vertical="center"/>
    </xf>
    <xf numFmtId="0" fontId="47" fillId="0" borderId="16" xfId="0" applyFont="1" applyBorder="1" applyAlignment="1">
      <alignment horizontal="center" vertical="center"/>
    </xf>
    <xf numFmtId="0" fontId="62" fillId="11" borderId="3" xfId="0" applyFont="1" applyFill="1" applyBorder="1" applyAlignment="1">
      <alignment horizontal="center" vertical="center"/>
    </xf>
    <xf numFmtId="0" fontId="62" fillId="11" borderId="0" xfId="0" applyFont="1" applyFill="1" applyAlignment="1">
      <alignment horizontal="center" vertical="center"/>
    </xf>
    <xf numFmtId="0" fontId="2" fillId="25" borderId="0" xfId="0" applyFont="1" applyFill="1" applyAlignment="1">
      <alignment horizontal="centerContinuous" vertical="center"/>
    </xf>
    <xf numFmtId="0" fontId="2" fillId="25" borderId="11" xfId="0" applyFont="1" applyFill="1" applyBorder="1" applyAlignment="1">
      <alignment horizontal="centerContinuous" vertical="center"/>
    </xf>
    <xf numFmtId="0" fontId="12" fillId="7" borderId="12" xfId="0" applyFont="1" applyFill="1" applyBorder="1" applyAlignment="1">
      <alignment vertical="top"/>
    </xf>
    <xf numFmtId="0" fontId="66" fillId="0" borderId="9" xfId="0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19" xfId="0" applyFont="1" applyBorder="1" applyAlignment="1">
      <alignment horizontal="left" vertical="center"/>
    </xf>
    <xf numFmtId="0" fontId="62" fillId="0" borderId="14" xfId="0" applyFont="1" applyBorder="1" applyAlignment="1">
      <alignment horizontal="left" vertical="center"/>
    </xf>
    <xf numFmtId="0" fontId="4" fillId="15" borderId="56" xfId="0" applyFont="1" applyFill="1" applyBorder="1" applyAlignment="1">
      <alignment vertical="center"/>
    </xf>
    <xf numFmtId="0" fontId="4" fillId="15" borderId="46" xfId="0" applyFont="1" applyFill="1" applyBorder="1" applyAlignment="1">
      <alignment vertical="center"/>
    </xf>
    <xf numFmtId="0" fontId="4" fillId="15" borderId="46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vertical="center"/>
    </xf>
    <xf numFmtId="0" fontId="4" fillId="15" borderId="47" xfId="0" applyFont="1" applyFill="1" applyBorder="1" applyAlignment="1">
      <alignment vertical="center"/>
    </xf>
    <xf numFmtId="0" fontId="73" fillId="0" borderId="53" xfId="0" applyFont="1" applyBorder="1" applyAlignment="1">
      <alignment horizontal="centerContinuous" vertical="center"/>
    </xf>
    <xf numFmtId="2" fontId="50" fillId="5" borderId="50" xfId="0" applyNumberFormat="1" applyFont="1" applyFill="1" applyBorder="1" applyAlignment="1">
      <alignment vertical="center"/>
    </xf>
    <xf numFmtId="2" fontId="50" fillId="5" borderId="11" xfId="0" applyNumberFormat="1" applyFont="1" applyFill="1" applyBorder="1" applyAlignment="1">
      <alignment vertical="center"/>
    </xf>
    <xf numFmtId="2" fontId="50" fillId="5" borderId="57" xfId="0" applyNumberFormat="1" applyFont="1" applyFill="1" applyBorder="1" applyAlignment="1">
      <alignment horizontal="centerContinuous" vertical="center"/>
    </xf>
    <xf numFmtId="0" fontId="24" fillId="8" borderId="58" xfId="0" applyFont="1" applyFill="1" applyBorder="1" applyAlignment="1">
      <alignment horizontal="center" vertical="center" wrapText="1"/>
    </xf>
    <xf numFmtId="0" fontId="54" fillId="0" borderId="5" xfId="0" applyFont="1" applyBorder="1" applyAlignment="1">
      <alignment horizontal="center" vertical="center"/>
    </xf>
    <xf numFmtId="2" fontId="54" fillId="2" borderId="5" xfId="0" applyNumberFormat="1" applyFont="1" applyFill="1" applyBorder="1" applyAlignment="1">
      <alignment horizontal="right" vertical="center"/>
    </xf>
    <xf numFmtId="0" fontId="8" fillId="15" borderId="19" xfId="0" applyFont="1" applyFill="1" applyBorder="1" applyAlignment="1">
      <alignment vertical="center"/>
    </xf>
    <xf numFmtId="0" fontId="8" fillId="15" borderId="0" xfId="0" applyFont="1" applyFill="1" applyAlignment="1">
      <alignment vertical="center"/>
    </xf>
    <xf numFmtId="0" fontId="20" fillId="15" borderId="0" xfId="0" applyFont="1" applyFill="1"/>
    <xf numFmtId="0" fontId="20" fillId="15" borderId="0" xfId="0" applyFont="1" applyFill="1" applyAlignment="1">
      <alignment horizontal="center"/>
    </xf>
    <xf numFmtId="4" fontId="23" fillId="12" borderId="59" xfId="0" applyNumberFormat="1" applyFont="1" applyFill="1" applyBorder="1" applyAlignment="1">
      <alignment horizontal="right" vertical="center"/>
    </xf>
    <xf numFmtId="4" fontId="23" fillId="31" borderId="60" xfId="0" applyNumberFormat="1" applyFont="1" applyFill="1" applyBorder="1" applyAlignment="1">
      <alignment vertical="center"/>
    </xf>
    <xf numFmtId="0" fontId="8" fillId="15" borderId="14" xfId="0" applyFont="1" applyFill="1" applyBorder="1" applyAlignment="1">
      <alignment vertical="center"/>
    </xf>
    <xf numFmtId="0" fontId="8" fillId="15" borderId="15" xfId="0" applyFont="1" applyFill="1" applyBorder="1" applyAlignment="1">
      <alignment vertical="center"/>
    </xf>
    <xf numFmtId="0" fontId="20" fillId="15" borderId="15" xfId="0" applyFont="1" applyFill="1" applyBorder="1"/>
    <xf numFmtId="0" fontId="20" fillId="15" borderId="15" xfId="0" applyFont="1" applyFill="1" applyBorder="1" applyAlignment="1">
      <alignment horizontal="center"/>
    </xf>
    <xf numFmtId="4" fontId="23" fillId="15" borderId="61" xfId="0" applyNumberFormat="1" applyFont="1" applyFill="1" applyBorder="1" applyAlignment="1">
      <alignment horizontal="right" vertical="center"/>
    </xf>
    <xf numFmtId="0" fontId="73" fillId="4" borderId="29" xfId="0" applyFont="1" applyFill="1" applyBorder="1" applyAlignment="1">
      <alignment horizontal="centerContinuous" vertical="center"/>
    </xf>
    <xf numFmtId="0" fontId="73" fillId="4" borderId="30" xfId="0" applyFont="1" applyFill="1" applyBorder="1" applyAlignment="1">
      <alignment horizontal="centerContinuous" vertical="center"/>
    </xf>
    <xf numFmtId="4" fontId="89" fillId="35" borderId="1" xfId="0" applyNumberFormat="1" applyFont="1" applyFill="1" applyBorder="1" applyAlignment="1">
      <alignment horizontal="centerContinuous" vertical="center"/>
    </xf>
    <xf numFmtId="0" fontId="5" fillId="36" borderId="1" xfId="0" applyFont="1" applyFill="1" applyBorder="1" applyAlignment="1">
      <alignment vertical="center"/>
    </xf>
    <xf numFmtId="4" fontId="5" fillId="32" borderId="59" xfId="0" applyNumberFormat="1" applyFont="1" applyFill="1" applyBorder="1" applyAlignment="1">
      <alignment horizontal="right" vertical="center"/>
    </xf>
    <xf numFmtId="1" fontId="89" fillId="35" borderId="1" xfId="0" applyNumberFormat="1" applyFont="1" applyFill="1" applyBorder="1" applyAlignment="1">
      <alignment horizontal="centerContinuous" vertical="center"/>
    </xf>
    <xf numFmtId="0" fontId="52" fillId="31" borderId="22" xfId="0" applyFont="1" applyFill="1" applyBorder="1" applyAlignment="1">
      <alignment horizontal="left" vertical="center"/>
    </xf>
    <xf numFmtId="0" fontId="52" fillId="31" borderId="5" xfId="0" applyFont="1" applyFill="1" applyBorder="1" applyAlignment="1">
      <alignment horizontal="left" vertical="center"/>
    </xf>
    <xf numFmtId="0" fontId="52" fillId="0" borderId="0" xfId="0" applyFont="1" applyAlignment="1">
      <alignment horizontal="center" vertical="center"/>
    </xf>
    <xf numFmtId="10" fontId="87" fillId="0" borderId="0" xfId="0" applyNumberFormat="1" applyFont="1" applyAlignment="1">
      <alignment horizontal="center" vertical="center"/>
    </xf>
    <xf numFmtId="2" fontId="18" fillId="27" borderId="56" xfId="0" applyNumberFormat="1" applyFont="1" applyFill="1" applyBorder="1" applyAlignment="1">
      <alignment vertical="top"/>
    </xf>
    <xf numFmtId="2" fontId="8" fillId="27" borderId="46" xfId="0" applyNumberFormat="1" applyFont="1" applyFill="1" applyBorder="1" applyAlignment="1">
      <alignment vertical="center"/>
    </xf>
    <xf numFmtId="2" fontId="18" fillId="27" borderId="62" xfId="0" applyNumberFormat="1" applyFont="1" applyFill="1" applyBorder="1" applyAlignment="1">
      <alignment horizontal="right" vertical="center"/>
    </xf>
    <xf numFmtId="0" fontId="18" fillId="27" borderId="46" xfId="0" applyFont="1" applyFill="1" applyBorder="1" applyAlignment="1">
      <alignment vertical="center"/>
    </xf>
    <xf numFmtId="0" fontId="18" fillId="27" borderId="46" xfId="0" applyFont="1" applyFill="1" applyBorder="1" applyAlignment="1">
      <alignment horizontal="right" vertical="center"/>
    </xf>
    <xf numFmtId="10" fontId="18" fillId="27" borderId="47" xfId="0" applyNumberFormat="1" applyFont="1" applyFill="1" applyBorder="1" applyAlignment="1">
      <alignment vertical="center"/>
    </xf>
    <xf numFmtId="0" fontId="88" fillId="10" borderId="13" xfId="0" applyFont="1" applyFill="1" applyBorder="1" applyAlignment="1">
      <alignment vertical="center"/>
    </xf>
    <xf numFmtId="0" fontId="88" fillId="10" borderId="63" xfId="0" applyFont="1" applyFill="1" applyBorder="1" applyAlignment="1">
      <alignment horizontal="right" vertical="center"/>
    </xf>
    <xf numFmtId="0" fontId="52" fillId="0" borderId="0" xfId="0" applyFont="1" applyAlignment="1">
      <alignment horizontal="left" vertical="center"/>
    </xf>
    <xf numFmtId="1" fontId="89" fillId="35" borderId="14" xfId="0" applyNumberFormat="1" applyFont="1" applyFill="1" applyBorder="1" applyAlignment="1">
      <alignment horizontal="centerContinuous" vertical="center"/>
    </xf>
    <xf numFmtId="0" fontId="77" fillId="28" borderId="7" xfId="0" applyFont="1" applyFill="1" applyBorder="1" applyAlignment="1">
      <alignment horizontal="center" vertical="center"/>
    </xf>
    <xf numFmtId="0" fontId="13" fillId="28" borderId="7" xfId="0" applyFont="1" applyFill="1" applyBorder="1" applyAlignment="1">
      <alignment horizontal="center" vertical="center"/>
    </xf>
    <xf numFmtId="0" fontId="23" fillId="28" borderId="7" xfId="0" applyFont="1" applyFill="1" applyBorder="1" applyAlignment="1">
      <alignment horizontal="center" vertical="center"/>
    </xf>
    <xf numFmtId="0" fontId="23" fillId="28" borderId="7" xfId="0" applyFont="1" applyFill="1" applyBorder="1" applyAlignment="1">
      <alignment vertical="center"/>
    </xf>
    <xf numFmtId="0" fontId="23" fillId="28" borderId="7" xfId="0" applyFont="1" applyFill="1" applyBorder="1" applyAlignment="1">
      <alignment vertical="center" wrapText="1"/>
    </xf>
    <xf numFmtId="0" fontId="23" fillId="28" borderId="14" xfId="0" applyFont="1" applyFill="1" applyBorder="1" applyAlignment="1">
      <alignment vertical="center"/>
    </xf>
    <xf numFmtId="0" fontId="23" fillId="28" borderId="15" xfId="0" applyFont="1" applyFill="1" applyBorder="1" applyAlignment="1">
      <alignment vertical="center"/>
    </xf>
    <xf numFmtId="0" fontId="23" fillId="28" borderId="16" xfId="0" applyFont="1" applyFill="1" applyBorder="1" applyAlignment="1">
      <alignment vertical="center"/>
    </xf>
    <xf numFmtId="0" fontId="23" fillId="28" borderId="7" xfId="0" applyFont="1" applyFill="1" applyBorder="1" applyAlignment="1">
      <alignment horizontal="center" vertical="center" wrapText="1"/>
    </xf>
    <xf numFmtId="0" fontId="69" fillId="27" borderId="9" xfId="0" applyFont="1" applyFill="1" applyBorder="1" applyAlignment="1">
      <alignment vertical="center"/>
    </xf>
    <xf numFmtId="0" fontId="69" fillId="27" borderId="3" xfId="0" applyFont="1" applyFill="1" applyBorder="1" applyAlignment="1">
      <alignment vertical="center"/>
    </xf>
    <xf numFmtId="0" fontId="69" fillId="27" borderId="4" xfId="0" applyFont="1" applyFill="1" applyBorder="1" applyAlignment="1">
      <alignment vertical="center"/>
    </xf>
    <xf numFmtId="0" fontId="5" fillId="27" borderId="14" xfId="0" applyFont="1" applyFill="1" applyBorder="1"/>
    <xf numFmtId="0" fontId="4" fillId="27" borderId="15" xfId="0" applyFont="1" applyFill="1" applyBorder="1" applyAlignment="1">
      <alignment vertical="center"/>
    </xf>
    <xf numFmtId="14" fontId="4" fillId="27" borderId="15" xfId="0" applyNumberFormat="1" applyFont="1" applyFill="1" applyBorder="1"/>
    <xf numFmtId="0" fontId="4" fillId="27" borderId="15" xfId="0" applyFont="1" applyFill="1" applyBorder="1"/>
    <xf numFmtId="14" fontId="4" fillId="27" borderId="16" xfId="0" applyNumberFormat="1" applyFont="1" applyFill="1" applyBorder="1" applyAlignment="1">
      <alignment horizontal="right"/>
    </xf>
    <xf numFmtId="14" fontId="81" fillId="27" borderId="22" xfId="0" applyNumberFormat="1" applyFont="1" applyFill="1" applyBorder="1" applyAlignment="1">
      <alignment vertical="center"/>
    </xf>
    <xf numFmtId="0" fontId="92" fillId="2" borderId="0" xfId="0" applyFont="1" applyFill="1" applyAlignment="1">
      <alignment vertical="center"/>
    </xf>
    <xf numFmtId="2" fontId="18" fillId="27" borderId="29" xfId="0" applyNumberFormat="1" applyFont="1" applyFill="1" applyBorder="1" applyAlignment="1">
      <alignment vertical="center"/>
    </xf>
    <xf numFmtId="0" fontId="92" fillId="2" borderId="0" xfId="0" applyFont="1" applyFill="1"/>
    <xf numFmtId="0" fontId="92" fillId="0" borderId="0" xfId="0" applyFont="1"/>
    <xf numFmtId="10" fontId="18" fillId="27" borderId="30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86" fillId="38" borderId="48" xfId="0" applyFont="1" applyFill="1" applyBorder="1" applyAlignment="1">
      <alignment vertical="center"/>
    </xf>
    <xf numFmtId="0" fontId="86" fillId="38" borderId="49" xfId="0" applyFont="1" applyFill="1" applyBorder="1" applyAlignment="1">
      <alignment vertical="center"/>
    </xf>
    <xf numFmtId="0" fontId="86" fillId="38" borderId="52" xfId="0" applyFont="1" applyFill="1" applyBorder="1" applyAlignment="1">
      <alignment horizontal="right" vertical="center"/>
    </xf>
    <xf numFmtId="0" fontId="9" fillId="2" borderId="0" xfId="0" applyFont="1" applyFill="1"/>
    <xf numFmtId="0" fontId="86" fillId="38" borderId="53" xfId="0" applyFont="1" applyFill="1" applyBorder="1" applyAlignment="1">
      <alignment vertical="center"/>
    </xf>
    <xf numFmtId="0" fontId="86" fillId="38" borderId="33" xfId="0" applyFont="1" applyFill="1" applyBorder="1" applyAlignment="1">
      <alignment vertical="center"/>
    </xf>
    <xf numFmtId="0" fontId="86" fillId="38" borderId="50" xfId="0" applyFont="1" applyFill="1" applyBorder="1" applyAlignment="1">
      <alignment horizontal="right" vertical="center"/>
    </xf>
    <xf numFmtId="0" fontId="9" fillId="0" borderId="0" xfId="0" applyFont="1"/>
    <xf numFmtId="0" fontId="5" fillId="7" borderId="14" xfId="0" applyFont="1" applyFill="1" applyBorder="1" applyAlignment="1">
      <alignment horizontal="left" vertical="center"/>
    </xf>
    <xf numFmtId="4" fontId="5" fillId="32" borderId="44" xfId="0" applyNumberFormat="1" applyFont="1" applyFill="1" applyBorder="1" applyAlignment="1">
      <alignment horizontal="right" vertical="center"/>
    </xf>
    <xf numFmtId="0" fontId="90" fillId="10" borderId="0" xfId="0" applyFont="1" applyFill="1" applyAlignment="1">
      <alignment horizontal="centerContinuous" vertical="center"/>
    </xf>
    <xf numFmtId="0" fontId="23" fillId="28" borderId="0" xfId="0" applyFont="1" applyFill="1" applyAlignment="1">
      <alignment horizontal="centerContinuous" vertical="center"/>
    </xf>
    <xf numFmtId="0" fontId="5" fillId="27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vertical="center"/>
    </xf>
    <xf numFmtId="0" fontId="93" fillId="0" borderId="0" xfId="0" applyFont="1"/>
    <xf numFmtId="0" fontId="93" fillId="0" borderId="0" xfId="0" quotePrefix="1" applyFont="1"/>
    <xf numFmtId="0" fontId="26" fillId="19" borderId="19" xfId="0" applyFont="1" applyFill="1" applyBorder="1" applyAlignment="1">
      <alignment vertical="center"/>
    </xf>
    <xf numFmtId="43" fontId="34" fillId="0" borderId="2" xfId="0" applyNumberFormat="1" applyFont="1" applyBorder="1" applyAlignment="1">
      <alignment vertical="center" wrapText="1"/>
    </xf>
    <xf numFmtId="166" fontId="21" fillId="14" borderId="9" xfId="0" applyNumberFormat="1" applyFont="1" applyFill="1" applyBorder="1" applyAlignment="1">
      <alignment horizontal="center"/>
    </xf>
    <xf numFmtId="167" fontId="7" fillId="15" borderId="27" xfId="0" applyNumberFormat="1" applyFont="1" applyFill="1" applyBorder="1" applyAlignment="1">
      <alignment horizontal="center" vertical="center"/>
    </xf>
    <xf numFmtId="167" fontId="7" fillId="15" borderId="23" xfId="0" applyNumberFormat="1" applyFont="1" applyFill="1" applyBorder="1" applyAlignment="1">
      <alignment horizontal="center" vertical="center"/>
    </xf>
    <xf numFmtId="165" fontId="73" fillId="29" borderId="9" xfId="0" applyNumberFormat="1" applyFont="1" applyFill="1" applyBorder="1" applyAlignment="1">
      <alignment horizontal="centerContinuous" vertical="center"/>
    </xf>
    <xf numFmtId="41" fontId="75" fillId="29" borderId="1" xfId="0" applyNumberFormat="1" applyFont="1" applyFill="1" applyBorder="1" applyAlignment="1">
      <alignment horizontal="center" vertical="center"/>
    </xf>
    <xf numFmtId="41" fontId="75" fillId="29" borderId="3" xfId="0" applyNumberFormat="1" applyFont="1" applyFill="1" applyBorder="1" applyAlignment="1">
      <alignment horizontal="center" vertical="center"/>
    </xf>
    <xf numFmtId="41" fontId="75" fillId="29" borderId="4" xfId="0" applyNumberFormat="1" applyFont="1" applyFill="1" applyBorder="1" applyAlignment="1">
      <alignment horizontal="center" vertical="center"/>
    </xf>
    <xf numFmtId="41" fontId="74" fillId="7" borderId="33" xfId="0" applyNumberFormat="1" applyFont="1" applyFill="1" applyBorder="1" applyAlignment="1">
      <alignment horizontal="center" vertical="center"/>
    </xf>
    <xf numFmtId="41" fontId="74" fillId="7" borderId="50" xfId="0" applyNumberFormat="1" applyFont="1" applyFill="1" applyBorder="1" applyAlignment="1">
      <alignment horizontal="center" vertical="center"/>
    </xf>
    <xf numFmtId="41" fontId="75" fillId="29" borderId="29" xfId="0" applyNumberFormat="1" applyFont="1" applyFill="1" applyBorder="1" applyAlignment="1">
      <alignment horizontal="center" vertical="center"/>
    </xf>
    <xf numFmtId="41" fontId="74" fillId="7" borderId="29" xfId="0" applyNumberFormat="1" applyFont="1" applyFill="1" applyBorder="1" applyAlignment="1">
      <alignment horizontal="center" vertical="center"/>
    </xf>
    <xf numFmtId="41" fontId="74" fillId="7" borderId="30" xfId="0" applyNumberFormat="1" applyFont="1" applyFill="1" applyBorder="1" applyAlignment="1">
      <alignment horizontal="center" vertical="center"/>
    </xf>
    <xf numFmtId="41" fontId="75" fillId="29" borderId="28" xfId="0" applyNumberFormat="1" applyFont="1" applyFill="1" applyBorder="1" applyAlignment="1">
      <alignment horizontal="center" vertical="center"/>
    </xf>
    <xf numFmtId="168" fontId="59" fillId="10" borderId="5" xfId="0" applyNumberFormat="1" applyFont="1" applyFill="1" applyBorder="1" applyAlignment="1">
      <alignment horizontal="center" vertical="center"/>
    </xf>
    <xf numFmtId="164" fontId="57" fillId="9" borderId="5" xfId="0" applyNumberFormat="1" applyFont="1" applyFill="1" applyBorder="1" applyAlignment="1">
      <alignment horizontal="center" vertical="center"/>
    </xf>
    <xf numFmtId="167" fontId="54" fillId="30" borderId="5" xfId="0" applyNumberFormat="1" applyFont="1" applyFill="1" applyBorder="1" applyAlignment="1">
      <alignment horizontal="center" vertical="center" wrapText="1"/>
    </xf>
    <xf numFmtId="167" fontId="54" fillId="24" borderId="5" xfId="0" applyNumberFormat="1" applyFont="1" applyFill="1" applyBorder="1" applyAlignment="1">
      <alignment horizontal="center" vertical="center" wrapText="1"/>
    </xf>
    <xf numFmtId="168" fontId="91" fillId="7" borderId="5" xfId="0" applyNumberFormat="1" applyFont="1" applyFill="1" applyBorder="1" applyAlignment="1">
      <alignment horizontal="center" vertical="center"/>
    </xf>
    <xf numFmtId="169" fontId="45" fillId="0" borderId="0" xfId="0" applyNumberFormat="1" applyFont="1"/>
    <xf numFmtId="167" fontId="54" fillId="30" borderId="8" xfId="0" applyNumberFormat="1" applyFont="1" applyFill="1" applyBorder="1" applyAlignment="1">
      <alignment horizontal="center" vertical="center" wrapText="1"/>
    </xf>
    <xf numFmtId="170" fontId="62" fillId="25" borderId="19" xfId="0" applyNumberFormat="1" applyFont="1" applyFill="1" applyBorder="1" applyAlignment="1">
      <alignment horizontal="centerContinuous" vertical="center"/>
    </xf>
    <xf numFmtId="165" fontId="62" fillId="25" borderId="9" xfId="0" applyNumberFormat="1" applyFont="1" applyFill="1" applyBorder="1" applyAlignment="1">
      <alignment horizontal="centerContinuous" vertical="center"/>
    </xf>
    <xf numFmtId="165" fontId="62" fillId="25" borderId="9" xfId="0" applyNumberFormat="1" applyFont="1" applyFill="1" applyBorder="1" applyAlignment="1">
      <alignment horizontal="centerContinuous"/>
    </xf>
    <xf numFmtId="166" fontId="13" fillId="34" borderId="5" xfId="0" applyNumberFormat="1" applyFont="1" applyFill="1" applyBorder="1" applyAlignment="1">
      <alignment horizontal="center" vertical="center"/>
    </xf>
    <xf numFmtId="166" fontId="8" fillId="35" borderId="14" xfId="0" applyNumberFormat="1" applyFont="1" applyFill="1" applyBorder="1" applyAlignment="1">
      <alignment horizontal="center" vertical="center"/>
    </xf>
    <xf numFmtId="166" fontId="8" fillId="35" borderId="16" xfId="0" applyNumberFormat="1" applyFont="1" applyFill="1" applyBorder="1" applyAlignment="1">
      <alignment horizontal="center" vertical="center"/>
    </xf>
    <xf numFmtId="167" fontId="89" fillId="35" borderId="1" xfId="0" applyNumberFormat="1" applyFont="1" applyFill="1" applyBorder="1" applyAlignment="1">
      <alignment horizontal="centerContinuous" vertical="center"/>
    </xf>
    <xf numFmtId="167" fontId="89" fillId="35" borderId="22" xfId="0" applyNumberFormat="1" applyFont="1" applyFill="1" applyBorder="1" applyAlignment="1">
      <alignment horizontal="centerContinuous" vertical="center"/>
    </xf>
    <xf numFmtId="166" fontId="8" fillId="35" borderId="14" xfId="0" applyNumberFormat="1" applyFont="1" applyFill="1" applyBorder="1" applyAlignment="1">
      <alignment horizontal="centerContinuous" vertical="center"/>
    </xf>
    <xf numFmtId="167" fontId="89" fillId="35" borderId="0" xfId="0" applyNumberFormat="1" applyFont="1" applyFill="1" applyAlignment="1">
      <alignment horizontal="centerContinuous" vertical="center"/>
    </xf>
    <xf numFmtId="166" fontId="8" fillId="35" borderId="1" xfId="0" applyNumberFormat="1" applyFont="1" applyFill="1" applyBorder="1" applyAlignment="1">
      <alignment vertical="center"/>
    </xf>
    <xf numFmtId="166" fontId="8" fillId="35" borderId="22" xfId="0" applyNumberFormat="1" applyFont="1" applyFill="1" applyBorder="1" applyAlignment="1">
      <alignment horizontal="left" vertical="center"/>
    </xf>
    <xf numFmtId="169" fontId="83" fillId="0" borderId="22" xfId="0" applyNumberFormat="1" applyFont="1" applyBorder="1" applyAlignment="1">
      <alignment horizontal="center" vertical="center"/>
    </xf>
    <xf numFmtId="166" fontId="8" fillId="35" borderId="5" xfId="0" applyNumberFormat="1" applyFont="1" applyFill="1" applyBorder="1" applyAlignment="1">
      <alignment horizontal="center" vertical="center"/>
    </xf>
    <xf numFmtId="168" fontId="59" fillId="37" borderId="5" xfId="0" applyNumberFormat="1" applyFont="1" applyFill="1" applyBorder="1" applyAlignment="1">
      <alignment horizontal="center" vertical="center"/>
    </xf>
    <xf numFmtId="166" fontId="20" fillId="4" borderId="1" xfId="0" applyNumberFormat="1" applyFont="1" applyFill="1" applyBorder="1" applyAlignment="1">
      <alignment horizontal="center" vertical="center"/>
    </xf>
    <xf numFmtId="0" fontId="0" fillId="0" borderId="2" xfId="0" applyBorder="1"/>
    <xf numFmtId="4" fontId="19" fillId="2" borderId="15" xfId="0" applyNumberFormat="1" applyFont="1" applyFill="1" applyBorder="1" applyAlignment="1">
      <alignment horizontal="center" vertical="center"/>
    </xf>
    <xf numFmtId="0" fontId="0" fillId="0" borderId="15" xfId="0" applyBorder="1"/>
    <xf numFmtId="0" fontId="17" fillId="15" borderId="9" xfId="0" applyFont="1" applyFill="1" applyBorder="1" applyAlignment="1">
      <alignment horizontal="right" vertical="center"/>
    </xf>
    <xf numFmtId="0" fontId="0" fillId="0" borderId="3" xfId="0" applyBorder="1"/>
    <xf numFmtId="0" fontId="17" fillId="15" borderId="14" xfId="0" applyFont="1" applyFill="1" applyBorder="1" applyAlignment="1">
      <alignment horizontal="right" vertical="center"/>
    </xf>
    <xf numFmtId="9" fontId="20" fillId="4" borderId="14" xfId="0" applyNumberFormat="1" applyFont="1" applyFill="1" applyBorder="1" applyAlignment="1">
      <alignment horizontal="center" vertical="center"/>
    </xf>
    <xf numFmtId="0" fontId="23" fillId="15" borderId="30" xfId="0" applyFont="1" applyFill="1" applyBorder="1" applyAlignment="1">
      <alignment horizontal="right" vertical="center"/>
    </xf>
    <xf numFmtId="0" fontId="0" fillId="0" borderId="30" xfId="0" applyBorder="1"/>
    <xf numFmtId="0" fontId="8" fillId="15" borderId="37" xfId="0" applyFont="1" applyFill="1" applyBorder="1" applyAlignment="1">
      <alignment horizontal="left" vertical="center"/>
    </xf>
    <xf numFmtId="0" fontId="0" fillId="0" borderId="37" xfId="0" applyBorder="1"/>
    <xf numFmtId="0" fontId="8" fillId="15" borderId="0" xfId="0" applyFont="1" applyFill="1" applyAlignment="1">
      <alignment horizontal="left" vertical="center"/>
    </xf>
    <xf numFmtId="0" fontId="0" fillId="0" borderId="0" xfId="0"/>
    <xf numFmtId="2" fontId="73" fillId="2" borderId="45" xfId="0" applyNumberFormat="1" applyFont="1" applyFill="1" applyBorder="1" applyAlignment="1">
      <alignment horizontal="center" vertical="center"/>
    </xf>
    <xf numFmtId="0" fontId="0" fillId="0" borderId="29" xfId="0" applyBorder="1"/>
    <xf numFmtId="0" fontId="23" fillId="12" borderId="30" xfId="0" applyFont="1" applyFill="1" applyBorder="1" applyAlignment="1">
      <alignment horizontal="right" vertical="center"/>
    </xf>
    <xf numFmtId="0" fontId="73" fillId="2" borderId="45" xfId="0" applyFont="1" applyFill="1" applyBorder="1" applyAlignment="1">
      <alignment horizontal="center" vertical="center"/>
    </xf>
    <xf numFmtId="0" fontId="52" fillId="32" borderId="34" xfId="0" applyFont="1" applyFill="1" applyBorder="1" applyAlignment="1">
      <alignment horizontal="right" vertical="center"/>
    </xf>
    <xf numFmtId="0" fontId="0" fillId="0" borderId="34" xfId="0" applyBorder="1"/>
    <xf numFmtId="0" fontId="23" fillId="31" borderId="34" xfId="0" applyFont="1" applyFill="1" applyBorder="1" applyAlignment="1">
      <alignment horizontal="right" vertical="center"/>
    </xf>
    <xf numFmtId="49" fontId="82" fillId="31" borderId="5" xfId="0" applyNumberFormat="1" applyFont="1" applyFill="1" applyBorder="1" applyAlignment="1">
      <alignment horizontal="center" vertical="center"/>
    </xf>
    <xf numFmtId="0" fontId="0" fillId="0" borderId="22" xfId="0" applyBorder="1"/>
    <xf numFmtId="0" fontId="5" fillId="27" borderId="1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3" fillId="15" borderId="52" xfId="0" applyFont="1" applyFill="1" applyBorder="1" applyAlignment="1">
      <alignment horizontal="right" vertical="center"/>
    </xf>
    <xf numFmtId="0" fontId="0" fillId="0" borderId="52" xfId="0" applyBorder="1"/>
    <xf numFmtId="0" fontId="8" fillId="15" borderId="15" xfId="0" applyFont="1" applyFill="1" applyBorder="1" applyAlignment="1">
      <alignment horizontal="left" vertical="center"/>
    </xf>
    <xf numFmtId="0" fontId="69" fillId="27" borderId="8" xfId="0" applyFont="1" applyFill="1" applyBorder="1" applyAlignment="1">
      <alignment horizontal="right" vertical="center"/>
    </xf>
    <xf numFmtId="0" fontId="0" fillId="0" borderId="4" xfId="0" applyBorder="1"/>
    <xf numFmtId="14" fontId="4" fillId="27" borderId="4" xfId="0" applyNumberFormat="1" applyFont="1" applyFill="1" applyBorder="1" applyAlignment="1">
      <alignment horizontal="right"/>
    </xf>
  </cellXfs>
  <cellStyles count="3">
    <cellStyle name="Normal" xfId="0" builtinId="0"/>
    <cellStyle name="Normal 3" xfId="2" xr:uid="{00000000-0005-0000-0000-000002000000}"/>
    <cellStyle name="Porcentaje" xfId="1" builtinId="5"/>
  </cellStyles>
  <dxfs count="803"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rgb="FFFFFF00"/>
      </font>
      <fill>
        <gradientFill degree="90">
          <stop position="0">
            <color theme="1" tint="0.1490218817712943"/>
          </stop>
          <stop position="0.5">
            <color rgb="FF0070C0"/>
          </stop>
          <stop position="1">
            <color theme="1" tint="0.1490218817712943"/>
          </stop>
        </gradientFill>
      </fill>
    </dxf>
    <dxf>
      <font>
        <b/>
        <color rgb="FFFFFF00"/>
      </font>
      <fill>
        <gradientFill degree="90">
          <stop position="0">
            <color theme="1" tint="0.1490218817712943"/>
          </stop>
          <stop position="0.5">
            <color rgb="FF0070C0"/>
          </stop>
          <stop position="1">
            <color theme="1" tint="0.149021881771294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66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66FF33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color auto="1"/>
      </font>
      <fill>
        <patternFill>
          <bgColor theme="8" tint="0.39994506668294322"/>
        </patternFill>
      </fill>
    </dxf>
    <dxf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rgb="FFFFFF00"/>
      </font>
      <fill>
        <gradientFill degree="90">
          <stop position="0">
            <color theme="1" tint="0.1490218817712943"/>
          </stop>
          <stop position="0.5">
            <color rgb="FF0070C0"/>
          </stop>
          <stop position="1">
            <color theme="1" tint="0.1490218817712943"/>
          </stop>
        </gradientFill>
      </fill>
    </dxf>
    <dxf>
      <font>
        <b/>
        <color rgb="FFFFFF00"/>
      </font>
      <fill>
        <gradientFill degree="90">
          <stop position="0">
            <color theme="1" tint="0.1490218817712943"/>
          </stop>
          <stop position="0.5">
            <color rgb="FF0070C0"/>
          </stop>
          <stop position="1">
            <color theme="1" tint="0.149021881771294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66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66FF33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b/>
        <color auto="1"/>
      </font>
      <fill>
        <patternFill>
          <bgColor theme="8" tint="0.39994506668294322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rgb="FFFFFF00"/>
      </font>
      <fill>
        <gradientFill degree="90">
          <stop position="0">
            <color theme="1" tint="0.1490218817712943"/>
          </stop>
          <stop position="0.5">
            <color rgb="FF0070C0"/>
          </stop>
          <stop position="1">
            <color theme="1" tint="0.1490218817712943"/>
          </stop>
        </gradientFill>
      </fill>
    </dxf>
    <dxf>
      <font>
        <b/>
        <color rgb="FFFFFF00"/>
      </font>
      <fill>
        <gradientFill degree="90">
          <stop position="0">
            <color theme="1" tint="0.1490218817712943"/>
          </stop>
          <stop position="0.5">
            <color rgb="FF0070C0"/>
          </stop>
          <stop position="1">
            <color theme="1" tint="0.149021881771294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66FF33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16F616"/>
          </stop>
        </gradientFill>
      </fill>
    </dxf>
    <dxf>
      <font>
        <b/>
        <i/>
        <u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ill>
        <patternFill>
          <bgColor rgb="FFFF0000"/>
        </patternFill>
      </fill>
    </dxf>
    <dxf>
      <font>
        <b/>
        <color auto="1"/>
      </font>
      <fill>
        <patternFill>
          <bgColor theme="8" tint="0.39994506668294322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</font>
      <numFmt numFmtId="0" formatCode="General"/>
      <fill>
        <patternFill>
          <bgColor rgb="FFFFC000"/>
        </patternFill>
      </fill>
    </dxf>
    <dxf>
      <font>
        <b/>
        <color theme="0"/>
      </font>
      <numFmt numFmtId="0" formatCode="General"/>
      <fill>
        <patternFill>
          <bgColor theme="9" tint="-0.499984740745262"/>
        </patternFill>
      </fill>
    </dxf>
    <dxf>
      <font>
        <b/>
        <color auto="1"/>
      </font>
      <numFmt numFmtId="0" formatCode="General"/>
      <fill>
        <patternFill>
          <bgColor rgb="FF00B050"/>
        </patternFill>
      </fill>
    </dxf>
    <dxf>
      <font>
        <b/>
        <color rgb="FF9A0000"/>
      </font>
      <numFmt numFmtId="0" formatCode="General"/>
      <fill>
        <patternFill>
          <bgColor theme="0" tint="-0.34998626667073579"/>
        </patternFill>
      </fill>
    </dxf>
    <dxf>
      <font>
        <b/>
        <color theme="0"/>
      </font>
      <numFmt numFmtId="0" formatCode="General"/>
      <fill>
        <patternFill>
          <bgColor rgb="FF6F1E7C"/>
        </patternFill>
      </fill>
    </dxf>
    <dxf>
      <font>
        <b/>
        <color auto="1"/>
      </font>
      <numFmt numFmtId="0" formatCode="General"/>
      <fill>
        <patternFill>
          <bgColor rgb="FF00B0F0"/>
        </patternFill>
      </fill>
    </dxf>
    <dxf>
      <font>
        <b/>
        <color auto="1"/>
      </font>
      <numFmt numFmtId="0" formatCode="General"/>
      <fill>
        <patternFill>
          <bgColor rgb="FFE438D8"/>
        </patternFill>
      </fill>
    </dxf>
    <dxf>
      <font>
        <b/>
        <color theme="0"/>
      </font>
      <numFmt numFmtId="0" formatCode="General"/>
      <fill>
        <patternFill>
          <bgColor theme="1" tint="0.14990691854609822"/>
        </patternFill>
      </fill>
    </dxf>
    <dxf>
      <font>
        <b/>
        <color theme="0"/>
      </font>
      <numFmt numFmtId="0" formatCode="General"/>
      <fill>
        <patternFill>
          <bgColor rgb="FF13C305"/>
        </patternFill>
      </fill>
    </dxf>
    <dxf>
      <font>
        <b/>
      </font>
      <numFmt numFmtId="0" formatCode="General"/>
      <fill>
        <patternFill>
          <bgColor rgb="FFFFFF00"/>
        </patternFill>
      </fill>
    </dxf>
    <dxf>
      <font>
        <b/>
        <color theme="0"/>
      </font>
      <numFmt numFmtId="0" formatCode="General"/>
      <fill>
        <patternFill>
          <bgColor rgb="FF3729F3"/>
        </patternFill>
      </fill>
    </dxf>
    <dxf>
      <font>
        <b/>
      </font>
      <numFmt numFmtId="0" formatCode="General"/>
      <fill>
        <patternFill>
          <bgColor theme="0"/>
        </patternFill>
      </fill>
    </dxf>
    <dxf>
      <font>
        <b/>
        <color theme="0"/>
      </font>
      <numFmt numFmtId="0" formatCode="General"/>
      <fill>
        <patternFill>
          <bgColor rgb="FFFF0000"/>
        </patternFill>
      </fill>
    </dxf>
    <dxf>
      <font>
        <b/>
        <color theme="0"/>
      </font>
      <fill>
        <patternFill>
          <bgColor rgb="FF8D42C6"/>
        </patternFill>
      </fill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  <numFmt numFmtId="2" formatCode="0.00"/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26"/>
        <color theme="1"/>
        <name val="Aptos Narrow"/>
        <family val="2"/>
        <scheme val="minor"/>
      </font>
      <numFmt numFmtId="1" formatCode="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20"/>
        <color theme="1"/>
        <name val="Aptos Narrow"/>
        <family val="2"/>
        <scheme val="minor"/>
      </font>
      <numFmt numFmtId="17" formatCode="#\ ?/?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20"/>
        <color theme="1"/>
        <name val="Aptos Narrow"/>
        <family val="2"/>
        <scheme val="minor"/>
      </font>
      <numFmt numFmtId="17" formatCode="#\ ?/?"/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2" formatCode="0.00"/>
      <fill>
        <patternFill patternType="solid">
          <fgColor indexed="64"/>
          <bgColor theme="0"/>
        </patternFill>
      </fill>
      <alignment horizontal="right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167" formatCode="0.0"/>
      <fill>
        <patternFill patternType="solid">
          <fgColor indexed="64"/>
          <bgColor rgb="FF66FF33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4"/>
        <color auto="1"/>
        <name val="ADLaM Display"/>
      </font>
      <numFmt numFmtId="0" formatCode="General"/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167" formatCode="0.0"/>
      <fill>
        <patternFill patternType="solid">
          <fgColor indexed="64"/>
          <bgColor theme="3" tint="0.499984740745262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3" formatCode="0%"/>
      <fill>
        <patternFill patternType="solid">
          <fgColor indexed="64"/>
          <bgColor rgb="FF0070C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3" formatCode="0%"/>
      <fill>
        <patternFill patternType="solid">
          <fgColor indexed="64"/>
          <bgColor rgb="FF0070C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" formatCode="0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3" formatCode="0%"/>
      <fill>
        <patternFill patternType="solid">
          <fgColor indexed="64"/>
          <bgColor rgb="FF0070C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3" formatCode="0%"/>
      <fill>
        <patternFill patternType="solid">
          <fgColor indexed="64"/>
          <bgColor rgb="FF0070C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" formatCode="0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0000"/>
        <name val="ADLaM Display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168" formatCode="&quot;COD &quot;0"/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0" formatCode="General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auto="1"/>
        </right>
        <top style="thin">
          <color rgb="FF000000"/>
        </top>
      </border>
    </dxf>
    <dxf>
      <font>
        <b/>
        <strike val="0"/>
        <condense val="0"/>
        <extend val="0"/>
        <outline val="0"/>
        <shadow val="0"/>
        <vertAlign val="baseline"/>
        <sz val="14"/>
        <color rgb="FF00B0F0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  <numFmt numFmtId="2" formatCode="0.00"/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26"/>
        <color theme="1"/>
        <name val="Aptos Narrow"/>
        <family val="2"/>
        <scheme val="minor"/>
      </font>
      <numFmt numFmtId="1" formatCode="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20"/>
        <color theme="1"/>
        <name val="Aptos Narrow"/>
        <family val="2"/>
        <scheme val="minor"/>
      </font>
      <numFmt numFmtId="17" formatCode="#\ ?/?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20"/>
        <color theme="1"/>
        <name val="Aptos Narrow"/>
        <family val="2"/>
        <scheme val="minor"/>
      </font>
      <numFmt numFmtId="17" formatCode="#\ ?/?"/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2" formatCode="0.00"/>
      <fill>
        <patternFill patternType="solid">
          <fgColor indexed="64"/>
          <bgColor theme="0"/>
        </patternFill>
      </fill>
      <alignment horizontal="right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167" formatCode="0.0"/>
      <fill>
        <patternFill patternType="solid">
          <fgColor indexed="64"/>
          <bgColor rgb="FF66FF33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4"/>
        <color auto="1"/>
        <name val="ADLaM Display"/>
      </font>
      <numFmt numFmtId="0" formatCode="General"/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167" formatCode="0.0"/>
      <fill>
        <patternFill patternType="solid">
          <fgColor indexed="64"/>
          <bgColor theme="3" tint="0.499984740745262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3" formatCode="0%"/>
      <fill>
        <patternFill patternType="solid">
          <fgColor indexed="64"/>
          <bgColor rgb="FF0070C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3" formatCode="0%"/>
      <fill>
        <patternFill patternType="solid">
          <fgColor indexed="64"/>
          <bgColor rgb="FF0070C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" formatCode="0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3" formatCode="0%"/>
      <fill>
        <patternFill patternType="solid">
          <fgColor indexed="64"/>
          <bgColor rgb="FF0070C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3" formatCode="0%"/>
      <fill>
        <patternFill patternType="solid">
          <fgColor indexed="64"/>
          <bgColor rgb="FF0070C0"/>
        </patternFill>
      </fill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" formatCode="0"/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0000"/>
        <name val="ADLaM Display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168" formatCode="&quot;COD &quot;0"/>
      <fill>
        <patternFill patternType="solid">
          <fgColor indexed="64"/>
          <bgColor theme="6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0" formatCode="General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auto="1"/>
        </right>
        <top style="thin">
          <color indexed="64"/>
        </top>
      </border>
    </dxf>
    <dxf>
      <font>
        <b/>
        <strike val="0"/>
        <condense val="0"/>
        <extend val="0"/>
        <outline val="0"/>
        <shadow val="0"/>
        <vertAlign val="baseline"/>
        <sz val="14"/>
        <color rgb="FF00B0F0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26"/>
        <color theme="1"/>
        <name val="Aptos Narrow"/>
        <family val="2"/>
        <scheme val="minor"/>
      </font>
      <numFmt numFmtId="1" formatCode="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20"/>
        <color theme="1"/>
        <name val="Aptos Narrow"/>
        <family val="2"/>
        <scheme val="minor"/>
      </font>
      <numFmt numFmtId="17" formatCode="#\ ?/?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20"/>
        <color theme="1"/>
        <name val="Aptos Narrow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26"/>
        <color theme="1"/>
        <name val="Aptos Narrow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2" formatCode="0.00"/>
      <fill>
        <patternFill patternType="solid">
          <fgColor indexed="64"/>
          <bgColor theme="0"/>
        </patternFill>
      </fill>
      <alignment horizontal="right" vertical="center"/>
      <border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167" formatCode="0.0"/>
      <fill>
        <patternFill patternType="solid">
          <fgColor indexed="64"/>
          <bgColor rgb="FF66FF33"/>
        </patternFill>
      </fill>
      <alignment horizontal="center" vertical="center" wrapText="1"/>
      <border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/>
        <strike val="0"/>
        <condense val="0"/>
        <extend val="0"/>
        <outline val="0"/>
        <shadow val="0"/>
        <vertAlign val="baseline"/>
        <sz val="14"/>
        <color auto="1"/>
        <name val="ADLaM Display"/>
      </font>
      <numFmt numFmtId="30" formatCode="@"/>
      <fill>
        <patternFill patternType="solid">
          <fgColor indexed="64"/>
          <bgColor rgb="FFFFC000"/>
        </patternFill>
      </fill>
      <alignment horizontal="center" vertical="center"/>
      <border outline="0">
        <left style="thin">
          <color indexed="64"/>
        </left>
        <right/>
        <top style="medium">
          <color auto="1"/>
        </top>
        <bottom style="medium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167" formatCode="0.0"/>
      <fill>
        <patternFill patternType="solid">
          <fgColor indexed="64"/>
          <bgColor theme="3" tint="0.499984740745262"/>
        </patternFill>
      </fill>
      <alignment horizontal="center" vertical="center" wrapText="1"/>
      <border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3" formatCode="0%"/>
      <fill>
        <patternFill patternType="solid">
          <fgColor indexed="64"/>
          <bgColor rgb="FF0070C0"/>
        </patternFill>
      </fill>
      <alignment horizontal="general" vertical="center"/>
      <border>
        <left/>
        <right style="thin">
          <color indexed="64"/>
        </right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30" formatCode="@"/>
      <fill>
        <patternFill patternType="solid">
          <fgColor indexed="64"/>
          <bgColor rgb="FF0070C0"/>
        </patternFill>
      </fill>
      <alignment horizontal="center" vertical="center"/>
      <border outline="0"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3" formatCode="0%"/>
      <fill>
        <patternFill patternType="solid">
          <fgColor indexed="64"/>
          <bgColor rgb="FF0070C0"/>
        </patternFill>
      </fill>
      <alignment horizontal="general" vertical="center"/>
      <border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 outline="0"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" formatCode="0"/>
      <fill>
        <patternFill patternType="solid">
          <fgColor indexed="64"/>
          <bgColor rgb="FF0070C0"/>
        </patternFill>
      </fill>
      <alignment horizontal="center" vertical="center"/>
      <border outline="0"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3" formatCode="0%"/>
      <fill>
        <patternFill patternType="solid">
          <fgColor indexed="64"/>
          <bgColor rgb="FF0070C0"/>
        </patternFill>
      </fill>
      <alignment horizontal="general" vertical="center"/>
      <border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 outline="0"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 outline="0"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3" formatCode="0%"/>
      <fill>
        <patternFill patternType="solid">
          <fgColor indexed="64"/>
          <bgColor rgb="FF0070C0"/>
        </patternFill>
      </fill>
      <alignment horizontal="general" vertical="center"/>
      <border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/>
      <border outline="0"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" formatCode="0"/>
      <fill>
        <patternFill patternType="solid">
          <fgColor indexed="64"/>
          <bgColor rgb="FF0070C0"/>
        </patternFill>
      </fill>
      <alignment horizontal="center" vertical="center"/>
      <border outline="0"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64" formatCode="_ * #,##0.0_ ;_ * \-#,##0.0_ ;_ * &quot;-&quot;?_ ;_ @_ 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64" formatCode="_ * #,##0.0_ ;_ * \-#,##0.0_ ;_ * &quot;-&quot;?_ ;_ @_ 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64" formatCode="_ * #,##0.0_ ;_ * \-#,##0.0_ ;_ * &quot;-&quot;?_ ;_ @_ 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64" formatCode="_ * #,##0.0_ ;_ * \-#,##0.0_ ;_ * &quot;-&quot;?_ ;_ @_ 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64" formatCode="_ * #,##0.0_ ;_ * \-#,##0.0_ ;_ * &quot;-&quot;?_ ;_ @_ 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64" formatCode="_ * #,##0.0_ ;_ * \-#,##0.0_ ;_ * &quot;-&quot;?_ ;_ @_ 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64" formatCode="_ * #,##0.0_ ;_ * \-#,##0.0_ ;_ * &quot;-&quot;?_ ;_ @_ 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64" formatCode="_ * #,##0.0_ ;_ * \-#,##0.0_ ;_ * &quot;-&quot;?_ ;_ @_ 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64" formatCode="_ * #,##0.0_ ;_ * \-#,##0.0_ ;_ * &quot;-&quot;?_ ;_ @_ 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z val="14"/>
        <color rgb="FF002060"/>
        <name val="ADLaM Display"/>
      </font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z val="14"/>
        <color rgb="FF002060"/>
        <name val="ADLaM Display"/>
      </font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z val="14"/>
        <color rgb="FF002060"/>
        <name val="ADLaM Display"/>
      </font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medium">
          <color auto="1"/>
        </top>
        <bottom style="medium">
          <color auto="1"/>
        </bottom>
      </border>
    </dxf>
    <dxf>
      <fill>
        <patternFill patternType="solid">
          <fgColor indexed="64"/>
          <bgColor theme="2"/>
        </patternFill>
      </fill>
      <border outline="0"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z val="14"/>
        <color rgb="FF002060"/>
        <name val="ADLaM Display"/>
      </font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z val="14"/>
        <color rgb="FF002060"/>
        <name val="ADLaM Display"/>
      </font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z val="14"/>
        <color rgb="FF002060"/>
        <name val="ADLaM Display"/>
      </font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z val="14"/>
        <color rgb="FF002060"/>
        <name val="ADLaM Display"/>
      </font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z val="14"/>
        <color rgb="FF002060"/>
        <name val="ADLaM Display"/>
      </font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z val="14"/>
        <color rgb="FF002060"/>
        <name val="ADLaM Display"/>
      </font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z val="14"/>
        <color rgb="FF002060"/>
        <name val="ADLaM Display"/>
      </font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z val="14"/>
        <color rgb="FF002060"/>
        <name val="ADLaM Display"/>
      </font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DLaM Display"/>
      </font>
      <numFmt numFmtId="164" formatCode="_ * #,##0.0_ ;_ * \-#,##0.0_ ;_ * &quot;-&quot;?_ ;_ @_ "/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medium">
          <color auto="1"/>
        </top>
        <bottom style="medium">
          <color auto="1"/>
        </bottom>
      </border>
    </dxf>
    <dxf>
      <fill>
        <patternFill patternType="solid">
          <fgColor indexed="64"/>
          <bgColor theme="2"/>
        </patternFill>
      </fill>
      <border outline="0"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/>
      <border outline="0">
        <left/>
        <right/>
        <top style="medium">
          <color auto="1"/>
        </top>
        <bottom style="medium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2060"/>
        <name val="ADLaM Display"/>
      </font>
      <numFmt numFmtId="1" formatCode="0"/>
      <fill>
        <patternFill patternType="solid">
          <fgColor indexed="64"/>
          <bgColor theme="2"/>
        </patternFill>
      </fill>
      <alignment horizontal="center" vertical="center" shrinkToFi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shrinkToFit="1"/>
      <border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168" formatCode="&quot;COD &quot;0"/>
      <fill>
        <patternFill patternType="solid">
          <fgColor indexed="64"/>
          <bgColor theme="8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DLaM Display"/>
      </font>
      <numFmt numFmtId="0" formatCode="General"/>
      <alignment horizontal="center" vertical="center"/>
      <border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name val="ADLaM Display"/>
      </font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  <scheme val="minor"/>
      </font>
      <fill>
        <patternFill patternType="solid">
          <fgColor indexed="64"/>
          <bgColor rgb="FF00B0F0"/>
        </patternFill>
      </fill>
      <alignment horizontal="center" vertical="center"/>
      <border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strike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89999084444715716"/>
        </patternFill>
      </fill>
      <alignment horizontal="center" vertical="bottom"/>
      <border>
        <left style="thin">
          <color indexed="64"/>
        </left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Bahnschrift SemiCondensed"/>
        <family val="2"/>
      </font>
      <numFmt numFmtId="4" formatCode="#,##0.00"/>
      <fill>
        <patternFill patternType="solid">
          <fgColor indexed="64"/>
          <bgColor theme="2" tint="-0.749992370372631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Bahnschrift SemiCondensed"/>
        <family val="2"/>
      </font>
      <numFmt numFmtId="4" formatCode="#,##0.00"/>
      <fill>
        <patternFill patternType="solid">
          <fgColor indexed="64"/>
          <bgColor theme="2" tint="-0.49998474074526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Bahnschrift SemiCondensed"/>
        <family val="2"/>
      </font>
      <numFmt numFmtId="4" formatCode="#,##0.00"/>
      <fill>
        <patternFill patternType="solid">
          <fgColor indexed="64"/>
          <bgColor theme="2" tint="-0.249977111117893"/>
        </patternFill>
      </fill>
      <alignment horizontal="right" vertical="bottom"/>
      <border>
        <left/>
        <right style="thin">
          <color indexed="64"/>
        </right>
        <top style="thin">
          <color indexed="64"/>
        </top>
        <bottom/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Bahnschrift SemiCondensed"/>
        <family val="2"/>
      </font>
      <fill>
        <patternFill patternType="solid">
          <fgColor indexed="64"/>
          <bgColor theme="2" tint="-9.9978637043366805E-2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ahnschrift SemiCondensed"/>
        <family val="2"/>
      </font>
      <fill>
        <patternFill patternType="solid">
          <fgColor indexed="64"/>
          <bgColor theme="2" tint="-0.74999237037263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ahnschrift SemiCondensed"/>
        <family val="2"/>
      </font>
      <fill>
        <patternFill patternType="solid">
          <fgColor indexed="64"/>
          <bgColor theme="2" tint="-0.74999237037263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ahnschrift SemiCondensed"/>
        <family val="2"/>
      </font>
      <fill>
        <patternFill patternType="solid">
          <fgColor indexed="64"/>
          <bgColor theme="2" tint="-0.74999237037263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ahnschrift SemiCondensed"/>
        <family val="2"/>
      </font>
      <fill>
        <patternFill patternType="solid">
          <fgColor indexed="64"/>
          <bgColor theme="2" tint="-0.74999237037263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ahnschrift SemiCondensed"/>
        <family val="2"/>
      </font>
      <fill>
        <patternFill patternType="solid">
          <fgColor indexed="64"/>
          <bgColor theme="2" tint="-0.74999237037263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ahnschrift SemiCondensed"/>
        <family val="2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ahnschrift SemiCondensed"/>
        <family val="2"/>
      </font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ahnschrift SemiCondensed"/>
        <family val="2"/>
      </font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ahnschrift SemiCondensed"/>
        <family val="2"/>
      </font>
      <numFmt numFmtId="30" formatCode="@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ahnschrift SemiCondensed"/>
        <family val="2"/>
      </font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ahnschrift SemiCondensed"/>
        <family val="2"/>
      </font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6"/>
        <color rgb="FFFFFF00"/>
        <name val="Aptos Narrow"/>
        <family val="2"/>
        <scheme val="minor"/>
      </font>
      <numFmt numFmtId="4" formatCode="#,##0.00"/>
      <fill>
        <gradientFill degree="90">
          <stop position="0">
            <color theme="1"/>
          </stop>
          <stop position="0.5">
            <color rgb="FF0070C0"/>
          </stop>
          <stop position="1">
            <color theme="1"/>
          </stop>
        </gradientFill>
      </fill>
      <alignment horizontal="center" vertical="center"/>
      <border>
        <left/>
        <right/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border>
        <left/>
        <right style="thin">
          <color indexed="64"/>
        </right>
        <top style="thin">
          <color indexed="64"/>
        </top>
        <bottom/>
      </border>
    </dxf>
    <dxf>
      <font>
        <b/>
        <strike val="0"/>
        <condense val="0"/>
        <extend val="0"/>
        <outline val="0"/>
        <shadow val="0"/>
        <vertAlign val="baseline"/>
        <sz val="14"/>
        <color rgb="FFFFC000"/>
        <name val="Aptos Narrow"/>
        <family val="2"/>
        <scheme val="minor"/>
      </font>
      <numFmt numFmtId="166" formatCode="&quot;COD&quot;\ 00"/>
      <fill>
        <patternFill patternType="darkDown">
          <fgColor rgb="FF002060"/>
          <bgColor rgb="FF0070C0"/>
        </patternFill>
      </fill>
      <alignment horizontal="center" vertical="bottom"/>
      <border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</border>
    </dxf>
    <dxf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color rgb="FFFFFF00"/>
      </font>
      <fill>
        <patternFill patternType="solid">
          <fgColor indexed="64"/>
          <bgColor rgb="FF0901AF"/>
        </patternFill>
      </fill>
    </dxf>
  </dxfs>
  <tableStyles count="1" defaultTableStyle="TableStyleMedium2" defaultPivotStyle="PivotStyleLight16">
    <tableStyle name="Estilo de tabl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628651</xdr:colOff>
      <xdr:row>53</xdr:row>
      <xdr:rowOff>408848</xdr:rowOff>
    </xdr:from>
    <xdr:to>
      <xdr:col>2</xdr:col>
      <xdr:colOff>2552700</xdr:colOff>
      <xdr:row>56</xdr:row>
      <xdr:rowOff>43513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35" b="9343"/>
        <a:stretch>
          <a:fillRect/>
        </a:stretch>
      </xdr:blipFill>
      <xdr:spPr>
        <a:xfrm>
          <a:off x="819151" y="14715398"/>
          <a:ext cx="2571749" cy="9205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58</xdr:col>
      <xdr:colOff>432049</xdr:colOff>
      <xdr:row>44</xdr:row>
      <xdr:rowOff>206375</xdr:rowOff>
    </xdr:from>
    <xdr:to>
      <xdr:col>68</xdr:col>
      <xdr:colOff>356859</xdr:colOff>
      <xdr:row>49</xdr:row>
      <xdr:rowOff>63500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35" b="9343"/>
        <a:stretch>
          <a:fillRect/>
        </a:stretch>
      </xdr:blipFill>
      <xdr:spPr>
        <a:xfrm>
          <a:off x="28594299" y="11572875"/>
          <a:ext cx="4417435" cy="11271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583111</xdr:colOff>
      <xdr:row>55</xdr:row>
      <xdr:rowOff>283151</xdr:rowOff>
    </xdr:from>
    <xdr:to>
      <xdr:col>16</xdr:col>
      <xdr:colOff>343685</xdr:colOff>
      <xdr:row>62</xdr:row>
      <xdr:rowOff>234137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1204" b="11718"/>
        <a:stretch>
          <a:fillRect/>
        </a:stretch>
      </xdr:blipFill>
      <xdr:spPr>
        <a:xfrm>
          <a:off x="8978858" y="12911141"/>
          <a:ext cx="2470781" cy="1934543"/>
        </a:xfrm>
        <a:prstGeom prst="roundRect">
          <a:avLst/>
        </a:prstGeom>
        <a:ln>
          <a:noFill/>
          <a:prstDash val="solid"/>
        </a:ln>
        <a:sp3d prstMaterial="plastic"/>
      </xdr:spPr>
    </xdr:pic>
    <xdr:clientData/>
  </xdr:twoCellAnchor>
  <xdr:twoCellAnchor editAs="absolute">
    <xdr:from>
      <xdr:col>1</xdr:col>
      <xdr:colOff>9525</xdr:colOff>
      <xdr:row>1</xdr:row>
      <xdr:rowOff>3110</xdr:rowOff>
    </xdr:from>
    <xdr:to>
      <xdr:col>5</xdr:col>
      <xdr:colOff>186618</xdr:colOff>
      <xdr:row>2</xdr:row>
      <xdr:rowOff>226015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477" t="5377" r="830" b="14409"/>
        <a:stretch>
          <a:fillRect/>
        </a:stretch>
      </xdr:blipFill>
      <xdr:spPr>
        <a:xfrm>
          <a:off x="176458" y="130765"/>
          <a:ext cx="4399516" cy="9986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414421</xdr:colOff>
      <xdr:row>82</xdr:row>
      <xdr:rowOff>244770</xdr:rowOff>
    </xdr:from>
    <xdr:to>
      <xdr:col>12</xdr:col>
      <xdr:colOff>494966</xdr:colOff>
      <xdr:row>85</xdr:row>
      <xdr:rowOff>49098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35" b="9343"/>
        <a:stretch>
          <a:fillRect/>
        </a:stretch>
      </xdr:blipFill>
      <xdr:spPr>
        <a:xfrm>
          <a:off x="6099962" y="16564925"/>
          <a:ext cx="2790751" cy="6782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139405</xdr:colOff>
      <xdr:row>82</xdr:row>
      <xdr:rowOff>247945</xdr:rowOff>
    </xdr:from>
    <xdr:to>
      <xdr:col>3</xdr:col>
      <xdr:colOff>1684273</xdr:colOff>
      <xdr:row>85</xdr:row>
      <xdr:rowOff>49098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35" b="9343"/>
        <a:stretch>
          <a:fillRect/>
        </a:stretch>
      </xdr:blipFill>
      <xdr:spPr>
        <a:xfrm>
          <a:off x="139405" y="16568100"/>
          <a:ext cx="2772316" cy="67509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245123</xdr:colOff>
      <xdr:row>56</xdr:row>
      <xdr:rowOff>161433</xdr:rowOff>
    </xdr:from>
    <xdr:to>
      <xdr:col>74</xdr:col>
      <xdr:colOff>95250</xdr:colOff>
      <xdr:row>61</xdr:row>
      <xdr:rowOff>77754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35" b="9343"/>
        <a:stretch>
          <a:fillRect/>
        </a:stretch>
      </xdr:blipFill>
      <xdr:spPr>
        <a:xfrm>
          <a:off x="31984360" y="14013043"/>
          <a:ext cx="4402754" cy="112712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472072</xdr:colOff>
      <xdr:row>111</xdr:row>
      <xdr:rowOff>66535</xdr:rowOff>
    </xdr:from>
    <xdr:to>
      <xdr:col>16</xdr:col>
      <xdr:colOff>530260</xdr:colOff>
      <xdr:row>123</xdr:row>
      <xdr:rowOff>198437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1204" b="11718"/>
        <a:stretch>
          <a:fillRect/>
        </a:stretch>
      </xdr:blipFill>
      <xdr:spPr>
        <a:xfrm>
          <a:off x="8867819" y="13175684"/>
          <a:ext cx="2768395" cy="2066361"/>
        </a:xfrm>
        <a:prstGeom prst="roundRect">
          <a:avLst/>
        </a:prstGeom>
        <a:ln>
          <a:noFill/>
          <a:prstDash val="solid"/>
        </a:ln>
        <a:sp3d prstMaterial="plastic"/>
      </xdr:spPr>
    </xdr:pic>
    <xdr:clientData/>
  </xdr:twoCellAnchor>
  <xdr:twoCellAnchor>
    <xdr:from>
      <xdr:col>1</xdr:col>
      <xdr:colOff>19049</xdr:colOff>
      <xdr:row>56</xdr:row>
      <xdr:rowOff>19050</xdr:rowOff>
    </xdr:from>
    <xdr:to>
      <xdr:col>4</xdr:col>
      <xdr:colOff>219075</xdr:colOff>
      <xdr:row>57</xdr:row>
      <xdr:rowOff>238125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774" t="6895" r="-235" b="17303"/>
        <a:stretch>
          <a:fillRect/>
        </a:stretch>
      </xdr:blipFill>
      <xdr:spPr>
        <a:xfrm>
          <a:off x="190499" y="13077825"/>
          <a:ext cx="3905251" cy="8763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19049</xdr:colOff>
      <xdr:row>138</xdr:row>
      <xdr:rowOff>28575</xdr:rowOff>
    </xdr:from>
    <xdr:to>
      <xdr:col>3</xdr:col>
      <xdr:colOff>1400175</xdr:colOff>
      <xdr:row>140</xdr:row>
      <xdr:rowOff>13364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149" t="6666" r="1102" b="16009"/>
        <a:stretch>
          <a:fillRect/>
        </a:stretch>
      </xdr:blipFill>
      <xdr:spPr>
        <a:xfrm>
          <a:off x="190499" y="32089725"/>
          <a:ext cx="2438401" cy="52771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0</xdr:col>
      <xdr:colOff>116661</xdr:colOff>
      <xdr:row>1</xdr:row>
      <xdr:rowOff>25899</xdr:rowOff>
    </xdr:from>
    <xdr:to>
      <xdr:col>4</xdr:col>
      <xdr:colOff>386954</xdr:colOff>
      <xdr:row>2</xdr:row>
      <xdr:rowOff>255309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35" t="6944" r="1576" b="13396"/>
        <a:stretch>
          <a:fillRect/>
        </a:stretch>
      </xdr:blipFill>
      <xdr:spPr>
        <a:xfrm>
          <a:off x="116661" y="143734"/>
          <a:ext cx="4149030" cy="9462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8</xdr:col>
      <xdr:colOff>9525</xdr:colOff>
      <xdr:row>138</xdr:row>
      <xdr:rowOff>19050</xdr:rowOff>
    </xdr:from>
    <xdr:to>
      <xdr:col>12</xdr:col>
      <xdr:colOff>190501</xdr:colOff>
      <xdr:row>140</xdr:row>
      <xdr:rowOff>3839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149" t="6666" r="1102" b="16009"/>
        <a:stretch>
          <a:fillRect/>
        </a:stretch>
      </xdr:blipFill>
      <xdr:spPr>
        <a:xfrm>
          <a:off x="6143625" y="32080200"/>
          <a:ext cx="2438401" cy="5277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245123</xdr:colOff>
      <xdr:row>56</xdr:row>
      <xdr:rowOff>161433</xdr:rowOff>
    </xdr:from>
    <xdr:to>
      <xdr:col>74</xdr:col>
      <xdr:colOff>95250</xdr:colOff>
      <xdr:row>61</xdr:row>
      <xdr:rowOff>77754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35" b="9343"/>
        <a:stretch>
          <a:fillRect/>
        </a:stretch>
      </xdr:blipFill>
      <xdr:spPr>
        <a:xfrm>
          <a:off x="31715723" y="14258433"/>
          <a:ext cx="4355452" cy="11545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472072</xdr:colOff>
      <xdr:row>111</xdr:row>
      <xdr:rowOff>66535</xdr:rowOff>
    </xdr:from>
    <xdr:to>
      <xdr:col>16</xdr:col>
      <xdr:colOff>530260</xdr:colOff>
      <xdr:row>123</xdr:row>
      <xdr:rowOff>198437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1204" b="11718"/>
        <a:stretch>
          <a:fillRect/>
        </a:stretch>
      </xdr:blipFill>
      <xdr:spPr>
        <a:xfrm>
          <a:off x="8863597" y="13115785"/>
          <a:ext cx="2782338" cy="2075002"/>
        </a:xfrm>
        <a:prstGeom prst="roundRect">
          <a:avLst/>
        </a:prstGeom>
        <a:ln>
          <a:noFill/>
          <a:prstDash val="solid"/>
        </a:ln>
        <a:sp3d prstMaterial="plastic"/>
      </xdr:spPr>
    </xdr:pic>
    <xdr:clientData/>
  </xdr:twoCellAnchor>
  <xdr:twoCellAnchor>
    <xdr:from>
      <xdr:col>1</xdr:col>
      <xdr:colOff>19049</xdr:colOff>
      <xdr:row>56</xdr:row>
      <xdr:rowOff>19050</xdr:rowOff>
    </xdr:from>
    <xdr:to>
      <xdr:col>4</xdr:col>
      <xdr:colOff>219075</xdr:colOff>
      <xdr:row>57</xdr:row>
      <xdr:rowOff>238125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774" t="6895" r="-235" b="17303"/>
        <a:stretch>
          <a:fillRect/>
        </a:stretch>
      </xdr:blipFill>
      <xdr:spPr>
        <a:xfrm>
          <a:off x="190499" y="12773025"/>
          <a:ext cx="3905251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19049</xdr:colOff>
      <xdr:row>138</xdr:row>
      <xdr:rowOff>28575</xdr:rowOff>
    </xdr:from>
    <xdr:to>
      <xdr:col>3</xdr:col>
      <xdr:colOff>1400175</xdr:colOff>
      <xdr:row>140</xdr:row>
      <xdr:rowOff>13364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149" t="6666" r="1102" b="16009"/>
        <a:stretch>
          <a:fillRect/>
        </a:stretch>
      </xdr:blipFill>
      <xdr:spPr>
        <a:xfrm>
          <a:off x="190499" y="16297275"/>
          <a:ext cx="2438401" cy="52771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0</xdr:col>
      <xdr:colOff>116661</xdr:colOff>
      <xdr:row>1</xdr:row>
      <xdr:rowOff>25899</xdr:rowOff>
    </xdr:from>
    <xdr:to>
      <xdr:col>4</xdr:col>
      <xdr:colOff>386954</xdr:colOff>
      <xdr:row>2</xdr:row>
      <xdr:rowOff>255309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35" t="6944" r="1576" b="13396"/>
        <a:stretch>
          <a:fillRect/>
        </a:stretch>
      </xdr:blipFill>
      <xdr:spPr>
        <a:xfrm>
          <a:off x="116661" y="73524"/>
          <a:ext cx="4146968" cy="9437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8</xdr:col>
      <xdr:colOff>9525</xdr:colOff>
      <xdr:row>138</xdr:row>
      <xdr:rowOff>19050</xdr:rowOff>
    </xdr:from>
    <xdr:to>
      <xdr:col>12</xdr:col>
      <xdr:colOff>190501</xdr:colOff>
      <xdr:row>140</xdr:row>
      <xdr:rowOff>3839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149" t="6666" r="1102" b="16009"/>
        <a:stretch>
          <a:fillRect/>
        </a:stretch>
      </xdr:blipFill>
      <xdr:spPr>
        <a:xfrm>
          <a:off x="6143625" y="16287750"/>
          <a:ext cx="2438401" cy="5277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CRITOS"/>
      <sheetName val="FORMULARIO"/>
      <sheetName val="CUADRO ANALISIS"/>
      <sheetName val="FAVORITOS"/>
      <sheetName val="SEM ANTERIOR"/>
      <sheetName val="ULT. 8 SEM"/>
      <sheetName val="ALFABETICO SEM"/>
      <sheetName val="PORTADA"/>
      <sheetName val="TRAQUEOS"/>
      <sheetName val="BORRADOR TRAQUEO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L1">
            <v>1</v>
          </cell>
          <cell r="M1" t="str">
            <v>XTAL</v>
          </cell>
          <cell r="N1">
            <v>1</v>
          </cell>
        </row>
        <row r="2">
          <cell r="L2">
            <v>1</v>
          </cell>
          <cell r="M2" t="str">
            <v>TALENTOSO</v>
          </cell>
          <cell r="N2">
            <v>2</v>
          </cell>
        </row>
        <row r="3">
          <cell r="L3">
            <v>1</v>
          </cell>
          <cell r="M3" t="str">
            <v>CEDSRUNNER</v>
          </cell>
          <cell r="N3">
            <v>3</v>
          </cell>
        </row>
        <row r="4">
          <cell r="L4">
            <v>1</v>
          </cell>
          <cell r="M4" t="str">
            <v>BELIEVE ANDREW</v>
          </cell>
          <cell r="N4">
            <v>4</v>
          </cell>
        </row>
        <row r="5">
          <cell r="L5">
            <v>1</v>
          </cell>
          <cell r="M5" t="str">
            <v>VISION</v>
          </cell>
          <cell r="N5">
            <v>5</v>
          </cell>
        </row>
        <row r="6">
          <cell r="L6">
            <v>1</v>
          </cell>
          <cell r="M6" t="str">
            <v>DOCTOR ELY</v>
          </cell>
          <cell r="N6">
            <v>6</v>
          </cell>
        </row>
        <row r="7">
          <cell r="L7">
            <v>1</v>
          </cell>
          <cell r="M7" t="str">
            <v>MIDNIGHT CHAMPION</v>
          </cell>
          <cell r="N7">
            <v>7</v>
          </cell>
        </row>
        <row r="8">
          <cell r="L8">
            <v>1</v>
          </cell>
          <cell r="M8" t="str">
            <v>QUEEN VANEMAR</v>
          </cell>
          <cell r="N8">
            <v>8</v>
          </cell>
        </row>
        <row r="9">
          <cell r="L9">
            <v>1</v>
          </cell>
          <cell r="M9" t="str">
            <v>PAULA DEL CARMEN</v>
          </cell>
          <cell r="N9">
            <v>9</v>
          </cell>
        </row>
        <row r="10">
          <cell r="L10">
            <v>1</v>
          </cell>
          <cell r="M10" t="str">
            <v>SICARIGUA</v>
          </cell>
          <cell r="N10">
            <v>10</v>
          </cell>
        </row>
        <row r="11">
          <cell r="L11">
            <v>1</v>
          </cell>
          <cell r="M11" t="str">
            <v>MISS UNIVERSO</v>
          </cell>
          <cell r="N11">
            <v>11</v>
          </cell>
        </row>
        <row r="12">
          <cell r="L12">
            <v>1</v>
          </cell>
          <cell r="M12" t="str">
            <v>OKLAHOMA</v>
          </cell>
          <cell r="N12">
            <v>12</v>
          </cell>
        </row>
        <row r="13">
          <cell r="L13">
            <v>1</v>
          </cell>
          <cell r="M13">
            <v>0</v>
          </cell>
          <cell r="N13">
            <v>13</v>
          </cell>
        </row>
        <row r="14">
          <cell r="L14">
            <v>1</v>
          </cell>
          <cell r="M14">
            <v>0</v>
          </cell>
          <cell r="N14">
            <v>14</v>
          </cell>
        </row>
        <row r="15">
          <cell r="L15">
            <v>2</v>
          </cell>
          <cell r="M15" t="str">
            <v>MOSTAZA</v>
          </cell>
          <cell r="N15">
            <v>1</v>
          </cell>
        </row>
        <row r="16">
          <cell r="L16">
            <v>2</v>
          </cell>
          <cell r="M16" t="str">
            <v>DECIDIDA</v>
          </cell>
          <cell r="N16">
            <v>2</v>
          </cell>
        </row>
        <row r="17">
          <cell r="L17">
            <v>2</v>
          </cell>
          <cell r="M17" t="str">
            <v>MANCHEGA</v>
          </cell>
          <cell r="N17">
            <v>3</v>
          </cell>
        </row>
        <row r="18">
          <cell r="L18">
            <v>2</v>
          </cell>
          <cell r="M18" t="str">
            <v>PAINT WHITE</v>
          </cell>
          <cell r="N18">
            <v>4</v>
          </cell>
        </row>
        <row r="19">
          <cell r="L19">
            <v>2</v>
          </cell>
          <cell r="M19" t="str">
            <v>BOILED MILK</v>
          </cell>
          <cell r="N19">
            <v>5</v>
          </cell>
        </row>
        <row r="20">
          <cell r="L20">
            <v>2</v>
          </cell>
          <cell r="M20" t="str">
            <v>IMPETUOSA</v>
          </cell>
          <cell r="N20">
            <v>6</v>
          </cell>
        </row>
        <row r="21">
          <cell r="L21">
            <v>2</v>
          </cell>
          <cell r="M21" t="str">
            <v>SALOME</v>
          </cell>
          <cell r="N21">
            <v>7</v>
          </cell>
        </row>
        <row r="22">
          <cell r="L22">
            <v>2</v>
          </cell>
          <cell r="M22" t="str">
            <v>QUEEN VANEMAR</v>
          </cell>
          <cell r="N22">
            <v>8</v>
          </cell>
        </row>
        <row r="23">
          <cell r="L23">
            <v>2</v>
          </cell>
          <cell r="M23" t="str">
            <v>PAULA DEL CARMEN</v>
          </cell>
          <cell r="N23">
            <v>9</v>
          </cell>
        </row>
        <row r="24">
          <cell r="L24">
            <v>2</v>
          </cell>
          <cell r="M24" t="str">
            <v>SICARIGUA</v>
          </cell>
          <cell r="N24">
            <v>10</v>
          </cell>
        </row>
        <row r="25">
          <cell r="L25">
            <v>2</v>
          </cell>
          <cell r="M25" t="str">
            <v>MISS UNIVERSO</v>
          </cell>
          <cell r="N25">
            <v>11</v>
          </cell>
        </row>
        <row r="26">
          <cell r="L26">
            <v>2</v>
          </cell>
          <cell r="M26" t="str">
            <v>OKLAHOMA</v>
          </cell>
          <cell r="N26">
            <v>12</v>
          </cell>
        </row>
        <row r="27">
          <cell r="L27">
            <v>2</v>
          </cell>
          <cell r="M27">
            <v>0</v>
          </cell>
          <cell r="N27">
            <v>13</v>
          </cell>
        </row>
        <row r="28">
          <cell r="L28">
            <v>2</v>
          </cell>
          <cell r="M28">
            <v>0</v>
          </cell>
          <cell r="N28">
            <v>14</v>
          </cell>
        </row>
        <row r="29">
          <cell r="L29">
            <v>3</v>
          </cell>
          <cell r="M29" t="str">
            <v>FURETTO</v>
          </cell>
          <cell r="N29">
            <v>1</v>
          </cell>
        </row>
        <row r="30">
          <cell r="L30">
            <v>3</v>
          </cell>
          <cell r="M30" t="str">
            <v>POLOROID</v>
          </cell>
          <cell r="N30">
            <v>2</v>
          </cell>
        </row>
        <row r="31">
          <cell r="L31">
            <v>3</v>
          </cell>
          <cell r="M31" t="str">
            <v>FORTY TIME</v>
          </cell>
          <cell r="N31">
            <v>3</v>
          </cell>
        </row>
        <row r="32">
          <cell r="L32">
            <v>3</v>
          </cell>
          <cell r="M32" t="str">
            <v>ABU PEPE</v>
          </cell>
          <cell r="N32">
            <v>4</v>
          </cell>
        </row>
        <row r="33">
          <cell r="L33">
            <v>3</v>
          </cell>
          <cell r="M33" t="str">
            <v>RED TIME</v>
          </cell>
          <cell r="N33">
            <v>5</v>
          </cell>
        </row>
        <row r="34">
          <cell r="L34">
            <v>3</v>
          </cell>
          <cell r="M34" t="str">
            <v>DON CACAYO</v>
          </cell>
          <cell r="N34">
            <v>6</v>
          </cell>
        </row>
        <row r="35">
          <cell r="L35">
            <v>3</v>
          </cell>
          <cell r="M35" t="str">
            <v>MAHOMES</v>
          </cell>
          <cell r="N35">
            <v>7</v>
          </cell>
        </row>
        <row r="36">
          <cell r="L36">
            <v>3</v>
          </cell>
          <cell r="M36" t="str">
            <v>DEEP ATTACK</v>
          </cell>
          <cell r="N36">
            <v>8</v>
          </cell>
        </row>
        <row r="37">
          <cell r="L37">
            <v>3</v>
          </cell>
          <cell r="M37">
            <v>0</v>
          </cell>
          <cell r="N37">
            <v>9</v>
          </cell>
        </row>
        <row r="38">
          <cell r="L38">
            <v>3</v>
          </cell>
          <cell r="M38">
            <v>0</v>
          </cell>
          <cell r="N38">
            <v>10</v>
          </cell>
        </row>
        <row r="39">
          <cell r="L39">
            <v>3</v>
          </cell>
          <cell r="M39">
            <v>0</v>
          </cell>
          <cell r="N39">
            <v>11</v>
          </cell>
        </row>
        <row r="40">
          <cell r="L40">
            <v>3</v>
          </cell>
          <cell r="M40">
            <v>0</v>
          </cell>
          <cell r="N40">
            <v>12</v>
          </cell>
        </row>
        <row r="41">
          <cell r="L41">
            <v>3</v>
          </cell>
          <cell r="M41">
            <v>0</v>
          </cell>
          <cell r="N41">
            <v>13</v>
          </cell>
        </row>
        <row r="42">
          <cell r="L42">
            <v>3</v>
          </cell>
          <cell r="M42">
            <v>0</v>
          </cell>
          <cell r="N42">
            <v>14</v>
          </cell>
        </row>
        <row r="43">
          <cell r="L43">
            <v>4</v>
          </cell>
          <cell r="M43" t="str">
            <v>RUE DU BAC</v>
          </cell>
          <cell r="N43">
            <v>1</v>
          </cell>
        </row>
        <row r="44">
          <cell r="L44">
            <v>4</v>
          </cell>
          <cell r="M44" t="str">
            <v>MIA SOPHIA</v>
          </cell>
          <cell r="N44">
            <v>2</v>
          </cell>
        </row>
        <row r="45">
          <cell r="L45">
            <v>4</v>
          </cell>
          <cell r="M45" t="str">
            <v>STARSHIP GOLD</v>
          </cell>
          <cell r="N45">
            <v>3</v>
          </cell>
        </row>
        <row r="46">
          <cell r="L46">
            <v>4</v>
          </cell>
          <cell r="M46" t="str">
            <v>FRANCISS ROSE</v>
          </cell>
          <cell r="N46">
            <v>4</v>
          </cell>
        </row>
        <row r="47">
          <cell r="L47">
            <v>4</v>
          </cell>
          <cell r="M47" t="str">
            <v>OROLINDA</v>
          </cell>
          <cell r="N47">
            <v>5</v>
          </cell>
        </row>
        <row r="48">
          <cell r="L48">
            <v>4</v>
          </cell>
          <cell r="M48" t="str">
            <v>ANASOLI</v>
          </cell>
          <cell r="N48">
            <v>6</v>
          </cell>
        </row>
        <row r="49">
          <cell r="L49">
            <v>4</v>
          </cell>
          <cell r="M49" t="str">
            <v>GRAN FERONIA</v>
          </cell>
          <cell r="N49">
            <v>7</v>
          </cell>
        </row>
        <row r="50">
          <cell r="L50">
            <v>4</v>
          </cell>
          <cell r="M50" t="str">
            <v>VIENNA DINAMITA</v>
          </cell>
          <cell r="N50">
            <v>8</v>
          </cell>
        </row>
        <row r="51">
          <cell r="L51">
            <v>4</v>
          </cell>
          <cell r="M51">
            <v>0</v>
          </cell>
          <cell r="N51">
            <v>9</v>
          </cell>
        </row>
        <row r="52">
          <cell r="L52">
            <v>4</v>
          </cell>
          <cell r="M52">
            <v>0</v>
          </cell>
          <cell r="N52">
            <v>10</v>
          </cell>
        </row>
        <row r="53">
          <cell r="L53">
            <v>4</v>
          </cell>
          <cell r="M53">
            <v>0</v>
          </cell>
          <cell r="N53">
            <v>11</v>
          </cell>
        </row>
        <row r="54">
          <cell r="L54">
            <v>4</v>
          </cell>
          <cell r="M54">
            <v>0</v>
          </cell>
          <cell r="N54">
            <v>12</v>
          </cell>
        </row>
        <row r="55">
          <cell r="L55">
            <v>4</v>
          </cell>
          <cell r="M55">
            <v>0</v>
          </cell>
          <cell r="N55">
            <v>13</v>
          </cell>
        </row>
        <row r="56">
          <cell r="L56">
            <v>4</v>
          </cell>
          <cell r="M56">
            <v>0</v>
          </cell>
          <cell r="N56">
            <v>14</v>
          </cell>
        </row>
        <row r="57">
          <cell r="L57">
            <v>5</v>
          </cell>
          <cell r="M57" t="str">
            <v>TIME REPORT</v>
          </cell>
          <cell r="N57">
            <v>1</v>
          </cell>
        </row>
        <row r="58">
          <cell r="L58">
            <v>5</v>
          </cell>
          <cell r="M58" t="str">
            <v>TOWER STAR</v>
          </cell>
          <cell r="N58">
            <v>2</v>
          </cell>
        </row>
        <row r="59">
          <cell r="L59">
            <v>5</v>
          </cell>
          <cell r="M59" t="str">
            <v>THE LAST DANCE</v>
          </cell>
          <cell r="N59">
            <v>3</v>
          </cell>
        </row>
        <row r="60">
          <cell r="L60">
            <v>5</v>
          </cell>
          <cell r="M60" t="str">
            <v>MAXIMUS FORTUNE</v>
          </cell>
          <cell r="N60">
            <v>4</v>
          </cell>
        </row>
        <row r="61">
          <cell r="L61">
            <v>5</v>
          </cell>
          <cell r="M61" t="str">
            <v>EL GRAN ELADIO</v>
          </cell>
          <cell r="N61">
            <v>5</v>
          </cell>
        </row>
        <row r="62">
          <cell r="L62">
            <v>5</v>
          </cell>
          <cell r="M62" t="str">
            <v>TUCO SALAMANCA</v>
          </cell>
          <cell r="N62">
            <v>6</v>
          </cell>
        </row>
        <row r="63">
          <cell r="L63">
            <v>5</v>
          </cell>
          <cell r="M63" t="str">
            <v>BRAVUCON</v>
          </cell>
          <cell r="N63">
            <v>7</v>
          </cell>
        </row>
        <row r="64">
          <cell r="L64">
            <v>5</v>
          </cell>
          <cell r="M64">
            <v>0</v>
          </cell>
          <cell r="N64">
            <v>8</v>
          </cell>
        </row>
        <row r="65">
          <cell r="L65">
            <v>5</v>
          </cell>
          <cell r="M65">
            <v>0</v>
          </cell>
          <cell r="N65">
            <v>9</v>
          </cell>
        </row>
        <row r="66">
          <cell r="L66">
            <v>5</v>
          </cell>
          <cell r="M66">
            <v>0</v>
          </cell>
          <cell r="N66">
            <v>10</v>
          </cell>
        </row>
        <row r="67">
          <cell r="L67">
            <v>5</v>
          </cell>
          <cell r="M67">
            <v>0</v>
          </cell>
          <cell r="N67">
            <v>11</v>
          </cell>
        </row>
        <row r="68">
          <cell r="L68">
            <v>5</v>
          </cell>
          <cell r="M68">
            <v>0</v>
          </cell>
          <cell r="N68">
            <v>12</v>
          </cell>
        </row>
        <row r="69">
          <cell r="L69">
            <v>5</v>
          </cell>
          <cell r="M69">
            <v>0</v>
          </cell>
          <cell r="N69">
            <v>13</v>
          </cell>
        </row>
        <row r="70">
          <cell r="L70">
            <v>5</v>
          </cell>
          <cell r="M70">
            <v>0</v>
          </cell>
          <cell r="N70">
            <v>14</v>
          </cell>
        </row>
        <row r="71">
          <cell r="L71">
            <v>6</v>
          </cell>
          <cell r="M71" t="str">
            <v>SUPER EXPLOSIVA</v>
          </cell>
          <cell r="N71">
            <v>1</v>
          </cell>
        </row>
        <row r="72">
          <cell r="L72">
            <v>6</v>
          </cell>
          <cell r="M72" t="str">
            <v>YANKEE LAKE</v>
          </cell>
          <cell r="N72">
            <v>2</v>
          </cell>
        </row>
        <row r="73">
          <cell r="L73">
            <v>6</v>
          </cell>
          <cell r="M73" t="str">
            <v>WAY TOO MUCH</v>
          </cell>
          <cell r="N73">
            <v>3</v>
          </cell>
        </row>
        <row r="74">
          <cell r="L74">
            <v>6</v>
          </cell>
          <cell r="M74" t="str">
            <v>HONEY TIME</v>
          </cell>
          <cell r="N74">
            <v>4</v>
          </cell>
        </row>
        <row r="75">
          <cell r="L75">
            <v>6</v>
          </cell>
          <cell r="M75" t="str">
            <v>MAJESTIC SHOT</v>
          </cell>
          <cell r="N75">
            <v>5</v>
          </cell>
        </row>
        <row r="76">
          <cell r="L76">
            <v>6</v>
          </cell>
          <cell r="M76" t="str">
            <v>CRAIGH NA DUN</v>
          </cell>
          <cell r="N76">
            <v>6</v>
          </cell>
        </row>
        <row r="77">
          <cell r="L77">
            <v>6</v>
          </cell>
          <cell r="M77" t="str">
            <v>ALANA</v>
          </cell>
          <cell r="N77">
            <v>7</v>
          </cell>
        </row>
        <row r="78">
          <cell r="L78">
            <v>6</v>
          </cell>
          <cell r="M78" t="str">
            <v>UNIVERSAL JOY</v>
          </cell>
          <cell r="N78">
            <v>8</v>
          </cell>
        </row>
        <row r="79">
          <cell r="L79">
            <v>6</v>
          </cell>
          <cell r="M79" t="str">
            <v>ARDENTIA</v>
          </cell>
          <cell r="N79">
            <v>9</v>
          </cell>
        </row>
        <row r="80">
          <cell r="L80">
            <v>6</v>
          </cell>
          <cell r="M80" t="str">
            <v>LELIZAMAR</v>
          </cell>
          <cell r="N80">
            <v>10</v>
          </cell>
        </row>
        <row r="81">
          <cell r="L81">
            <v>6</v>
          </cell>
          <cell r="M81">
            <v>0</v>
          </cell>
          <cell r="N81">
            <v>11</v>
          </cell>
        </row>
        <row r="82">
          <cell r="L82">
            <v>6</v>
          </cell>
          <cell r="M82">
            <v>0</v>
          </cell>
          <cell r="N82">
            <v>12</v>
          </cell>
        </row>
        <row r="83">
          <cell r="L83">
            <v>6</v>
          </cell>
          <cell r="M83">
            <v>0</v>
          </cell>
          <cell r="N83">
            <v>13</v>
          </cell>
        </row>
        <row r="84">
          <cell r="L84">
            <v>6</v>
          </cell>
          <cell r="M84">
            <v>0</v>
          </cell>
          <cell r="N84">
            <v>14</v>
          </cell>
        </row>
        <row r="85">
          <cell r="L85">
            <v>7</v>
          </cell>
          <cell r="M85" t="str">
            <v>GANBATTE</v>
          </cell>
          <cell r="N85">
            <v>1</v>
          </cell>
        </row>
        <row r="86">
          <cell r="L86">
            <v>7</v>
          </cell>
          <cell r="M86" t="str">
            <v>ABUELO</v>
          </cell>
          <cell r="N86">
            <v>2</v>
          </cell>
        </row>
        <row r="87">
          <cell r="L87">
            <v>7</v>
          </cell>
          <cell r="M87" t="str">
            <v>GRANDIOSSUS</v>
          </cell>
          <cell r="N87">
            <v>3</v>
          </cell>
        </row>
        <row r="88">
          <cell r="L88">
            <v>7</v>
          </cell>
          <cell r="M88" t="str">
            <v>TIO CARLITOS</v>
          </cell>
          <cell r="N88">
            <v>4</v>
          </cell>
        </row>
        <row r="89">
          <cell r="L89">
            <v>7</v>
          </cell>
          <cell r="M89" t="str">
            <v>SNUJAKE</v>
          </cell>
          <cell r="N89">
            <v>5</v>
          </cell>
        </row>
        <row r="90">
          <cell r="L90">
            <v>7</v>
          </cell>
          <cell r="M90" t="str">
            <v>ZEPPELIN</v>
          </cell>
          <cell r="N90">
            <v>6</v>
          </cell>
        </row>
        <row r="91">
          <cell r="L91">
            <v>7</v>
          </cell>
          <cell r="M91" t="str">
            <v>SILK EYES</v>
          </cell>
          <cell r="N91">
            <v>7</v>
          </cell>
        </row>
        <row r="92">
          <cell r="L92">
            <v>7</v>
          </cell>
          <cell r="M92" t="str">
            <v>LOOK AT DADDY</v>
          </cell>
          <cell r="N92">
            <v>8</v>
          </cell>
        </row>
        <row r="93">
          <cell r="L93">
            <v>7</v>
          </cell>
          <cell r="M93">
            <v>0</v>
          </cell>
          <cell r="N93">
            <v>9</v>
          </cell>
        </row>
        <row r="94">
          <cell r="L94">
            <v>7</v>
          </cell>
          <cell r="M94">
            <v>0</v>
          </cell>
          <cell r="N94">
            <v>10</v>
          </cell>
        </row>
        <row r="95">
          <cell r="L95">
            <v>7</v>
          </cell>
          <cell r="M95">
            <v>0</v>
          </cell>
          <cell r="N95">
            <v>11</v>
          </cell>
        </row>
        <row r="96">
          <cell r="L96">
            <v>7</v>
          </cell>
          <cell r="M96">
            <v>0</v>
          </cell>
          <cell r="N96">
            <v>12</v>
          </cell>
        </row>
        <row r="97">
          <cell r="L97">
            <v>7</v>
          </cell>
          <cell r="M97">
            <v>0</v>
          </cell>
          <cell r="N97">
            <v>13</v>
          </cell>
        </row>
        <row r="98">
          <cell r="L98">
            <v>7</v>
          </cell>
          <cell r="M98">
            <v>0</v>
          </cell>
          <cell r="N98">
            <v>14</v>
          </cell>
        </row>
        <row r="99">
          <cell r="L99">
            <v>8</v>
          </cell>
          <cell r="M99" t="str">
            <v>KOSHO</v>
          </cell>
          <cell r="N99">
            <v>1</v>
          </cell>
        </row>
        <row r="100">
          <cell r="L100">
            <v>8</v>
          </cell>
          <cell r="M100" t="str">
            <v>BIG SENSATION</v>
          </cell>
          <cell r="N100">
            <v>2</v>
          </cell>
        </row>
        <row r="101">
          <cell r="L101">
            <v>8</v>
          </cell>
          <cell r="M101" t="str">
            <v>JIMMINY ROUGE</v>
          </cell>
          <cell r="N101">
            <v>3</v>
          </cell>
        </row>
        <row r="102">
          <cell r="L102">
            <v>8</v>
          </cell>
          <cell r="M102" t="str">
            <v>KILIMANJARO</v>
          </cell>
          <cell r="N102">
            <v>4</v>
          </cell>
        </row>
        <row r="103">
          <cell r="L103">
            <v>8</v>
          </cell>
          <cell r="M103" t="str">
            <v>NIÑO DE ORO</v>
          </cell>
          <cell r="N103">
            <v>5</v>
          </cell>
        </row>
        <row r="104">
          <cell r="L104">
            <v>8</v>
          </cell>
          <cell r="M104" t="str">
            <v>BUCEFALO</v>
          </cell>
          <cell r="N104">
            <v>6</v>
          </cell>
        </row>
        <row r="105">
          <cell r="L105">
            <v>8</v>
          </cell>
          <cell r="M105" t="str">
            <v>SIEMPRE</v>
          </cell>
          <cell r="N105">
            <v>7</v>
          </cell>
        </row>
        <row r="106">
          <cell r="L106">
            <v>8</v>
          </cell>
          <cell r="M106" t="str">
            <v>KING NYSOS</v>
          </cell>
          <cell r="N106">
            <v>8</v>
          </cell>
        </row>
        <row r="107">
          <cell r="L107">
            <v>8</v>
          </cell>
          <cell r="M107">
            <v>0</v>
          </cell>
          <cell r="N107">
            <v>9</v>
          </cell>
        </row>
        <row r="108">
          <cell r="L108">
            <v>8</v>
          </cell>
          <cell r="M108">
            <v>0</v>
          </cell>
          <cell r="N108">
            <v>10</v>
          </cell>
        </row>
        <row r="109">
          <cell r="L109">
            <v>8</v>
          </cell>
          <cell r="M109">
            <v>0</v>
          </cell>
          <cell r="N109">
            <v>11</v>
          </cell>
        </row>
        <row r="110">
          <cell r="L110">
            <v>8</v>
          </cell>
          <cell r="M110">
            <v>0</v>
          </cell>
          <cell r="N110">
            <v>12</v>
          </cell>
        </row>
        <row r="111">
          <cell r="L111">
            <v>8</v>
          </cell>
          <cell r="M111">
            <v>0</v>
          </cell>
          <cell r="N111">
            <v>13</v>
          </cell>
        </row>
        <row r="112">
          <cell r="L112">
            <v>8</v>
          </cell>
          <cell r="M112">
            <v>0</v>
          </cell>
          <cell r="N112">
            <v>14</v>
          </cell>
        </row>
        <row r="113">
          <cell r="L113">
            <v>9</v>
          </cell>
          <cell r="M113" t="str">
            <v>EL GRAN CAMPEON</v>
          </cell>
          <cell r="N113">
            <v>1</v>
          </cell>
        </row>
        <row r="114">
          <cell r="L114">
            <v>9</v>
          </cell>
          <cell r="M114" t="str">
            <v>SOY SABANERO</v>
          </cell>
          <cell r="N114">
            <v>2</v>
          </cell>
        </row>
        <row r="115">
          <cell r="L115">
            <v>9</v>
          </cell>
          <cell r="M115" t="str">
            <v>EL TORO FLORES</v>
          </cell>
          <cell r="N115">
            <v>3</v>
          </cell>
        </row>
        <row r="116">
          <cell r="L116">
            <v>9</v>
          </cell>
          <cell r="M116" t="str">
            <v>ABUELO JOSE</v>
          </cell>
          <cell r="N116">
            <v>4</v>
          </cell>
        </row>
        <row r="117">
          <cell r="L117">
            <v>9</v>
          </cell>
          <cell r="M117" t="str">
            <v>COMING HOME</v>
          </cell>
          <cell r="N117">
            <v>5</v>
          </cell>
        </row>
        <row r="118">
          <cell r="L118">
            <v>9</v>
          </cell>
          <cell r="M118" t="str">
            <v>GRAN WARRIOR</v>
          </cell>
          <cell r="N118">
            <v>6</v>
          </cell>
        </row>
        <row r="119">
          <cell r="L119">
            <v>9</v>
          </cell>
          <cell r="M119" t="str">
            <v>EROS</v>
          </cell>
          <cell r="N119">
            <v>7</v>
          </cell>
        </row>
        <row r="120">
          <cell r="L120">
            <v>9</v>
          </cell>
          <cell r="M120" t="str">
            <v>MY SECURITY</v>
          </cell>
          <cell r="N120">
            <v>8</v>
          </cell>
        </row>
        <row r="121">
          <cell r="L121">
            <v>9</v>
          </cell>
          <cell r="M121" t="str">
            <v>BLACK ANTHONY</v>
          </cell>
          <cell r="N121">
            <v>9</v>
          </cell>
        </row>
        <row r="122">
          <cell r="L122">
            <v>9</v>
          </cell>
          <cell r="M122" t="str">
            <v>EL GRAN SECH</v>
          </cell>
          <cell r="N122">
            <v>10</v>
          </cell>
        </row>
        <row r="123">
          <cell r="L123">
            <v>9</v>
          </cell>
          <cell r="M123" t="str">
            <v>LOUIS THE DUKE</v>
          </cell>
          <cell r="N123">
            <v>11</v>
          </cell>
        </row>
        <row r="124">
          <cell r="L124">
            <v>9</v>
          </cell>
          <cell r="M124" t="str">
            <v>CHAMUEL</v>
          </cell>
          <cell r="N124">
            <v>12</v>
          </cell>
        </row>
        <row r="125">
          <cell r="L125">
            <v>9</v>
          </cell>
          <cell r="M125" t="str">
            <v>CONTRA TODO</v>
          </cell>
          <cell r="N125">
            <v>13</v>
          </cell>
        </row>
        <row r="126">
          <cell r="L126">
            <v>9</v>
          </cell>
          <cell r="M126">
            <v>0</v>
          </cell>
          <cell r="N126">
            <v>14</v>
          </cell>
        </row>
        <row r="127">
          <cell r="L127">
            <v>10</v>
          </cell>
          <cell r="M127" t="str">
            <v>KING JULIEN</v>
          </cell>
          <cell r="N127">
            <v>1</v>
          </cell>
        </row>
        <row r="128">
          <cell r="L128">
            <v>10</v>
          </cell>
          <cell r="M128" t="str">
            <v>NEIGH SAYER</v>
          </cell>
          <cell r="N128">
            <v>2</v>
          </cell>
        </row>
        <row r="129">
          <cell r="L129">
            <v>10</v>
          </cell>
          <cell r="M129" t="str">
            <v>QUALITAT</v>
          </cell>
          <cell r="N129">
            <v>3</v>
          </cell>
        </row>
        <row r="130">
          <cell r="L130">
            <v>10</v>
          </cell>
          <cell r="M130" t="str">
            <v>EL CARDENAL</v>
          </cell>
          <cell r="N130">
            <v>4</v>
          </cell>
        </row>
        <row r="131">
          <cell r="L131">
            <v>10</v>
          </cell>
          <cell r="M131" t="str">
            <v>LUMIERE</v>
          </cell>
          <cell r="N131">
            <v>5</v>
          </cell>
        </row>
        <row r="132">
          <cell r="L132">
            <v>10</v>
          </cell>
          <cell r="M132" t="str">
            <v>MAPLE GROVE</v>
          </cell>
          <cell r="N132">
            <v>6</v>
          </cell>
        </row>
        <row r="133">
          <cell r="L133">
            <v>10</v>
          </cell>
          <cell r="M133" t="str">
            <v>EL GRAN BARLOVENTO</v>
          </cell>
          <cell r="N133">
            <v>7</v>
          </cell>
        </row>
        <row r="134">
          <cell r="L134">
            <v>10</v>
          </cell>
          <cell r="M134" t="str">
            <v>HURACAN LUIS</v>
          </cell>
          <cell r="N134">
            <v>8</v>
          </cell>
        </row>
        <row r="135">
          <cell r="L135">
            <v>10</v>
          </cell>
          <cell r="M135" t="str">
            <v>REY SATURNO</v>
          </cell>
          <cell r="N135">
            <v>9</v>
          </cell>
        </row>
        <row r="136">
          <cell r="L136">
            <v>10</v>
          </cell>
          <cell r="M136" t="str">
            <v>ATHLETIC TIME</v>
          </cell>
          <cell r="N136">
            <v>10</v>
          </cell>
        </row>
        <row r="137">
          <cell r="L137">
            <v>10</v>
          </cell>
          <cell r="M137">
            <v>0</v>
          </cell>
          <cell r="N137">
            <v>11</v>
          </cell>
        </row>
        <row r="138">
          <cell r="L138">
            <v>10</v>
          </cell>
          <cell r="M138">
            <v>0</v>
          </cell>
          <cell r="N138">
            <v>12</v>
          </cell>
        </row>
        <row r="139">
          <cell r="L139">
            <v>10</v>
          </cell>
          <cell r="M139">
            <v>0</v>
          </cell>
          <cell r="N139">
            <v>13</v>
          </cell>
        </row>
        <row r="140">
          <cell r="L140">
            <v>10</v>
          </cell>
          <cell r="M140">
            <v>0</v>
          </cell>
          <cell r="N140">
            <v>14</v>
          </cell>
        </row>
        <row r="141">
          <cell r="L141">
            <v>11</v>
          </cell>
          <cell r="M141" t="str">
            <v>ALTIVA</v>
          </cell>
          <cell r="N141">
            <v>1</v>
          </cell>
        </row>
        <row r="142">
          <cell r="L142">
            <v>11</v>
          </cell>
          <cell r="M142" t="str">
            <v>NONNA YACHINTA</v>
          </cell>
          <cell r="N142">
            <v>2</v>
          </cell>
        </row>
        <row r="143">
          <cell r="L143">
            <v>11</v>
          </cell>
          <cell r="M143" t="str">
            <v>RYBAKINA</v>
          </cell>
          <cell r="N143">
            <v>3</v>
          </cell>
        </row>
        <row r="144">
          <cell r="L144">
            <v>11</v>
          </cell>
          <cell r="M144" t="str">
            <v>AURA ROMANA</v>
          </cell>
          <cell r="N144">
            <v>4</v>
          </cell>
        </row>
        <row r="145">
          <cell r="L145">
            <v>11</v>
          </cell>
          <cell r="M145" t="str">
            <v>MEHEBLE</v>
          </cell>
          <cell r="N145">
            <v>5</v>
          </cell>
        </row>
        <row r="146">
          <cell r="L146">
            <v>11</v>
          </cell>
          <cell r="M146" t="str">
            <v>BELLA VIDA</v>
          </cell>
          <cell r="N146">
            <v>6</v>
          </cell>
        </row>
        <row r="147">
          <cell r="L147">
            <v>11</v>
          </cell>
          <cell r="M147" t="str">
            <v>MOON WHITE</v>
          </cell>
          <cell r="N147">
            <v>7</v>
          </cell>
        </row>
        <row r="148">
          <cell r="L148">
            <v>11</v>
          </cell>
          <cell r="M148" t="str">
            <v>AITANA PRINCESS</v>
          </cell>
          <cell r="N148">
            <v>8</v>
          </cell>
        </row>
        <row r="149">
          <cell r="L149">
            <v>11</v>
          </cell>
          <cell r="M149" t="str">
            <v>PRINCESS DEFENCE</v>
          </cell>
          <cell r="N149">
            <v>9</v>
          </cell>
        </row>
        <row r="150">
          <cell r="L150">
            <v>11</v>
          </cell>
          <cell r="M150" t="str">
            <v>FORTUNA SUPREMA</v>
          </cell>
          <cell r="N150">
            <v>10</v>
          </cell>
        </row>
        <row r="151">
          <cell r="L151">
            <v>11</v>
          </cell>
          <cell r="M151" t="str">
            <v>FOREVER QUEEN</v>
          </cell>
          <cell r="N151">
            <v>11</v>
          </cell>
        </row>
        <row r="152">
          <cell r="L152">
            <v>11</v>
          </cell>
          <cell r="M152">
            <v>0</v>
          </cell>
          <cell r="N152">
            <v>12</v>
          </cell>
        </row>
        <row r="153">
          <cell r="L153">
            <v>11</v>
          </cell>
          <cell r="M153">
            <v>0</v>
          </cell>
          <cell r="N153">
            <v>13</v>
          </cell>
        </row>
        <row r="154">
          <cell r="L154">
            <v>11</v>
          </cell>
          <cell r="M154">
            <v>0</v>
          </cell>
          <cell r="N154">
            <v>14</v>
          </cell>
        </row>
        <row r="155">
          <cell r="L155">
            <v>12</v>
          </cell>
          <cell r="M155" t="str">
            <v>INVADER</v>
          </cell>
          <cell r="N155">
            <v>1</v>
          </cell>
        </row>
        <row r="156">
          <cell r="L156">
            <v>12</v>
          </cell>
          <cell r="M156" t="str">
            <v>MUFASA</v>
          </cell>
          <cell r="N156">
            <v>2</v>
          </cell>
        </row>
        <row r="157">
          <cell r="L157">
            <v>12</v>
          </cell>
          <cell r="M157" t="str">
            <v>REY JOAQUIN</v>
          </cell>
          <cell r="N157">
            <v>3</v>
          </cell>
        </row>
        <row r="158">
          <cell r="L158">
            <v>12</v>
          </cell>
          <cell r="M158" t="str">
            <v>FIRST TIME</v>
          </cell>
          <cell r="N158">
            <v>4</v>
          </cell>
        </row>
        <row r="159">
          <cell r="L159">
            <v>12</v>
          </cell>
          <cell r="M159" t="str">
            <v>THE FIELDHER JR.</v>
          </cell>
          <cell r="N159">
            <v>5</v>
          </cell>
        </row>
        <row r="160">
          <cell r="L160">
            <v>12</v>
          </cell>
          <cell r="M160" t="str">
            <v>PAN DE AZUCAR</v>
          </cell>
          <cell r="N160">
            <v>6</v>
          </cell>
        </row>
        <row r="161">
          <cell r="L161">
            <v>12</v>
          </cell>
          <cell r="M161" t="str">
            <v>SOL RAYO LASER</v>
          </cell>
          <cell r="N161">
            <v>7</v>
          </cell>
        </row>
        <row r="162">
          <cell r="L162">
            <v>12</v>
          </cell>
          <cell r="M162" t="str">
            <v>TORO SALVAJE</v>
          </cell>
          <cell r="N162">
            <v>8</v>
          </cell>
        </row>
        <row r="163">
          <cell r="L163">
            <v>12</v>
          </cell>
          <cell r="M163">
            <v>0</v>
          </cell>
          <cell r="N163">
            <v>9</v>
          </cell>
        </row>
        <row r="164">
          <cell r="L164">
            <v>12</v>
          </cell>
          <cell r="M164">
            <v>0</v>
          </cell>
          <cell r="N164">
            <v>10</v>
          </cell>
        </row>
        <row r="165">
          <cell r="L165">
            <v>12</v>
          </cell>
          <cell r="M165">
            <v>0</v>
          </cell>
          <cell r="N165">
            <v>11</v>
          </cell>
        </row>
        <row r="166">
          <cell r="L166">
            <v>12</v>
          </cell>
          <cell r="M166">
            <v>0</v>
          </cell>
          <cell r="N166">
            <v>12</v>
          </cell>
        </row>
        <row r="167">
          <cell r="L167">
            <v>12</v>
          </cell>
          <cell r="M167">
            <v>0</v>
          </cell>
          <cell r="N167">
            <v>13</v>
          </cell>
        </row>
        <row r="168">
          <cell r="L168">
            <v>12</v>
          </cell>
          <cell r="M168">
            <v>0</v>
          </cell>
          <cell r="N168">
            <v>14</v>
          </cell>
        </row>
        <row r="169">
          <cell r="L169">
            <v>13</v>
          </cell>
          <cell r="M169" t="str">
            <v>FURIA</v>
          </cell>
          <cell r="N169">
            <v>1</v>
          </cell>
        </row>
        <row r="170">
          <cell r="L170">
            <v>13</v>
          </cell>
          <cell r="M170" t="str">
            <v>POTENCIADA</v>
          </cell>
          <cell r="N170">
            <v>2</v>
          </cell>
        </row>
        <row r="171">
          <cell r="L171">
            <v>13</v>
          </cell>
          <cell r="M171" t="str">
            <v>EMPLOYEEOFTHEMONTH</v>
          </cell>
          <cell r="N171">
            <v>3</v>
          </cell>
        </row>
        <row r="172">
          <cell r="L172">
            <v>13</v>
          </cell>
          <cell r="M172" t="str">
            <v>SPICY GUACAMOLE</v>
          </cell>
          <cell r="N172">
            <v>4</v>
          </cell>
        </row>
        <row r="173">
          <cell r="L173">
            <v>13</v>
          </cell>
          <cell r="M173" t="str">
            <v>CHIQUINQUIREÑA</v>
          </cell>
          <cell r="N173">
            <v>5</v>
          </cell>
        </row>
        <row r="174">
          <cell r="L174">
            <v>13</v>
          </cell>
          <cell r="M174" t="str">
            <v>SUGAR CANE</v>
          </cell>
          <cell r="N174">
            <v>6</v>
          </cell>
        </row>
        <row r="175">
          <cell r="L175">
            <v>13</v>
          </cell>
          <cell r="M175" t="str">
            <v>SIZZLE</v>
          </cell>
          <cell r="N175">
            <v>7</v>
          </cell>
        </row>
        <row r="176">
          <cell r="L176">
            <v>13</v>
          </cell>
          <cell r="M176" t="str">
            <v>DIAMONDS N THRILLS</v>
          </cell>
          <cell r="N176">
            <v>8</v>
          </cell>
        </row>
        <row r="177">
          <cell r="L177">
            <v>13</v>
          </cell>
          <cell r="M177" t="str">
            <v>ETERNA AMANDA</v>
          </cell>
          <cell r="N177">
            <v>9</v>
          </cell>
        </row>
        <row r="178">
          <cell r="L178">
            <v>13</v>
          </cell>
          <cell r="M178" t="str">
            <v>ABOVE THE SKY</v>
          </cell>
          <cell r="N178">
            <v>10</v>
          </cell>
        </row>
        <row r="179">
          <cell r="L179">
            <v>13</v>
          </cell>
          <cell r="M179">
            <v>0</v>
          </cell>
          <cell r="N179">
            <v>11</v>
          </cell>
        </row>
        <row r="180">
          <cell r="L180">
            <v>13</v>
          </cell>
          <cell r="M180">
            <v>0</v>
          </cell>
          <cell r="N180">
            <v>12</v>
          </cell>
        </row>
        <row r="181">
          <cell r="L181">
            <v>13</v>
          </cell>
          <cell r="M181">
            <v>0</v>
          </cell>
          <cell r="N181">
            <v>13</v>
          </cell>
        </row>
        <row r="182">
          <cell r="L182">
            <v>13</v>
          </cell>
          <cell r="M182">
            <v>0</v>
          </cell>
          <cell r="N182">
            <v>14</v>
          </cell>
        </row>
        <row r="183">
          <cell r="L183">
            <v>14</v>
          </cell>
          <cell r="M183" t="str">
            <v>GRAN CUMANESA</v>
          </cell>
          <cell r="N183">
            <v>1</v>
          </cell>
        </row>
        <row r="184">
          <cell r="L184">
            <v>14</v>
          </cell>
          <cell r="M184" t="str">
            <v>SPRING CLEAN</v>
          </cell>
          <cell r="N184">
            <v>2</v>
          </cell>
        </row>
        <row r="185">
          <cell r="L185">
            <v>14</v>
          </cell>
          <cell r="M185" t="str">
            <v>REYSGAR</v>
          </cell>
          <cell r="N185">
            <v>3</v>
          </cell>
        </row>
        <row r="186">
          <cell r="L186">
            <v>14</v>
          </cell>
          <cell r="M186" t="str">
            <v>CORONADA EN GLORIA</v>
          </cell>
          <cell r="N186">
            <v>4</v>
          </cell>
        </row>
        <row r="187">
          <cell r="L187">
            <v>14</v>
          </cell>
          <cell r="M187" t="str">
            <v>MACARENA</v>
          </cell>
          <cell r="N187">
            <v>5</v>
          </cell>
        </row>
        <row r="188">
          <cell r="L188">
            <v>14</v>
          </cell>
          <cell r="M188" t="str">
            <v>TRULY YOU</v>
          </cell>
          <cell r="N188">
            <v>6</v>
          </cell>
        </row>
        <row r="189">
          <cell r="L189">
            <v>14</v>
          </cell>
          <cell r="M189" t="str">
            <v>ABUSIVA</v>
          </cell>
          <cell r="N189">
            <v>7</v>
          </cell>
        </row>
        <row r="190">
          <cell r="L190">
            <v>14</v>
          </cell>
          <cell r="M190" t="str">
            <v>QUEEN ENDIRA</v>
          </cell>
          <cell r="N190">
            <v>8</v>
          </cell>
        </row>
        <row r="191">
          <cell r="L191">
            <v>14</v>
          </cell>
          <cell r="M191" t="str">
            <v>BARBARA GUADALUPE</v>
          </cell>
          <cell r="N191">
            <v>9</v>
          </cell>
        </row>
        <row r="192">
          <cell r="L192">
            <v>14</v>
          </cell>
          <cell r="M192" t="str">
            <v>BEYONCE CHAMP</v>
          </cell>
          <cell r="N192">
            <v>10</v>
          </cell>
        </row>
        <row r="193">
          <cell r="L193">
            <v>14</v>
          </cell>
          <cell r="M193" t="str">
            <v>KERRY LADY</v>
          </cell>
          <cell r="N193">
            <v>11</v>
          </cell>
        </row>
        <row r="194">
          <cell r="L194">
            <v>14</v>
          </cell>
          <cell r="M194" t="str">
            <v>NEGRITA HERMOSA</v>
          </cell>
          <cell r="N194">
            <v>12</v>
          </cell>
        </row>
        <row r="195">
          <cell r="L195">
            <v>14</v>
          </cell>
          <cell r="M195">
            <v>0</v>
          </cell>
          <cell r="N195">
            <v>13</v>
          </cell>
        </row>
        <row r="196">
          <cell r="L196">
            <v>14</v>
          </cell>
          <cell r="M196">
            <v>0</v>
          </cell>
          <cell r="N196">
            <v>14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S COD"/>
      <sheetName val="SEM 1"/>
      <sheetName val="MEET 06-09-26"/>
      <sheetName val="SEM 2"/>
      <sheetName val="MEET 21-06-26"/>
      <sheetName val="SEM 3"/>
      <sheetName val="MEET 19-07-26"/>
      <sheetName val="SEM 4"/>
      <sheetName val="MEET 26-7-26"/>
      <sheetName val="SEM 5"/>
      <sheetName val="MEET 2-8-26"/>
      <sheetName val="SEM 6"/>
      <sheetName val="MEET 9-8-26"/>
      <sheetName val="SEM 7"/>
      <sheetName val="MEET 16-8-26"/>
      <sheetName val="SEM 8"/>
      <sheetName val="MEET 23-8-26"/>
      <sheetName val="SEM 9"/>
      <sheetName val="MEET 30-8-26"/>
      <sheetName val="CONTROL CAMPEONATO DE MARCAS 3E"/>
    </sheetNames>
    <sheetDataSet>
      <sheetData sheetId="0">
        <row r="4">
          <cell r="B4">
            <v>1</v>
          </cell>
          <cell r="C4" t="str">
            <v>GANADORES Y PULSO</v>
          </cell>
        </row>
        <row r="5">
          <cell r="B5">
            <v>2</v>
          </cell>
          <cell r="C5" t="str">
            <v>JESUS QUERALES</v>
          </cell>
        </row>
        <row r="6">
          <cell r="B6">
            <v>3</v>
          </cell>
          <cell r="C6" t="str">
            <v>MUÑECA DEL HIPISMO</v>
          </cell>
        </row>
        <row r="7">
          <cell r="B7">
            <v>4</v>
          </cell>
          <cell r="C7" t="str">
            <v>EL HIPICO 701</v>
          </cell>
        </row>
        <row r="8">
          <cell r="B8">
            <v>5</v>
          </cell>
          <cell r="C8" t="str">
            <v>MARCOS HIDALGO</v>
          </cell>
        </row>
        <row r="9">
          <cell r="B9">
            <v>6</v>
          </cell>
          <cell r="C9" t="str">
            <v>JESUS ROJAS</v>
          </cell>
        </row>
        <row r="10">
          <cell r="B10">
            <v>7</v>
          </cell>
          <cell r="C10" t="str">
            <v>NELSON OSORIO</v>
          </cell>
        </row>
        <row r="11">
          <cell r="B11">
            <v>8</v>
          </cell>
          <cell r="C11" t="str">
            <v>RUBEN DARIO CARDENAS</v>
          </cell>
        </row>
        <row r="12">
          <cell r="B12">
            <v>9</v>
          </cell>
          <cell r="C12" t="str">
            <v>JESUS ARASME</v>
          </cell>
        </row>
        <row r="13">
          <cell r="B13">
            <v>10</v>
          </cell>
          <cell r="C13" t="str">
            <v>JESUS CARAYACA</v>
          </cell>
        </row>
        <row r="14">
          <cell r="B14">
            <v>11</v>
          </cell>
          <cell r="C14" t="str">
            <v>ANDERSON ZERPA</v>
          </cell>
        </row>
        <row r="15">
          <cell r="B15">
            <v>12</v>
          </cell>
          <cell r="C15" t="str">
            <v>GERARDO LOPEZ</v>
          </cell>
        </row>
        <row r="16">
          <cell r="B16">
            <v>13</v>
          </cell>
          <cell r="C16" t="str">
            <v>NOTAS HIPICAS</v>
          </cell>
        </row>
        <row r="17">
          <cell r="B17">
            <v>14</v>
          </cell>
          <cell r="C17" t="str">
            <v>PEDRO ALVAREZ</v>
          </cell>
        </row>
        <row r="18">
          <cell r="B18">
            <v>15</v>
          </cell>
          <cell r="C18" t="str">
            <v>CARLOS SUAREZ</v>
          </cell>
        </row>
        <row r="19">
          <cell r="B19">
            <v>16</v>
          </cell>
          <cell r="C19" t="str">
            <v>PODER HIPICO</v>
          </cell>
        </row>
        <row r="20">
          <cell r="B20">
            <v>17</v>
          </cell>
          <cell r="C20" t="str">
            <v>FERNANDO VALDIRIO</v>
          </cell>
        </row>
        <row r="21">
          <cell r="B21">
            <v>18</v>
          </cell>
          <cell r="C21" t="str">
            <v>CASTOR CHIRINOS</v>
          </cell>
        </row>
        <row r="22">
          <cell r="B22">
            <v>19</v>
          </cell>
          <cell r="C22" t="str">
            <v>EL SAMURAI HIPICO</v>
          </cell>
        </row>
        <row r="23">
          <cell r="B23">
            <v>20</v>
          </cell>
          <cell r="C23" t="str">
            <v>CHINO</v>
          </cell>
        </row>
        <row r="24">
          <cell r="B24">
            <v>21</v>
          </cell>
          <cell r="C24" t="str">
            <v>WILMER</v>
          </cell>
        </row>
        <row r="25">
          <cell r="B25">
            <v>22</v>
          </cell>
          <cell r="C25" t="str">
            <v>ROGER PIÑA</v>
          </cell>
        </row>
        <row r="26">
          <cell r="B26">
            <v>23</v>
          </cell>
          <cell r="C26" t="str">
            <v>GILBERT</v>
          </cell>
        </row>
        <row r="27">
          <cell r="B27">
            <v>24</v>
          </cell>
          <cell r="C27" t="str">
            <v>JOAO MONTANO</v>
          </cell>
        </row>
        <row r="28">
          <cell r="B28">
            <v>25</v>
          </cell>
          <cell r="C28" t="str">
            <v>GLEY GARCIA</v>
          </cell>
        </row>
        <row r="29">
          <cell r="B29">
            <v>26</v>
          </cell>
          <cell r="C29" t="str">
            <v>PEDRO TABEROA</v>
          </cell>
        </row>
        <row r="30">
          <cell r="B30">
            <v>27</v>
          </cell>
          <cell r="C30" t="str">
            <v>ANDERSON HERNANDEZ</v>
          </cell>
        </row>
        <row r="31">
          <cell r="B31">
            <v>28</v>
          </cell>
          <cell r="C31" t="str">
            <v>FRANKLIN DELGADO</v>
          </cell>
        </row>
        <row r="32">
          <cell r="B32">
            <v>29</v>
          </cell>
          <cell r="C32" t="str">
            <v>JEAN MARCO</v>
          </cell>
        </row>
        <row r="33">
          <cell r="B33">
            <v>30</v>
          </cell>
          <cell r="C33" t="str">
            <v>CARIACO</v>
          </cell>
        </row>
        <row r="34">
          <cell r="B34">
            <v>31</v>
          </cell>
          <cell r="C34" t="str">
            <v>ALBIN</v>
          </cell>
        </row>
        <row r="35">
          <cell r="B35">
            <v>32</v>
          </cell>
          <cell r="C35" t="str">
            <v>TONY CURTIS</v>
          </cell>
        </row>
        <row r="36">
          <cell r="B36">
            <v>33</v>
          </cell>
          <cell r="C36" t="str">
            <v>JOSE LUIS ANTUNEZ</v>
          </cell>
        </row>
        <row r="37">
          <cell r="B37">
            <v>34</v>
          </cell>
          <cell r="C37" t="str">
            <v>ROBERTO CARLOS</v>
          </cell>
        </row>
        <row r="38">
          <cell r="B38">
            <v>35</v>
          </cell>
          <cell r="C38" t="str">
            <v>YOVANNY</v>
          </cell>
        </row>
        <row r="39">
          <cell r="B39">
            <v>36</v>
          </cell>
          <cell r="C39" t="str">
            <v>EDGAR ALEXANDER</v>
          </cell>
        </row>
        <row r="40">
          <cell r="B40">
            <v>37</v>
          </cell>
          <cell r="C40" t="str">
            <v>GLADIADOR HIPICO</v>
          </cell>
        </row>
        <row r="41">
          <cell r="B41">
            <v>38</v>
          </cell>
          <cell r="C41" t="str">
            <v>DERVIN</v>
          </cell>
        </row>
        <row r="42">
          <cell r="B42">
            <v>39</v>
          </cell>
          <cell r="C42" t="str">
            <v>EL TAMAO</v>
          </cell>
        </row>
        <row r="43">
          <cell r="B43">
            <v>40</v>
          </cell>
          <cell r="C43" t="str">
            <v>FRED</v>
          </cell>
        </row>
        <row r="44">
          <cell r="B44">
            <v>41</v>
          </cell>
          <cell r="C44" t="str">
            <v>ENRIQUE LEFEBRE</v>
          </cell>
        </row>
        <row r="45">
          <cell r="B45">
            <v>42</v>
          </cell>
          <cell r="C45"/>
        </row>
        <row r="46">
          <cell r="B46">
            <v>43</v>
          </cell>
          <cell r="C46"/>
        </row>
        <row r="47">
          <cell r="B47">
            <v>44</v>
          </cell>
          <cell r="C47"/>
        </row>
        <row r="48">
          <cell r="B48">
            <v>45</v>
          </cell>
          <cell r="C48" t="str">
            <v>GUADIZMI</v>
          </cell>
        </row>
        <row r="49">
          <cell r="B49">
            <v>46</v>
          </cell>
          <cell r="C49"/>
        </row>
        <row r="50">
          <cell r="B50">
            <v>47</v>
          </cell>
          <cell r="C50"/>
        </row>
        <row r="51">
          <cell r="B51">
            <v>48</v>
          </cell>
          <cell r="C51"/>
        </row>
        <row r="52">
          <cell r="B52">
            <v>49</v>
          </cell>
          <cell r="C52"/>
        </row>
        <row r="53">
          <cell r="B53">
            <v>50</v>
          </cell>
          <cell r="C53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DIGOS_Y_PAGOS" displayName="CODIGOS_Y_PAGOS" ref="B3:V53" totalsRowShown="0" headerRowDxfId="802" dataDxfId="801" tableBorderDxfId="800">
  <autoFilter ref="B3:V53" xr:uid="{00000000-0009-0000-0100-000001000000}"/>
  <tableColumns count="21">
    <tableColumn id="1" xr3:uid="{00000000-0010-0000-0000-000001000000}" name="CODIGO" dataDxfId="799">
      <calculatedColumnFormula>+B3+1</calculatedColumnFormula>
    </tableColumn>
    <tableColumn id="2" xr3:uid="{00000000-0010-0000-0000-000002000000}" name="NOMBRE PARTICIPANTE" dataDxfId="798"/>
    <tableColumn id="3" xr3:uid="{00000000-0010-0000-0000-000003000000}" name="PAGO INSCRIPCION" dataDxfId="797"/>
    <tableColumn id="4" xr3:uid="{00000000-0010-0000-0000-000004000000}" name="06/09/2026" dataDxfId="796"/>
    <tableColumn id="5" xr3:uid="{00000000-0010-0000-0000-000005000000}" name="13/09/2026" dataDxfId="795"/>
    <tableColumn id="6" xr3:uid="{00000000-0010-0000-0000-000006000000}" name="20/09/2026" dataDxfId="794"/>
    <tableColumn id="7" xr3:uid="{00000000-0010-0000-0000-000007000000}" name="27/09/2026" dataDxfId="793"/>
    <tableColumn id="8" xr3:uid="{00000000-0010-0000-0000-000008000000}" name="04/10/2026" dataDxfId="792"/>
    <tableColumn id="9" xr3:uid="{00000000-0010-0000-0000-000009000000}" name="11/10/2026" dataDxfId="791"/>
    <tableColumn id="10" xr3:uid="{00000000-0010-0000-0000-00000A000000}" name="18/10/2026" dataDxfId="790"/>
    <tableColumn id="11" xr3:uid="{00000000-0010-0000-0000-00000B000000}" name="25/10/2026" dataDxfId="789"/>
    <tableColumn id="12" xr3:uid="{00000000-0010-0000-0000-00000C000000}" name="Columna1" dataDxfId="788"/>
    <tableColumn id="13" xr3:uid="{00000000-0010-0000-0000-00000D000000}" name="Columna2" dataDxfId="787"/>
    <tableColumn id="14" xr3:uid="{00000000-0010-0000-0000-00000E000000}" name="Columna3" dataDxfId="786"/>
    <tableColumn id="15" xr3:uid="{00000000-0010-0000-0000-00000F000000}" name="Columna4" dataDxfId="785"/>
    <tableColumn id="16" xr3:uid="{00000000-0010-0000-0000-000010000000}" name="Columna5" dataDxfId="784"/>
    <tableColumn id="17" xr3:uid="{00000000-0010-0000-0000-000011000000}" name="SEMANAS PARTICIPADAS" dataDxfId="783">
      <calculatedColumnFormula>COUNTIF(E4:Q4,"X")</calculatedColumnFormula>
    </tableColumn>
    <tableColumn id="18" xr3:uid="{00000000-0010-0000-0000-000012000000}" name="APORTADO ACUMULADO DEL MEETING" dataDxfId="782">
      <calculatedColumnFormula>(($H$2-($H$2*0.2))/3)*CONTROL!$R4</calculatedColumnFormula>
    </tableColumn>
    <tableColumn id="19" xr3:uid="{00000000-0010-0000-0000-000013000000}" name="APORTADO ACUMULADO TOTAL ACIERTOS" dataDxfId="781">
      <calculatedColumnFormula>((CONTROL!$R4*$H$2)*26.66666%)+IF(V4="SI",$M$2/$V$2,0)</calculatedColumnFormula>
    </tableColumn>
    <tableColumn id="20" xr3:uid="{00000000-0010-0000-0000-000014000000}" name="ACUMULADO A COBRAR TOTAL ACIERTOS" dataDxfId="780">
      <calculatedColumnFormula>SUMIFS(E$56:Q$56,E4:Q4,"X")+IF(V4="SI",$M$2,0)</calculatedColumnFormula>
    </tableColumn>
    <tableColumn id="21" xr3:uid="{00000000-0010-0000-0000-000015000000}" name="ACUMULADO ANTERIOR" dataDxfId="779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SE01" displayName="BASE01" ref="B7:CV57" totalsRowShown="0" headerRowDxfId="778" dataDxfId="777" tableBorderDxfId="776">
  <autoFilter ref="B7:CV57" xr:uid="{00000000-0009-0000-0100-000002000000}"/>
  <sortState xmlns:xlrd2="http://schemas.microsoft.com/office/spreadsheetml/2017/richdata2" ref="B8:CV45">
    <sortCondition ref="C7:C57"/>
  </sortState>
  <tableColumns count="99">
    <tableColumn id="1" xr3:uid="{00000000-0010-0000-0100-000001000000}" name="0" dataDxfId="775">
      <calculatedColumnFormula>IF(BASE01[[#This Row],[COD]]&lt;&gt;"",B7+1,"")</calculatedColumnFormula>
    </tableColumn>
    <tableColumn id="2" xr3:uid="{00000000-0010-0000-0100-000002000000}" name="COD" dataDxfId="774"/>
    <tableColumn id="3" xr3:uid="{00000000-0010-0000-0100-000003000000}" name="TIPO" dataDxfId="773">
      <calculatedColumnFormula array="1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calculatedColumnFormula>
    </tableColumn>
    <tableColumn id="4" xr3:uid="{00000000-0010-0000-0100-000004000000}" name="1" dataDxfId="772"/>
    <tableColumn id="5" xr3:uid="{00000000-0010-0000-0100-000005000000}" name="2" dataDxfId="771"/>
    <tableColumn id="69" xr3:uid="{00000000-0010-0000-0100-000045000000}" name="22" dataDxfId="770"/>
    <tableColumn id="34" xr3:uid="{00000000-0010-0000-0100-000022000000}" name="3" dataDxfId="769"/>
    <tableColumn id="6" xr3:uid="{00000000-0010-0000-0100-000006000000}" name="PTS" dataDxfId="768">
      <calculatedColumnFormula>SUM(IF(E8=E$5,4,0),IF(E8&amp;F8=E$5&amp;F$5,1,0),
IF(AND(E8=E$5,F$6&gt;=$D$115),1,0),
IF(AND(F8=E$5,F$6&gt;=$D$115),1,0),
IF(AND(G8=E$5,F$6&gt;=$D$115),1,0),
IF(E8&amp;H8=I$5,1,0),
IF(F8=E$5,2,0),
IF(G8=E$5,1,0),
IF(OR(E8&amp;F8&amp;G8=E$5&amp;F$5&amp;G$5,E8&amp;F8&amp;G8=E$5&amp;G$5&amp;F$5,E8&amp;F8&amp;G8=F$5&amp;E$5&amp;G$5,E8&amp;F8&amp;G8=F$5&amp;G$5&amp;E$5,E8&amp;F8&amp;G8=G$5&amp;E$5&amp;F$5,E8&amp;F8&amp;G8=G$5&amp;F$5&amp;E$5),2,0),IF(AND(E8=E$5,F$6&gt;=$D$129),1,0),IF(AND(F8=E$5,F$6&gt;=$D$129),1,0),IF(AND(G8=E$5,F$6&gt;=$D$129),1,0),IF(E8&amp;H8=H$5,4,0),IF(AND(E8=E$5,F$6&lt;=$D$104),-0.5,0),IF(AND(F8=E$5,F$6&lt;=$D$104),-0.5,0),IF(AND(G8=E$5,F$6&lt;=$D$104),-0.5,0))</calculatedColumnFormula>
    </tableColumn>
    <tableColumn id="7" xr3:uid="{00000000-0010-0000-0100-000007000000}" name="12" dataDxfId="767"/>
    <tableColumn id="8" xr3:uid="{00000000-0010-0000-0100-000008000000}" name="Columna2" dataDxfId="766"/>
    <tableColumn id="70" xr3:uid="{00000000-0010-0000-0100-000046000000}" name="Columna23" dataDxfId="765"/>
    <tableColumn id="35" xr3:uid="{00000000-0010-0000-0100-000023000000}" name="Columna28" dataDxfId="764"/>
    <tableColumn id="9" xr3:uid="{00000000-0010-0000-0100-000009000000}" name="Columna3" dataDxfId="763">
      <calculatedColumnFormula>SUM(IF(J8=J$5,4,0),IF(J8&amp;K8=J$5&amp;K$5,1,0),
IF(AND(J8=J$5,K$6&gt;=$D$115),1,0),
IF(AND(K8=J$5,K$6&gt;=$D$115),1,0),
IF(AND(L8=J$5,K$6&gt;=$D$115),1,0),
IF(J8&amp;M8=N$5,1,0),
IF(K8=J$5,2,0),
IF(L8=J$5,1,0),
IF(OR(J8&amp;K8&amp;L8=J$5&amp;K$5&amp;L$5,J8&amp;K8&amp;L8=J$5&amp;L$5&amp;K$5,J8&amp;K8&amp;L8=K$5&amp;J$5&amp;L$5,J8&amp;K8&amp;L8=K$5&amp;L$5&amp;J$5,J8&amp;K8&amp;L8=L$5&amp;J$5&amp;K$5,J8&amp;K8&amp;L8=L$5&amp;K$5&amp;J$5),2,0),IF(AND(J8=J$5,K$6&gt;=$D$129),1,0),IF(AND(K8=J$5,K$6&gt;=$D$129),1,0),IF(AND(L8=J$5,K$6&gt;=$D$129),1,0),IF(J8&amp;M8=M$5,4,0),IF(AND(J8=J$5,K$6&lt;=$D$104),-0.5,0),IF(AND(K8=J$5,K$6&lt;=$D$104),-0.5,0),IF(AND(L8=J$5,K$6&lt;=$D$104),-0.5,0))</calculatedColumnFormula>
    </tableColumn>
    <tableColumn id="10" xr3:uid="{00000000-0010-0000-0100-00000A000000}" name="Columna4" dataDxfId="762"/>
    <tableColumn id="11" xr3:uid="{00000000-0010-0000-0100-00000B000000}" name="Columna5" dataDxfId="761"/>
    <tableColumn id="71" xr3:uid="{00000000-0010-0000-0100-000047000000}" name="Columna53" dataDxfId="760"/>
    <tableColumn id="36" xr3:uid="{00000000-0010-0000-0100-000024000000}" name="Columna52" dataDxfId="759"/>
    <tableColumn id="12" xr3:uid="{00000000-0010-0000-0100-00000C000000}" name="Columna6" dataDxfId="758">
      <calculatedColumnFormula>SUM(IF(O8=O$5,4,0),IF(O8&amp;P8=O$5&amp;P$5,1,0),
IF(AND(O8=O$5,P$6&gt;=$D$115),1,0),
IF(AND(P8=O$5,P$6&gt;=$D$115),1,0),
IF(AND(Q8=O$5,P$6&gt;=$D$115),1,0),
IF(O8&amp;R8=S$5,1,0),
IF(P8=O$5,2,0),
IF(Q8=O$5,1,0),
IF(OR(O8&amp;P8&amp;Q8=O$5&amp;P$5&amp;Q$5,O8&amp;P8&amp;Q8=O$5&amp;Q$5&amp;P$5,O8&amp;P8&amp;Q8=P$5&amp;O$5&amp;Q$5,O8&amp;P8&amp;Q8=P$5&amp;Q$5&amp;O$5,O8&amp;P8&amp;Q8=Q$5&amp;O$5&amp;P$5,O8&amp;P8&amp;Q8=Q$5&amp;P$5&amp;O$5),2,0),IF(AND(O8=O$5,P$6&gt;=$D$129),1,0),IF(AND(P8=O$5,P$6&gt;=$D$129),1,0),IF(AND(Q8=O$5,P$6&gt;=$D$129),1,0),IF(O8&amp;R8=R$5,4,0),IF(AND(O8=O$5,P$6&lt;=$D$104),-0.5,0),IF(AND(P8=O$5,P$6&lt;=$D$104),-0.5,0),IF(AND(Q8=O$5,P$6&lt;=$D$104),-0.5,0))</calculatedColumnFormula>
    </tableColumn>
    <tableColumn id="13" xr3:uid="{00000000-0010-0000-0100-00000D000000}" name="Columna7" dataDxfId="757"/>
    <tableColumn id="14" xr3:uid="{00000000-0010-0000-0100-00000E000000}" name="Columna8" dataDxfId="756"/>
    <tableColumn id="72" xr3:uid="{00000000-0010-0000-0100-000048000000}" name="Columna83" dataDxfId="755"/>
    <tableColumn id="37" xr3:uid="{00000000-0010-0000-0100-000025000000}" name="Columna82" dataDxfId="754"/>
    <tableColumn id="15" xr3:uid="{00000000-0010-0000-0100-00000F000000}" name="Columna9" dataDxfId="753">
      <calculatedColumnFormula>SUM(IF(T8=T$5,4,0),IF(T8&amp;U8=T$5&amp;U$5,1,0),
IF(AND(T8=T$5,U$6&gt;=$D$115),1,0),
IF(AND(U8=T$5,U$6&gt;=$D$115),1,0),
IF(AND(V8=T$5,U$6&gt;=$D$115),1,0),
IF(T8&amp;W8=X$5,1,0),
IF(U8=T$5,2,0),
IF(V8=T$5,1,0),
IF(OR(T8&amp;U8&amp;V8=T$5&amp;U$5&amp;V$5,T8&amp;U8&amp;V8=T$5&amp;V$5&amp;U$5,T8&amp;U8&amp;V8=U$5&amp;T$5&amp;V$5,T8&amp;U8&amp;V8=U$5&amp;V$5&amp;T$5,T8&amp;U8&amp;V8=V$5&amp;T$5&amp;U$5,T8&amp;U8&amp;V8=V$5&amp;U$5&amp;T$5),2,0),IF(AND(T8=T$5,U$6&gt;=$D$129),1,0),IF(AND(U8=T$5,U$6&gt;=$D$129),1,0),IF(AND(V8=T$5,U$6&gt;=$D$129),1,0),IF(T8&amp;W8=W$5,4,0),IF(AND(T8=T$5,U$6&lt;=$D$104),-0.5,0),IF(AND(U8=T$5,U$6&lt;=$D$104),-0.5,0),IF(AND(V8=T$5,U$6&lt;=$D$104),-0.5,0))</calculatedColumnFormula>
    </tableColumn>
    <tableColumn id="16" xr3:uid="{00000000-0010-0000-0100-000010000000}" name="Columna10" dataDxfId="752"/>
    <tableColumn id="17" xr3:uid="{00000000-0010-0000-0100-000011000000}" name="Columna11" dataDxfId="751"/>
    <tableColumn id="73" xr3:uid="{00000000-0010-0000-0100-000049000000}" name="Columna113" dataDxfId="750"/>
    <tableColumn id="38" xr3:uid="{00000000-0010-0000-0100-000026000000}" name="Columna112" dataDxfId="749"/>
    <tableColumn id="18" xr3:uid="{00000000-0010-0000-0100-000012000000}" name="Columna12" dataDxfId="748">
      <calculatedColumnFormula>SUM(IF(Y8=Y$5,4,0),IF(Y8&amp;Z8=Y$5&amp;Z$5,1,0),
IF(AND(Y8=Y$5,Z$6&gt;=$D$115),1,0),
IF(AND(Z8=Y$5,Z$6&gt;=$D$115),1,0),
IF(AND(AA8=Y$5,Z$6&gt;=$D$115),1,0),
IF(Y8&amp;AB8=AC$5,1,0),
IF(Z8=Y$5,2,0),
IF(AA8=Y$5,1,0),
IF(OR(Y8&amp;Z8&amp;AA8=Y$5&amp;Z$5&amp;AA$5,Y8&amp;Z8&amp;AA8=Y$5&amp;AA$5&amp;Z$5,Y8&amp;Z8&amp;AA8=Z$5&amp;Y$5&amp;AA$5,Y8&amp;Z8&amp;AA8=Z$5&amp;AA$5&amp;Y$5,Y8&amp;Z8&amp;AA8=AA$5&amp;Y$5&amp;Z$5,Y8&amp;Z8&amp;AA8=AA$5&amp;Z$5&amp;Y$5),2,0),IF(AND(Y8=Y$5,Z$6&gt;=$D$129),1,0),IF(AND(Z8=Y$5,Z$6&gt;=$D$129),1,0),IF(AND(AA8=Y$5,Z$6&gt;=$D$129),1,0),IF(Y8&amp;AB8=AB$5,4,0),IF(AND(Y8=Y$5,Z$6&lt;=$D$104),-0.5,0),IF(AND(Z8=Y$5,Z$6&lt;=$D$104),-0.5,0),IF(AND(AA8=Y$5,Z$6&lt;=$D$104),-0.5,0))</calculatedColumnFormula>
    </tableColumn>
    <tableColumn id="19" xr3:uid="{00000000-0010-0000-0100-000013000000}" name="1RA" dataDxfId="747"/>
    <tableColumn id="20" xr3:uid="{00000000-0010-0000-0100-000014000000}" name="2DA" dataDxfId="746"/>
    <tableColumn id="74" xr3:uid="{00000000-0010-0000-0100-00004A000000}" name="2DA2" dataDxfId="745"/>
    <tableColumn id="39" xr3:uid="{00000000-0010-0000-0100-000027000000}" name="3RA" dataDxfId="744"/>
    <tableColumn id="21" xr3:uid="{00000000-0010-0000-0100-000015000000}" name="Columna15" dataDxfId="743">
      <calculatedColumnFormula>SUM(IF(AD8=AD$5,4,0),IF(AD8&amp;AE8=AD$5&amp;AE$5,1,0),
IF(AND(AD8=AD$5,AE$6&gt;=$D$115),1,0),
IF(AND(AE8=AD$5,AE$6&gt;=$D$115),1,0),
IF(AND(AF8=AD$5,AE$6&gt;=$D$115),1,0),
IF(AD8&amp;AG8=AH$5,1,0),
IF(AE8=AD$5,2,0),
IF(AF8=AD$5,1,0),
IF(OR(AD8&amp;AE8&amp;AF8=AD$5&amp;AE$5&amp;AF$5,AD8&amp;AE8&amp;AF8=AD$5&amp;AF$5&amp;AE$5,AD8&amp;AE8&amp;AF8=AE$5&amp;AD$5&amp;AF$5,AD8&amp;AE8&amp;AF8=AE$5&amp;AF$5&amp;AD$5,AD8&amp;AE8&amp;AF8=AF$5&amp;AD$5&amp;AE$5,AD8&amp;AE8&amp;AF8=AF$5&amp;AE$5&amp;AD$5),2,0),IF(AND(AD8=AD$5,AE$6&gt;=$D$129),1,0),IF(AND(AE8=AD$5,AE$6&gt;=$D$129),1,0),IF(AND(AF8=AD$5,AE$6&gt;=$D$129),1,0),IF(AD8&amp;AG8=AG$5,4,0),IF(AND(AD8=AD$5,AE$6&lt;=$D$104),-0.5,0),IF(AND(AE8=AD$5,AE$6&lt;=$D$104),-0.5,0),IF(AND(AF8=AD$5,AE$6&lt;=$D$104),-0.5,0))</calculatedColumnFormula>
    </tableColumn>
    <tableColumn id="22" xr3:uid="{00000000-0010-0000-0100-000016000000}" name="Columna16" dataDxfId="742"/>
    <tableColumn id="23" xr3:uid="{00000000-0010-0000-0100-000017000000}" name="Columna17" dataDxfId="741"/>
    <tableColumn id="75" xr3:uid="{00000000-0010-0000-0100-00004B000000}" name="Columna173" dataDxfId="740"/>
    <tableColumn id="40" xr3:uid="{00000000-0010-0000-0100-000028000000}" name="Columna172" dataDxfId="739"/>
    <tableColumn id="24" xr3:uid="{00000000-0010-0000-0100-000018000000}" name="Columna18" dataDxfId="738">
      <calculatedColumnFormula>SUM(IF(AI8=AI$5,4,0),IF(AI8&amp;AJ8=AI$5&amp;AJ$5,1,0),
IF(AND(AI8=AI$5,AJ$6&gt;=$D$115),1,0),
IF(AND(AJ8=AI$5,AJ$6&gt;=$D$115),1,0),
IF(AND(AK8=AI$5,AJ$6&gt;=$D$115),1,0),
IF(AI8&amp;AL8=AM$5,1,0),
IF(AJ8=AI$5,2,0),
IF(AK8=AI$5,1,0),
IF(OR(AI8&amp;AJ8&amp;AK8=AI$5&amp;AJ$5&amp;AK$5,AI8&amp;AJ8&amp;AK8=AI$5&amp;AK$5&amp;AJ$5,AI8&amp;AJ8&amp;AK8=AJ$5&amp;AI$5&amp;AK$5,AI8&amp;AJ8&amp;AK8=AJ$5&amp;AK$5&amp;AI$5,AI8&amp;AJ8&amp;AK8=AK$5&amp;AI$5&amp;AJ$5,AI8&amp;AJ8&amp;AK8=AK$5&amp;AJ$5&amp;AI$5),2,0),IF(AND(AI8=AI$5,AJ$6&gt;=$D$129),1,0),IF(AND(AJ8=AI$5,AJ$6&gt;=$D$129),1,0),IF(AND(AK8=AI$5,AJ$6&gt;=$D$129),1,0),IF(AI8&amp;AL8=AL$5,4,0),IF(AND(AI8=AI$5,AJ$6&lt;=$D$104),-0.5,0),IF(AND(AJ8=AI$5,AJ$6&lt;=$D$104),-0.5,0),IF(AND(AK8=AI$5,AJ$6&lt;=$D$104),-0.5,0))</calculatedColumnFormula>
    </tableColumn>
    <tableColumn id="25" xr3:uid="{00000000-0010-0000-0100-000019000000}" name="123" dataDxfId="737"/>
    <tableColumn id="26" xr3:uid="{00000000-0010-0000-0100-00001A000000}" name="555" dataDxfId="736"/>
    <tableColumn id="76" xr3:uid="{00000000-0010-0000-0100-00004C000000}" name="556" dataDxfId="735"/>
    <tableColumn id="41" xr3:uid="{00000000-0010-0000-0100-000029000000}" name="111" dataDxfId="734"/>
    <tableColumn id="27" xr3:uid="{00000000-0010-0000-0100-00001B000000}" name="Columna21" dataDxfId="733">
      <calculatedColumnFormula>SUM(IF(AN8=AN$5,4,0),IF(AN8&amp;AO8=AN$5&amp;AO$5,1,0),
IF(AND(AN8=AN$5,AO$6&gt;=$D$115),1,0),
IF(AND(AO8=AN$5,AO$6&gt;=$D$115),1,0),
IF(AND(AP8=AN$5,AO$6&gt;=$D$115),1,0),
IF(AN8&amp;AQ8=AR$5,1,0),
IF(AO8=AN$5,2,0),
IF(AP8=AN$5,1,0),
IF(OR(AN8&amp;AO8&amp;AP8=AN$5&amp;AO$5&amp;AP$5,AN8&amp;AO8&amp;AP8=AN$5&amp;AP$5&amp;AO$5,AN8&amp;AO8&amp;AP8=AO$5&amp;AN$5&amp;AP$5,AN8&amp;AO8&amp;AP8=AO$5&amp;AP$5&amp;AN$5,AN8&amp;AO8&amp;AP8=AP$5&amp;AN$5&amp;AO$5,AN8&amp;AO8&amp;AP8=AP$5&amp;AO$5&amp;AN$5),2,0),IF(AND(AN8=AN$5,AO$6&gt;=$D$129),1,0),IF(AND(AO8=AN$5,AO$6&gt;=$D$129),1,0),IF(AND(AP8=AN$5,AO$6&gt;=$D$129),1,0),IF(AN8&amp;AQ8=AQ$5,4,0),IF(AND(AN8=AN$5,AO$6&lt;=$D$104),-0.5,0),IF(AND(AO8=AN$5,AO$6&lt;=$D$104),-0.5,0),IF(AND(AP8=AN$5,AO$6&lt;=$D$104),-0.5,0))</calculatedColumnFormula>
    </tableColumn>
    <tableColumn id="28" xr3:uid="{00000000-0010-0000-0100-00001C000000}" name="AAAA" dataDxfId="732"/>
    <tableColumn id="29" xr3:uid="{00000000-0010-0000-0100-00001D000000}" name="BBBB" dataDxfId="731"/>
    <tableColumn id="77" xr3:uid="{00000000-0010-0000-0100-00004D000000}" name="Columna13" dataDxfId="730"/>
    <tableColumn id="42" xr3:uid="{00000000-0010-0000-0100-00002A000000}" name="CCCC" dataDxfId="729"/>
    <tableColumn id="30" xr3:uid="{00000000-0010-0000-0100-00001E000000}" name="Columna24" dataDxfId="728">
      <calculatedColumnFormula>SUM(IF(AS8=AS$5,4,0),IF(AS8&amp;AT8=AS$5&amp;AT$5,1,0),
IF(AND(AS8=AS$5,AT$6&gt;=$D$115),1,0),
IF(AND(AT8=AS$5,AT$6&gt;=$D$115),1,0),
IF(AND(AU8=AS$5,AT$6&gt;=$D$115),1,0),
IF(AS8&amp;AV8=AW$5,1,0),
IF(AT8=AS$5,2,0),
IF(AU8=AS$5,1,0),
IF(OR(AS8&amp;AT8&amp;AU8=AS$5&amp;AT$5&amp;AU$5,AS8&amp;AT8&amp;AU8=AS$5&amp;AU$5&amp;AT$5,AS8&amp;AT8&amp;AU8=AT$5&amp;AS$5&amp;AU$5,AS8&amp;AT8&amp;AU8=AT$5&amp;AU$5&amp;AS$5,AS8&amp;AT8&amp;AU8=AU$5&amp;AS$5&amp;AT$5,AS8&amp;AT8&amp;AU8=AU$5&amp;AT$5&amp;AS$5),2,0),IF(AND(AS8=AS$5,AT$6&gt;=$D$129),1,0),IF(AND(AT8=AS$5,AT$6&gt;=$D$129),1,0),IF(AND(AU8=AS$5,AT$6&gt;=$D$129),1,0),IF(AS8&amp;AV8=AV$5,4,0),IF(AND(AS8=AS$5,AT$6&lt;=$D$104),-0.5,0),IF(AND(AT8=AS$5,AT$6&lt;=$D$104),-0.5,0),IF(AND(AU8=AS$5,AT$6&lt;=$D$104),-0.5,0))</calculatedColumnFormula>
    </tableColumn>
    <tableColumn id="31" xr3:uid="{00000000-0010-0000-0100-00001F000000}" name="Columna25" dataDxfId="727"/>
    <tableColumn id="32" xr3:uid="{00000000-0010-0000-0100-000020000000}" name="Columna26" dataDxfId="726"/>
    <tableColumn id="78" xr3:uid="{00000000-0010-0000-0100-00004E000000}" name="Columna263" dataDxfId="725"/>
    <tableColumn id="43" xr3:uid="{00000000-0010-0000-0100-00002B000000}" name="Columna262" dataDxfId="724"/>
    <tableColumn id="33" xr3:uid="{00000000-0010-0000-0100-000021000000}" name="Columna27" dataDxfId="723">
      <calculatedColumnFormula>SUM(IF(AX8=AX$5,4,0),IF(AX8&amp;AY8=AX$5&amp;AY$5,1,0),
IF(AND(AX8=AX$5,AY$6&gt;=$D$115),1,0),
IF(AND(AY8=AX$5,AY$6&gt;=$D$115),1,0),
IF(AND(AZ8=AX$5,AY$6&gt;=$D$115),1,0),
IF(AX8&amp;BA8=BB$5,1,0),
IF(AY8=AX$5,2,0),
IF(AZ8=AX$5,1,0),
IF(OR(AX8&amp;AY8&amp;AZ8=AX$5&amp;AY$5&amp;AZ$5,AX8&amp;AY8&amp;AZ8=AX$5&amp;AZ$5&amp;AY$5,AX8&amp;AY8&amp;AZ8=AY$5&amp;AX$5&amp;AZ$5,AX8&amp;AY8&amp;AZ8=AY$5&amp;AZ$5&amp;AX$5,AX8&amp;AY8&amp;AZ8=AZ$5&amp;AX$5&amp;AY$5,AX8&amp;AY8&amp;AZ8=AZ$5&amp;AY$5&amp;AX$5),2,0),IF(AND(AX8=AX$5,AY$6&gt;=$D$129),1,0),IF(AND(AY8=AX$5,AY$6&gt;=$D$129),1,0),IF(AND(AZ8=AX$5,AY$6&gt;=$D$129),1,0),IF(AX8&amp;BA8=BA$5,4,0),IF(AND(AX8=AX$5,AY$6&lt;=$D$104),-0.5,0),IF(AND(AY8=AX$5,AY$6&lt;=$D$104),-0.5,0),IF(AND(AZ8=AX$5,AY$6&lt;=$D$104),-0.5,0))</calculatedColumnFormula>
    </tableColumn>
    <tableColumn id="44" xr3:uid="{00000000-0010-0000-0100-00002C000000}" name="Columna272" dataDxfId="722"/>
    <tableColumn id="45" xr3:uid="{00000000-0010-0000-0100-00002D000000}" name="Columna273" dataDxfId="721"/>
    <tableColumn id="79" xr3:uid="{00000000-0010-0000-0100-00004F000000}" name="Columna2732" dataDxfId="720"/>
    <tableColumn id="46" xr3:uid="{00000000-0010-0000-0100-00002E000000}" name="Columna274" dataDxfId="719"/>
    <tableColumn id="47" xr3:uid="{00000000-0010-0000-0100-00002F000000}" name="Columna275" dataDxfId="718">
      <calculatedColumnFormula>SUM(IF(BC8=BC$5,4,0),IF(BC8&amp;BD8=BC$5&amp;BD$5,1,0),
IF(AND(BC8=BC$5,BD$6&gt;=$D$115),1,0),
IF(AND(BD8=BC$5,BD$6&gt;=$D$115),1,0),
IF(AND(BE8=BC$5,BD$6&gt;=$D$115),1,0),
IF(BC8&amp;BF8=BG$5,1,0),
IF(BD8=BC$5,2,0),
IF(BE8=BC$5,1,0),
IF(OR(BC8&amp;BD8&amp;BE8=BC$5&amp;BD$5&amp;BE$5,BC8&amp;BD8&amp;BE8=BC$5&amp;BE$5&amp;BD$5,BC8&amp;BD8&amp;BE8=BD$5&amp;BC$5&amp;BE$5,BC8&amp;BD8&amp;BE8=BD$5&amp;BE$5&amp;BC$5,BC8&amp;BD8&amp;BE8=BE$5&amp;BC$5&amp;BD$5,BC8&amp;BD8&amp;BE8=BE$5&amp;BD$5&amp;BC$5),2,0),IF(AND(BC8=BC$5,BD$6&gt;=$D$129),1,0),IF(AND(BD8=BC$5,BD$6&gt;=$D$129),1,0),IF(AND(BE8=BC$5,BD$6&gt;=$D$129),1,0),IF(BC8&amp;BF8=BF$5,4,0),IF(AND(BC8=BC$5,BD$6&lt;=$D$104),-0.5,0),IF(AND(BD8=BC$5,BD$6&lt;=$D$104),-0.5,0),IF(AND(BE8=BC$5,BD$6&lt;=$D$104),-0.5,0))</calculatedColumnFormula>
    </tableColumn>
    <tableColumn id="48" xr3:uid="{00000000-0010-0000-0100-000030000000}" name="Columna276" dataDxfId="717"/>
    <tableColumn id="49" xr3:uid="{00000000-0010-0000-0100-000031000000}" name="Columna277" dataDxfId="716"/>
    <tableColumn id="80" xr3:uid="{00000000-0010-0000-0100-000050000000}" name="Columna2772" dataDxfId="715"/>
    <tableColumn id="50" xr3:uid="{00000000-0010-0000-0100-000032000000}" name="Columna278" dataDxfId="714"/>
    <tableColumn id="51" xr3:uid="{00000000-0010-0000-0100-000033000000}" name="Columna279" dataDxfId="713">
      <calculatedColumnFormula>SUM(IF(BH8=BH$5,4,0),IF(BH8&amp;BI8=BH$5&amp;BI$5,1,0),
IF(AND(BH8=BH$5,BI$6&gt;=$D$115),1,0),
IF(AND(BI8=BH$5,BI$6&gt;=$D$115),1,0),
IF(AND(BJ8=BH$5,BI$6&gt;=$D$115),1,0),
IF(BH8&amp;BK8=BL$5,1,0),
IF(BI8=BH$5,2,0),
IF(BJ8=BH$5,1,0),
IF(OR(BH8&amp;BI8&amp;BJ8=BH$5&amp;BI$5&amp;BJ$5,BH8&amp;BI8&amp;BJ8=BH$5&amp;BJ$5&amp;BI$5,BH8&amp;BI8&amp;BJ8=BI$5&amp;BH$5&amp;BJ$5,BH8&amp;BI8&amp;BJ8=BI$5&amp;BJ$5&amp;BH$5,BH8&amp;BI8&amp;BJ8=BJ$5&amp;BH$5&amp;BI$5,BH8&amp;BI8&amp;BJ8=BJ$5&amp;BI$5&amp;BH$5),2,0),IF(AND(BH8=BH$5,BI$6&gt;=$D$129),1,0),IF(AND(BI8=BH$5,BI$6&gt;=$D$129),1,0),IF(AND(BJ8=BH$5,BI$6&gt;=$D$129),1,0),IF(BH8&amp;BK8=BK$5,4,0),IF(AND(BH8=BH$5,BI$6&lt;=$D$104),-0.5,0),IF(AND(BI8=BH$5,BI$6&lt;=$D$104),-0.5,0),IF(AND(BJ8=BH$5,BI$6&lt;=$D$104),-0.5,0))</calculatedColumnFormula>
    </tableColumn>
    <tableColumn id="52" xr3:uid="{00000000-0010-0000-0100-000034000000}" name="Columna280" dataDxfId="712"/>
    <tableColumn id="53" xr3:uid="{00000000-0010-0000-0100-000035000000}" name="Columna281" dataDxfId="711"/>
    <tableColumn id="81" xr3:uid="{00000000-0010-0000-0100-000051000000}" name="Columna2812" dataDxfId="710"/>
    <tableColumn id="54" xr3:uid="{00000000-0010-0000-0100-000036000000}" name="Columna282" dataDxfId="709"/>
    <tableColumn id="55" xr3:uid="{00000000-0010-0000-0100-000037000000}" name="Columna283" dataDxfId="708">
      <calculatedColumnFormula>SUM(IF(BM8=BM$5,4,0),IF(BM8&amp;BN8=BM$5&amp;BN$5,1,0),
IF(AND(BM8=BM$5,BN$6&gt;=$D$115),1,0),
IF(AND(BN8=BM$5,BN$6&gt;=$D$115),1,0),
IF(AND(BO8=BM$5,BN$6&gt;=$D$115),1,0),
IF(BM8&amp;BP8=BQ$5,1,0),
IF(BN8=BM$5,2,0),
IF(BO8=BM$5,1,0),
IF(OR(BM8&amp;BN8&amp;BO8=BM$5&amp;BN$5&amp;BO$5,BM8&amp;BN8&amp;BO8=BM$5&amp;BO$5&amp;BN$5,BM8&amp;BN8&amp;BO8=BN$5&amp;BM$5&amp;BO$5,BM8&amp;BN8&amp;BO8=BN$5&amp;BO$5&amp;BM$5,BM8&amp;BN8&amp;BO8=BO$5&amp;BM$5&amp;BN$5,BM8&amp;BN8&amp;BO8=BO$5&amp;BN$5&amp;BM$5),2,0),IF(AND(BM8=BM$5,BN$6&gt;=$D$129),1,0),IF(AND(BN8=BM$5,BN$6&gt;=$D$129),1,0),IF(AND(BO8=BM$5,BN$6&gt;=$D$129),1,0),IF(BM8&amp;BP8=BP$5,4,0),IF(AND(BM8=BM$5,BN$6&lt;=$D$104),-0.5,0),IF(AND(BN8=BM$5,BN$6&lt;=$D$104),-0.5,0),IF(AND(BO8=BM$5,BN$6&lt;=$D$104),-0.5,0))</calculatedColumnFormula>
    </tableColumn>
    <tableColumn id="95" xr3:uid="{00000000-0010-0000-0100-00005F000000}" name="Columna2802" dataDxfId="707"/>
    <tableColumn id="96" xr3:uid="{00000000-0010-0000-0100-000060000000}" name="Columna2813" dataDxfId="706"/>
    <tableColumn id="97" xr3:uid="{00000000-0010-0000-0100-000061000000}" name="Columna28124" dataDxfId="705"/>
    <tableColumn id="98" xr3:uid="{00000000-0010-0000-0100-000062000000}" name="Columna2825" dataDxfId="704"/>
    <tableColumn id="99" xr3:uid="{00000000-0010-0000-0100-000063000000}" name="Columna28310" dataDxfId="703">
      <calculatedColumnFormula>SUM(IF(BR8=BR$5,4,0),IF(BR8&amp;BS8=BR$5&amp;BS$5,1,0),
IF(AND(BR8=BR$5,BS$6&gt;=$D$115),1,0),
IF(AND(BS8=BR$5,BS$6&gt;=$D$115),1,0),
IF(AND(BT8=BR$5,BS$6&gt;=$D$115),1,0),
IF(BR8&amp;BU8=BV$5,1,0),
IF(BS8=BR$5,2,0),
IF(BT8=BR$5,1,0),
IF(OR(BR8&amp;BS8&amp;BT8=BR$5&amp;BS$5&amp;BT$5,BR8&amp;BS8&amp;BT8=BR$5&amp;BT$5&amp;BS$5,BR8&amp;BS8&amp;BT8=BS$5&amp;BR$5&amp;BT$5,BR8&amp;BS8&amp;BT8=BS$5&amp;BT$5&amp;BR$5,BR8&amp;BS8&amp;BT8=BT$5&amp;BR$5&amp;BS$5,BR8&amp;BS8&amp;BT8=BT$5&amp;BS$5&amp;BR$5),2,0),IF(AND(BR8=BR$5,BS$6&gt;=$D$129),1,0),IF(AND(BS8=BR$5,BS$6&gt;=$D$129),1,0),IF(AND(BT8=BR$5,BS$6&gt;=$D$129),1,0),IF(BR8&amp;BU8=BU$5,4,0),IF(AND(BR8=BR$5,BS$6&lt;=$D$104),-0.5,0),IF(AND(BS8=BR$5,BS$6&lt;=$D$104),-0.5,0),IF(AND(BT8=BR$5,BS$6&lt;=$D$104),-0.5,0))</calculatedColumnFormula>
    </tableColumn>
    <tableColumn id="90" xr3:uid="{00000000-0010-0000-0100-00005A000000}" name="Columna2803" dataDxfId="702"/>
    <tableColumn id="91" xr3:uid="{00000000-0010-0000-0100-00005B000000}" name="Columna2814" dataDxfId="701"/>
    <tableColumn id="92" xr3:uid="{00000000-0010-0000-0100-00005C000000}" name="Columna28125" dataDxfId="700"/>
    <tableColumn id="93" xr3:uid="{00000000-0010-0000-0100-00005D000000}" name="Columna2826" dataDxfId="699"/>
    <tableColumn id="94" xr3:uid="{00000000-0010-0000-0100-00005E000000}" name="Columna2837" dataDxfId="698">
      <calculatedColumnFormula>SUM(IF(BW8=BW$5,4,0),IF(BW8&amp;BX8=BW$5&amp;BX$5,1,0),
IF(AND(BW8=BW$5,BX$6&gt;=$D$115),1,0),
IF(AND(BX8=BW$5,BX$6&gt;=$D$115),1,0),
IF(AND(BY8=BW$5,BX$6&gt;=$D$115),1,0),
IF(BW8&amp;BZ8=CA$5,1,0),
IF(BX8=BW$5,2,0),
IF(BY8=BW$5,1,0),
IF(OR(BW8&amp;BX8&amp;BY8=BW$5&amp;BX$5&amp;BY$5,BW8&amp;BX8&amp;BY8=BW$5&amp;BY$5&amp;BX$5,BW8&amp;BX8&amp;BY8=BX$5&amp;BW$5&amp;BY$5,BW8&amp;BX8&amp;BY8=BX$5&amp;BY$5&amp;BW$5,BW8&amp;BX8&amp;BY8=BY$5&amp;BW$5&amp;BX$5,BW8&amp;BX8&amp;BY8=BY$5&amp;BX$5&amp;BW$5),2,0),IF(AND(BW8=BW$5,BX$6&gt;=$D$129),1,0),IF(AND(BX8=BW$5,BX$6&gt;=$D$129),1,0),IF(AND(BY8=BW$5,BX$6&gt;=$D$129),1,0),IF(BW8&amp;BZ8=BZ$5,4,0),IF(AND(BW8=BW$5,BX$6&lt;=$D$104),-0.5,0),IF(AND(BX8=BW$5,BX$6&lt;=$D$104),-0.5,0),IF(AND(BY8=BW$5,BX$6&lt;=$D$104),-0.5,0))</calculatedColumnFormula>
    </tableColumn>
    <tableColumn id="89" xr3:uid="{00000000-0010-0000-0100-000059000000}" name="Columna2804" dataDxfId="697"/>
    <tableColumn id="88" xr3:uid="{00000000-0010-0000-0100-000058000000}" name="Columna2815" dataDxfId="696"/>
    <tableColumn id="87" xr3:uid="{00000000-0010-0000-0100-000057000000}" name="Columna28126" dataDxfId="695"/>
    <tableColumn id="86" xr3:uid="{00000000-0010-0000-0100-000056000000}" name="Columna2827" dataDxfId="694"/>
    <tableColumn id="85" xr3:uid="{00000000-0010-0000-0100-000055000000}" name="Columna2838" dataDxfId="693">
      <calculatedColumnFormula>SUM(IF(CB8=CB$5,4,0),IF(CB8&amp;CC8=CB$5&amp;CC$5,1,0),
IF(AND(CB8=CB$5,CC$6&gt;=$D$115),1,0),
IF(AND(CC8=CB$5,CC$6&gt;=$D$115),1,0),
IF(AND(CD8=CB$5,CC$6&gt;=$D$115),1,0),
IF(CB8&amp;CE8=CF$5,1,0),
IF(CC8=CB$5,2,0),
IF(CD8=CB$5,1,0),
IF(OR(CB8&amp;CC8&amp;CD8=CB$5&amp;CC$5&amp;CD$5,CB8&amp;CC8&amp;CD8=CB$5&amp;CD$5&amp;CC$5,CB8&amp;CC8&amp;CD8=CC$5&amp;CB$5&amp;CD$5,CB8&amp;CC8&amp;CD8=CC$5&amp;CD$5&amp;CB$5,CB8&amp;CC8&amp;CD8=CD$5&amp;CB$5&amp;CC$5,CB8&amp;CC8&amp;CD8=CD$5&amp;CC$5&amp;CB$5),2,0),IF(AND(CB8=CB$5,CC$6&gt;=$D$129),1,0),IF(AND(CC8=CB$5,CC$6&gt;=$D$129),1,0),IF(AND(CD8=CB$5,CC$6&gt;=$D$129),1,0),IF(CB8&amp;CE8=CE$5,4,0),IF(AND(CB8=CB$5,CC$6&lt;=$D$104),-0.5,0),IF(AND(CC8=CB$5,CC$6&lt;=$D$104),-0.5,0),IF(AND(CD8=CB$5,CC$6&lt;=$D$104),-0.5,0))</calculatedColumnFormula>
    </tableColumn>
    <tableColumn id="82" xr3:uid="{00000000-0010-0000-0100-000052000000}" name="Columna14" dataDxfId="692">
      <calculatedColumnFormula>IF(BASE01[[#This Row],[1]]="",0,$B$4)</calculatedColumnFormula>
    </tableColumn>
    <tableColumn id="83" xr3:uid="{00000000-0010-0000-0100-000053000000}" name="Columna19" dataDxfId="691">
      <calculatedColumnFormula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calculatedColumnFormula>
    </tableColumn>
    <tableColumn id="84" xr3:uid="{00000000-0010-0000-0100-000054000000}" name="Columna20" dataDxfId="690" dataCellStyle="Porcentaje">
      <calculatedColumnFormula>IF(BASE01[[#This Row],[Columna14]]=0,0,(CH8/CG8))</calculatedColumnFormula>
    </tableColumn>
    <tableColumn id="56" xr3:uid="{00000000-0010-0000-0100-000038000000}" name="Columna29" dataDxfId="689">
      <calculatedColumnFormula>IF(BASE01[[#This Row],[1]]="",0,$B$4)</calculatedColumnFormula>
    </tableColumn>
    <tableColumn id="57" xr3:uid="{00000000-0010-0000-0100-000039000000}" name="Columna30" dataDxfId="688">
      <calculatedColumnFormula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calculatedColumnFormula>
    </tableColumn>
    <tableColumn id="58" xr3:uid="{00000000-0010-0000-0100-00003A000000}" name="Columna31" dataDxfId="687" dataCellStyle="Porcentaje">
      <calculatedColumnFormula>IF(BASE01[[#This Row],[Columna14]]=0,0,(CK8/CJ8))</calculatedColumnFormula>
    </tableColumn>
    <tableColumn id="59" xr3:uid="{00000000-0010-0000-0100-00003B000000}" name="Columna32" dataDxfId="686">
      <calculatedColumnFormula>IF(BASE01[[#This Row],[1]]="",0,$B$4)</calculatedColumnFormula>
    </tableColumn>
    <tableColumn id="60" xr3:uid="{00000000-0010-0000-0100-00003C000000}" name="Columna34" dataDxfId="685">
      <calculatedColumnFormula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calculatedColumnFormula>
    </tableColumn>
    <tableColumn id="61" xr3:uid="{00000000-0010-0000-0100-00003D000000}" name="Columna35" dataDxfId="684" dataCellStyle="Porcentaje">
      <calculatedColumnFormula>IF(BASE01[[#This Row],[Columna14]]=0,0,(CN8/CM8))</calculatedColumnFormula>
    </tableColumn>
    <tableColumn id="62" xr3:uid="{00000000-0010-0000-0100-00003E000000}" name="Columna36" dataDxfId="683">
      <calculatedColumnFormula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calculatedColumnFormula>
    </tableColumn>
    <tableColumn id="63" xr3:uid="{00000000-0010-0000-0100-00003F000000}" name="Columna37" dataDxfId="682">
      <calculatedColumnFormula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Row],[Columna25]],$AX$5,BA8,"SF")+COUNTIFS(BASE01[[#This Row],[Columna272]],$BC$5,BASE01[[#This Row],[Columna274]],"SF")+COUNTIFS(BASE01[[#This Row],[Columna276]],$BH$5,BASE01[[#This Row],[Columna278]],"SF")+COUNTIFS(BASE01[[#This Row],[Columna280]],$BM$5,BASE01[[#This Row],[Columna282]],"SF")</calculatedColumnFormula>
    </tableColumn>
    <tableColumn id="64" xr3:uid="{00000000-0010-0000-0100-000040000000}" name="Columna38" dataDxfId="681" dataCellStyle="Porcentaje">
      <calculatedColumnFormula>IF(BASE01[[#This Row],[Columna14]]=0,0,(CQ8/CP8))</calculatedColumnFormula>
    </tableColumn>
    <tableColumn id="65" xr3:uid="{00000000-0010-0000-0100-000041000000}" name="Columna1" dataDxfId="680">
      <calculatedColumnFormula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calculatedColumnFormula>
    </tableColumn>
    <tableColumn id="66" xr3:uid="{00000000-0010-0000-0100-000042000000}" name="Columna22" dataDxfId="679"/>
    <tableColumn id="67" xr3:uid="{00000000-0010-0000-0100-000043000000}" name="Columna33" dataDxfId="678">
      <calculatedColumnFormula>SUM(CS8,CT8)</calculatedColumnFormula>
    </tableColumn>
    <tableColumn id="68" xr3:uid="{00000000-0010-0000-0100-000044000000}" name="Columna44" dataDxfId="677">
      <calculatedColumnFormula>IF(BASE01[[#This Row],[TIPO]]="PREMIO",$O$3,"0,00")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VIDENDO" displayName="DIVIDENDO" ref="B101:D129" totalsRowShown="0" dataDxfId="676">
  <autoFilter ref="B101:D129" xr:uid="{00000000-0009-0000-0100-000003000000}"/>
  <tableColumns count="3">
    <tableColumn id="1" xr3:uid="{00000000-0010-0000-0200-000001000000}" name="FACTOR" dataDxfId="675"/>
    <tableColumn id="3" xr3:uid="{00000000-0010-0000-0200-000003000000}" name="DIVIDENDO" dataDxfId="674"/>
    <tableColumn id="2" xr3:uid="{00000000-0010-0000-0200-000002000000}" name="BS" dataDxfId="673">
      <calculatedColumnFormula>(DIVIDENDO[[#This Row],[FACTOR]]*$H$101)+$H$101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V_GAN_SEM_1" displayName="DIV_GAN_SEM_1" ref="CY7:CZ23" totalsRowShown="0" dataDxfId="672">
  <autoFilter ref="CY7:CZ23" xr:uid="{00000000-0009-0000-0100-000004000000}"/>
  <tableColumns count="2">
    <tableColumn id="1" xr3:uid="{00000000-0010-0000-0300-000001000000}" name="CARRERA" dataDxfId="671"/>
    <tableColumn id="2" xr3:uid="{00000000-0010-0000-0300-000002000000}" name="DIVIDENDO" dataDxfId="67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MANA2" displayName="SEMANA2" ref="B7:CV57" totalsRowShown="0" headerRowDxfId="669" tableBorderDxfId="668">
  <autoFilter ref="B7:CV57" xr:uid="{00000000-0009-0000-0100-000005000000}"/>
  <sortState xmlns:xlrd2="http://schemas.microsoft.com/office/spreadsheetml/2017/richdata2" ref="B8:CV57">
    <sortCondition descending="1" ref="CS7:CS57"/>
  </sortState>
  <tableColumns count="99">
    <tableColumn id="1" xr3:uid="{00000000-0010-0000-0400-000001000000}" name="0" dataDxfId="667">
      <calculatedColumnFormula>IF(SEMANA2[[#This Row],[COD]]&lt;&gt;"",B7+1,"")</calculatedColumnFormula>
    </tableColumn>
    <tableColumn id="2" xr3:uid="{00000000-0010-0000-0400-000002000000}" name="COD" dataDxfId="666"/>
    <tableColumn id="3" xr3:uid="{00000000-0010-0000-0400-000003000000}" name="TIPO" dataDxfId="665">
      <calculatedColumnFormula array="1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calculatedColumnFormula>
    </tableColumn>
    <tableColumn id="4" xr3:uid="{00000000-0010-0000-0400-000004000000}" name="1" dataDxfId="664"/>
    <tableColumn id="5" xr3:uid="{00000000-0010-0000-0400-000005000000}" name="2" dataDxfId="663"/>
    <tableColumn id="6" xr3:uid="{00000000-0010-0000-0400-000006000000}" name="22" dataDxfId="662"/>
    <tableColumn id="7" xr3:uid="{00000000-0010-0000-0400-000007000000}" name="3" dataDxfId="661"/>
    <tableColumn id="8" xr3:uid="{00000000-0010-0000-0400-000008000000}" name="PTS" dataDxfId="660">
      <calculatedColumnFormula>SUM(IF(E8=E$5,4,0),IF(E8&amp;F8=E$5&amp;F$5,1,0),
IF(AND(E8=E$5,F$6&gt;=$D$115),1,0),
IF(AND(F8=E$5,F$6&gt;=$D$115),1,0),
IF(AND(G8=E$5,F$6&gt;=$D$115),1,0),
IF(E8&amp;H8=I$5,1,0),
IF(F8=E$5,2,0),
IF(G8=E$5,1,0),
IF(OR(E8&amp;F8&amp;G8=E$5&amp;F$5&amp;G$5,E8&amp;F8&amp;G8=E$5&amp;G$5&amp;F$5,E8&amp;F8&amp;G8=F$5&amp;E$5&amp;G$5,E8&amp;F8&amp;G8=F$5&amp;G$5&amp;E$5,E8&amp;F8&amp;G8=G$5&amp;E$5&amp;F$5,E8&amp;F8&amp;G8=G$5&amp;F$5&amp;E$5),2,0),IF(AND(E8=E$5,F$6&gt;=$D$129),1,0),IF(AND(F8=E$5,F$6&gt;=$D$129),1,0),IF(AND(G8=E$5,F$6&gt;=$D$129),1,0),IF(E8&amp;H8=H$5,4,0),IF(AND(E8=E$5,F$6&lt;=$D$104),-0.5,0),IF(AND(F8=E$5,F$6&lt;=$D$104),-0.5,0),IF(AND(G8=E$5,F$6&lt;=$D$104),-0.5,0))</calculatedColumnFormula>
    </tableColumn>
    <tableColumn id="9" xr3:uid="{00000000-0010-0000-0400-000009000000}" name="12" dataDxfId="659"/>
    <tableColumn id="10" xr3:uid="{00000000-0010-0000-0400-00000A000000}" name="Columna2" dataDxfId="658"/>
    <tableColumn id="11" xr3:uid="{00000000-0010-0000-0400-00000B000000}" name="Columna23" dataDxfId="657"/>
    <tableColumn id="12" xr3:uid="{00000000-0010-0000-0400-00000C000000}" name="Columna28" dataDxfId="656"/>
    <tableColumn id="13" xr3:uid="{00000000-0010-0000-0400-00000D000000}" name="Columna3" dataDxfId="655">
      <calculatedColumnFormula>SUM(IF(J8=J$5,4,0),IF(J8&amp;K8=J$5&amp;K$5,1,0),
IF(AND(J8=J$5,K$6&gt;=$D$115),1,0),
IF(AND(K8=J$5,K$6&gt;=$D$115),1,0),
IF(AND(L8=J$5,K$6&gt;=$D$115),1,0),
IF(J8&amp;M8=N$5,1,0),
IF(K8=J$5,2,0),
IF(L8=J$5,1,0),
IF(OR(J8&amp;K8&amp;L8=J$5&amp;K$5&amp;L$5,J8&amp;K8&amp;L8=J$5&amp;L$5&amp;K$5,J8&amp;K8&amp;L8=K$5&amp;J$5&amp;L$5,J8&amp;K8&amp;L8=K$5&amp;L$5&amp;J$5,J8&amp;K8&amp;L8=L$5&amp;J$5&amp;K$5,J8&amp;K8&amp;L8=L$5&amp;K$5&amp;J$5),2,0),IF(AND(J8=J$5,K$6&gt;=$D$129),1,0),IF(AND(K8=J$5,K$6&gt;=$D$129),1,0),IF(AND(L8=J$5,K$6&gt;=$D$129),1,0),IF(J8&amp;M8=M$5,4,0),IF(AND(J8=J$5,K$6&lt;=$D$104),-0.5,0),IF(AND(K8=J$5,K$6&lt;=$D$104),-0.5,0),IF(AND(L8=J$5,K$6&lt;=$D$104),-0.5,0))</calculatedColumnFormula>
    </tableColumn>
    <tableColumn id="14" xr3:uid="{00000000-0010-0000-0400-00000E000000}" name="Columna4" dataDxfId="654"/>
    <tableColumn id="15" xr3:uid="{00000000-0010-0000-0400-00000F000000}" name="Columna5" dataDxfId="653"/>
    <tableColumn id="16" xr3:uid="{00000000-0010-0000-0400-000010000000}" name="Columna53" dataDxfId="652"/>
    <tableColumn id="17" xr3:uid="{00000000-0010-0000-0400-000011000000}" name="Columna52" dataDxfId="651"/>
    <tableColumn id="18" xr3:uid="{00000000-0010-0000-0400-000012000000}" name="Columna6" dataDxfId="650">
      <calculatedColumnFormula>SUM(IF(O8=O$5,4,0),IF(O8&amp;P8=O$5&amp;P$5,1,0),
IF(AND(O8=O$5,P$6&gt;=$D$115),1,0),
IF(AND(P8=O$5,P$6&gt;=$D$115),1,0),
IF(AND(Q8=O$5,P$6&gt;=$D$115),1,0),
IF(O8&amp;R8=S$5,1,0),
IF(P8=O$5,2,0),
IF(Q8=O$5,1,0),
IF(OR(O8&amp;P8&amp;Q8=O$5&amp;P$5&amp;Q$5,O8&amp;P8&amp;Q8=O$5&amp;Q$5&amp;P$5,O8&amp;P8&amp;Q8=P$5&amp;O$5&amp;Q$5,O8&amp;P8&amp;Q8=P$5&amp;Q$5&amp;O$5,O8&amp;P8&amp;Q8=Q$5&amp;O$5&amp;P$5,O8&amp;P8&amp;Q8=Q$5&amp;P$5&amp;O$5),2,0),IF(AND(O8=O$5,P$6&gt;=$D$129),1,0),IF(AND(P8=O$5,P$6&gt;=$D$129),1,0),IF(AND(Q8=O$5,P$6&gt;=$D$129),1,0),IF(O8&amp;R8=R$5,4,0),IF(AND(O8=O$5,P$6&lt;=$D$104),-0.5,0),IF(AND(P8=O$5,P$6&lt;=$D$104),-0.5,0),IF(AND(Q8=O$5,P$6&lt;=$D$104),-0.5,0))</calculatedColumnFormula>
    </tableColumn>
    <tableColumn id="19" xr3:uid="{00000000-0010-0000-0400-000013000000}" name="Columna7" dataDxfId="649"/>
    <tableColumn id="20" xr3:uid="{00000000-0010-0000-0400-000014000000}" name="Columna8" dataDxfId="648"/>
    <tableColumn id="21" xr3:uid="{00000000-0010-0000-0400-000015000000}" name="Columna83" dataDxfId="647"/>
    <tableColumn id="22" xr3:uid="{00000000-0010-0000-0400-000016000000}" name="Columna82" dataDxfId="646"/>
    <tableColumn id="23" xr3:uid="{00000000-0010-0000-0400-000017000000}" name="Columna9" dataDxfId="645">
      <calculatedColumnFormula>SUM(IF(T8=T$5,4,0),IF(T8&amp;U8=T$5&amp;U$5,1,0),
IF(AND(T8=T$5,U$6&gt;=$D$115),1,0),
IF(AND(U8=T$5,U$6&gt;=$D$115),1,0),
IF(AND(V8=T$5,U$6&gt;=$D$115),1,0),
IF(T8&amp;W8=X$5,1,0),
IF(U8=T$5,2,0),
IF(V8=T$5,1,0),
IF(OR(T8&amp;U8&amp;V8=T$5&amp;U$5&amp;V$5,T8&amp;U8&amp;V8=T$5&amp;V$5&amp;U$5,T8&amp;U8&amp;V8=U$5&amp;T$5&amp;V$5,T8&amp;U8&amp;V8=U$5&amp;V$5&amp;T$5,T8&amp;U8&amp;V8=V$5&amp;T$5&amp;U$5,T8&amp;U8&amp;V8=V$5&amp;U$5&amp;T$5),2,0),IF(AND(T8=T$5,U$6&gt;=$D$129),1,0),IF(AND(U8=T$5,U$6&gt;=$D$129),1,0),IF(AND(V8=T$5,U$6&gt;=$D$129),1,0),IF(T8&amp;W8=W$5,4,0),IF(AND(T8=T$5,U$6&lt;=$D$104),-0.5,0),IF(AND(U8=T$5,U$6&lt;=$D$104),-0.5,0),IF(AND(V8=T$5,U$6&lt;=$D$104),-0.5,0))</calculatedColumnFormula>
    </tableColumn>
    <tableColumn id="24" xr3:uid="{00000000-0010-0000-0400-000018000000}" name="Columna10" dataDxfId="644"/>
    <tableColumn id="25" xr3:uid="{00000000-0010-0000-0400-000019000000}" name="Columna11" dataDxfId="643"/>
    <tableColumn id="26" xr3:uid="{00000000-0010-0000-0400-00001A000000}" name="Columna113" dataDxfId="642"/>
    <tableColumn id="27" xr3:uid="{00000000-0010-0000-0400-00001B000000}" name="Columna112" dataDxfId="641"/>
    <tableColumn id="28" xr3:uid="{00000000-0010-0000-0400-00001C000000}" name="Columna12" dataDxfId="640">
      <calculatedColumnFormula>SUM(IF(Y8=Y$5,4,0),IF(Y8&amp;Z8=Y$5&amp;Z$5,1,0),
IF(AND(Y8=Y$5,Z$6&gt;=$D$115),1,0),
IF(AND(Z8=Y$5,Z$6&gt;=$D$115),1,0),
IF(AND(AA8=Y$5,Z$6&gt;=$D$115),1,0),
IF(Y8&amp;AB8=AC$5,1,0),
IF(Z8=Y$5,2,0),
IF(AA8=Y$5,1,0),
IF(OR(Y8&amp;Z8&amp;AA8=Y$5&amp;Z$5&amp;AA$5,Y8&amp;Z8&amp;AA8=Y$5&amp;AA$5&amp;Z$5,Y8&amp;Z8&amp;AA8=Z$5&amp;Y$5&amp;AA$5,Y8&amp;Z8&amp;AA8=Z$5&amp;AA$5&amp;Y$5,Y8&amp;Z8&amp;AA8=AA$5&amp;Y$5&amp;Z$5,Y8&amp;Z8&amp;AA8=AA$5&amp;Z$5&amp;Y$5),2,0),IF(AND(Y8=Y$5,Z$6&gt;=$D$129),1,0),IF(AND(Z8=Y$5,Z$6&gt;=$D$129),1,0),IF(AND(AA8=Y$5,Z$6&gt;=$D$129),1,0),IF(Y8&amp;AB8=AB$5,4,0),IF(AND(Y8=Y$5,Z$6&lt;=$D$104),-0.5,0),IF(AND(Z8=Y$5,Z$6&lt;=$D$104),-0.5,0),IF(AND(AA8=Y$5,Z$6&lt;=$D$104),-0.5,0))</calculatedColumnFormula>
    </tableColumn>
    <tableColumn id="29" xr3:uid="{00000000-0010-0000-0400-00001D000000}" name="1RA" dataDxfId="639"/>
    <tableColumn id="30" xr3:uid="{00000000-0010-0000-0400-00001E000000}" name="2DA" dataDxfId="638"/>
    <tableColumn id="31" xr3:uid="{00000000-0010-0000-0400-00001F000000}" name="2DA2" dataDxfId="637"/>
    <tableColumn id="32" xr3:uid="{00000000-0010-0000-0400-000020000000}" name="3RA" dataDxfId="636"/>
    <tableColumn id="33" xr3:uid="{00000000-0010-0000-0400-000021000000}" name="Columna15" dataDxfId="635">
      <calculatedColumnFormula>SUM(IF(AD8=AD$5,4,0),IF(AD8&amp;AE8=AD$5&amp;AE$5,1,0),
IF(AND(AD8=AD$5,AE$6&gt;=$D$115),1,0),
IF(AND(AE8=AD$5,AE$6&gt;=$D$115),1,0),
IF(AND(AF8=AD$5,AE$6&gt;=$D$115),1,0),
IF(AD8&amp;AG8=AH$5,1,0),
IF(AE8=AD$5,2,0),
IF(AF8=AD$5,1,0),
IF(OR(AD8&amp;AE8&amp;AF8=AD$5&amp;AE$5&amp;AF$5,AD8&amp;AE8&amp;AF8=AD$5&amp;AF$5&amp;AE$5,AD8&amp;AE8&amp;AF8=AE$5&amp;AD$5&amp;AF$5,AD8&amp;AE8&amp;AF8=AE$5&amp;AF$5&amp;AD$5,AD8&amp;AE8&amp;AF8=AF$5&amp;AD$5&amp;AE$5,AD8&amp;AE8&amp;AF8=AF$5&amp;AE$5&amp;AD$5),2,0),IF(AND(AD8=AD$5,AE$6&gt;=$D$129),1,0),IF(AND(AE8=AD$5,AE$6&gt;=$D$129),1,0),IF(AND(AF8=AD$5,AE$6&gt;=$D$129),1,0),IF(AD8&amp;AG8=AG$5,4,0),IF(AND(AD8=AD$5,AE$6&lt;=$D$104),-0.5,0),IF(AND(AE8=AD$5,AE$6&lt;=$D$104),-0.5,0),IF(AND(AF8=AD$5,AE$6&lt;=$D$104),-0.5,0))</calculatedColumnFormula>
    </tableColumn>
    <tableColumn id="34" xr3:uid="{00000000-0010-0000-0400-000022000000}" name="Columna16" dataDxfId="634"/>
    <tableColumn id="35" xr3:uid="{00000000-0010-0000-0400-000023000000}" name="Columna17" dataDxfId="633"/>
    <tableColumn id="36" xr3:uid="{00000000-0010-0000-0400-000024000000}" name="Columna173" dataDxfId="632"/>
    <tableColumn id="37" xr3:uid="{00000000-0010-0000-0400-000025000000}" name="Columna172" dataDxfId="631"/>
    <tableColumn id="38" xr3:uid="{00000000-0010-0000-0400-000026000000}" name="Columna18" dataDxfId="630">
      <calculatedColumnFormula>SUM(IF(AI8=AI$5,4,0),IF(AI8&amp;AJ8=AI$5&amp;AJ$5,1,0),
IF(AND(AI8=AI$5,AJ$6&gt;=$D$115),1,0),
IF(AND(AJ8=AI$5,AJ$6&gt;=$D$115),1,0),
IF(AND(AK8=AI$5,AJ$6&gt;=$D$115),1,0),
IF(AI8&amp;AL8=AM$5,1,0),
IF(AJ8=AI$5,2,0),
IF(AK8=AI$5,1,0),
IF(OR(AI8&amp;AJ8&amp;AK8=AI$5&amp;AJ$5&amp;AK$5,AI8&amp;AJ8&amp;AK8=AI$5&amp;AK$5&amp;AJ$5,AI8&amp;AJ8&amp;AK8=AJ$5&amp;AI$5&amp;AK$5,AI8&amp;AJ8&amp;AK8=AJ$5&amp;AK$5&amp;AI$5,AI8&amp;AJ8&amp;AK8=AK$5&amp;AI$5&amp;AJ$5,AI8&amp;AJ8&amp;AK8=AK$5&amp;AJ$5&amp;AI$5),2,0),IF(AND(AI8=AI$5,AJ$6&gt;=$D$129),1,0),IF(AND(AJ8=AI$5,AJ$6&gt;=$D$129),1,0),IF(AND(AK8=AI$5,AJ$6&gt;=$D$129),1,0),IF(AI8&amp;AL8=AL$5,4,0),IF(AND(AI8=AI$5,AJ$6&lt;=$D$104),-0.5,0),IF(AND(AJ8=AI$5,AJ$6&lt;=$D$104),-0.5,0),IF(AND(AK8=AI$5,AJ$6&lt;=$D$104),-0.5,0))</calculatedColumnFormula>
    </tableColumn>
    <tableColumn id="39" xr3:uid="{00000000-0010-0000-0400-000027000000}" name="123" dataDxfId="629"/>
    <tableColumn id="40" xr3:uid="{00000000-0010-0000-0400-000028000000}" name="555" dataDxfId="628"/>
    <tableColumn id="41" xr3:uid="{00000000-0010-0000-0400-000029000000}" name="556" dataDxfId="627"/>
    <tableColumn id="42" xr3:uid="{00000000-0010-0000-0400-00002A000000}" name="111" dataDxfId="626"/>
    <tableColumn id="43" xr3:uid="{00000000-0010-0000-0400-00002B000000}" name="Columna21" dataDxfId="625">
      <calculatedColumnFormula>SUM(IF(AN8=AN$5,4,0),IF(AN8&amp;AO8=AN$5&amp;AO$5,1,0),
IF(AND(AN8=AN$5,AO$6&gt;=$D$115),1,0),
IF(AND(AO8=AN$5,AO$6&gt;=$D$115),1,0),
IF(AND(AP8=AN$5,AO$6&gt;=$D$115),1,0),
IF(AN8&amp;AQ8=AR$5,1,0),
IF(AO8=AN$5,2,0),
IF(AP8=AN$5,1,0),
IF(OR(AN8&amp;AO8&amp;AP8=AN$5&amp;AO$5&amp;AP$5,AN8&amp;AO8&amp;AP8=AN$5&amp;AP$5&amp;AO$5,AN8&amp;AO8&amp;AP8=AO$5&amp;AN$5&amp;AP$5,AN8&amp;AO8&amp;AP8=AO$5&amp;AP$5&amp;AN$5,AN8&amp;AO8&amp;AP8=AP$5&amp;AN$5&amp;AO$5,AN8&amp;AO8&amp;AP8=AP$5&amp;AO$5&amp;AN$5),2,0),IF(AND(AN8=AN$5,AO$6&gt;=$D$129),1,0),IF(AND(AO8=AN$5,AO$6&gt;=$D$129),1,0),IF(AND(AP8=AN$5,AO$6&gt;=$D$129),1,0),IF(AN8&amp;AQ8=AQ$5,4,0),IF(AND(AN8=AN$5,AO$6&lt;=$D$104),-0.5,0),IF(AND(AO8=AN$5,AO$6&lt;=$D$104),-0.5,0),IF(AND(AP8=AN$5,AO$6&lt;=$D$104),-0.5,0))</calculatedColumnFormula>
    </tableColumn>
    <tableColumn id="44" xr3:uid="{00000000-0010-0000-0400-00002C000000}" name="AAAA" dataDxfId="624"/>
    <tableColumn id="45" xr3:uid="{00000000-0010-0000-0400-00002D000000}" name="BBBB" dataDxfId="623"/>
    <tableColumn id="46" xr3:uid="{00000000-0010-0000-0400-00002E000000}" name="Columna13" dataDxfId="622"/>
    <tableColumn id="47" xr3:uid="{00000000-0010-0000-0400-00002F000000}" name="CCCC" dataDxfId="621"/>
    <tableColumn id="48" xr3:uid="{00000000-0010-0000-0400-000030000000}" name="Columna24" dataDxfId="620">
      <calculatedColumnFormula>SUM(IF(AS8=AS$5,4,0),IF(AS8&amp;AT8=AS$5&amp;AT$5,1,0),
IF(AND(AS8=AS$5,AT$6&gt;=$D$115),1,0),
IF(AND(AT8=AS$5,AT$6&gt;=$D$115),1,0),
IF(AND(AU8=AS$5,AT$6&gt;=$D$115),1,0),
IF(AS8&amp;AV8=AW$5,1,0),
IF(AT8=AS$5,2,0),
IF(AU8=AS$5,1,0),
IF(OR(AS8&amp;AT8&amp;AU8=AS$5&amp;AT$5&amp;AU$5,AS8&amp;AT8&amp;AU8=AS$5&amp;AU$5&amp;AT$5,AS8&amp;AT8&amp;AU8=AT$5&amp;AS$5&amp;AU$5,AS8&amp;AT8&amp;AU8=AT$5&amp;AU$5&amp;AS$5,AS8&amp;AT8&amp;AU8=AU$5&amp;AS$5&amp;AT$5,AS8&amp;AT8&amp;AU8=AU$5&amp;AT$5&amp;AS$5),2,0),IF(AND(AS8=AS$5,AT$6&gt;=$D$129),1,0),IF(AND(AT8=AS$5,AT$6&gt;=$D$129),1,0),IF(AND(AU8=AS$5,AT$6&gt;=$D$129),1,0),IF(AS8&amp;AV8=AV$5,4,0),IF(AND(AS8=AS$5,AT$6&lt;=$D$104),-0.5,0),IF(AND(AT8=AS$5,AT$6&lt;=$D$104),-0.5,0),IF(AND(AU8=AS$5,AT$6&lt;=$D$104),-0.5,0))</calculatedColumnFormula>
    </tableColumn>
    <tableColumn id="49" xr3:uid="{00000000-0010-0000-0400-000031000000}" name="Columna25" dataDxfId="619"/>
    <tableColumn id="50" xr3:uid="{00000000-0010-0000-0400-000032000000}" name="Columna26" dataDxfId="618"/>
    <tableColumn id="51" xr3:uid="{00000000-0010-0000-0400-000033000000}" name="Columna263" dataDxfId="617"/>
    <tableColumn id="52" xr3:uid="{00000000-0010-0000-0400-000034000000}" name="Columna262" dataDxfId="616"/>
    <tableColumn id="53" xr3:uid="{00000000-0010-0000-0400-000035000000}" name="Columna27" dataDxfId="615">
      <calculatedColumnFormula>SUM(IF(AX8=AX$5,4,0),IF(AX8&amp;AY8=AX$5&amp;AY$5,1,0),
IF(AND(AX8=AX$5,AY$6&gt;=$D$115),1,0),
IF(AND(AY8=AX$5,AY$6&gt;=$D$115),1,0),
IF(AND(AZ8=AX$5,AY$6&gt;=$D$115),1,0),
IF(AX8&amp;BA8=BB$5,1,0),
IF(AY8=AX$5,2,0),
IF(AZ8=AX$5,1,0),
IF(OR(AX8&amp;AY8&amp;AZ8=AX$5&amp;AY$5&amp;AZ$5,AX8&amp;AY8&amp;AZ8=AX$5&amp;AZ$5&amp;AY$5,AX8&amp;AY8&amp;AZ8=AY$5&amp;AX$5&amp;AZ$5,AX8&amp;AY8&amp;AZ8=AY$5&amp;AZ$5&amp;AX$5,AX8&amp;AY8&amp;AZ8=AZ$5&amp;AX$5&amp;AY$5,AX8&amp;AY8&amp;AZ8=AZ$5&amp;AY$5&amp;AX$5),2,0),IF(AND(AX8=AX$5,AY$6&gt;=$D$129),1,0),IF(AND(AY8=AX$5,AY$6&gt;=$D$129),1,0),IF(AND(AZ8=AX$5,AY$6&gt;=$D$129),1,0),IF(AX8&amp;BA8=BA$5,4,0),IF(AND(AX8=AX$5,AY$6&lt;=$D$104),-0.5,0),IF(AND(AY8=AX$5,AY$6&lt;=$D$104),-0.5,0),IF(AND(AZ8=AX$5,AY$6&lt;=$D$104),-0.5,0))</calculatedColumnFormula>
    </tableColumn>
    <tableColumn id="54" xr3:uid="{00000000-0010-0000-0400-000036000000}" name="Columna272" dataDxfId="614"/>
    <tableColumn id="55" xr3:uid="{00000000-0010-0000-0400-000037000000}" name="Columna273" dataDxfId="613"/>
    <tableColumn id="56" xr3:uid="{00000000-0010-0000-0400-000038000000}" name="Columna2732" dataDxfId="612"/>
    <tableColumn id="57" xr3:uid="{00000000-0010-0000-0400-000039000000}" name="Columna274" dataDxfId="611"/>
    <tableColumn id="58" xr3:uid="{00000000-0010-0000-0400-00003A000000}" name="Columna275" dataDxfId="610">
      <calculatedColumnFormula>SUM(IF(BC8=BC$5,4,0),IF(BC8&amp;BD8=BC$5&amp;BD$5,1,0),
IF(AND(BC8=BC$5,BD$6&gt;=$D$115),1,0),
IF(AND(BD8=BC$5,BD$6&gt;=$D$115),1,0),
IF(AND(BE8=BC$5,BD$6&gt;=$D$115),1,0),
IF(BC8&amp;BF8=BG$5,1,0),
IF(BD8=BC$5,2,0),
IF(BE8=BC$5,1,0),
IF(OR(BC8&amp;BD8&amp;BE8=BC$5&amp;BD$5&amp;BE$5,BC8&amp;BD8&amp;BE8=BC$5&amp;BE$5&amp;BD$5,BC8&amp;BD8&amp;BE8=BD$5&amp;BC$5&amp;BE$5,BC8&amp;BD8&amp;BE8=BD$5&amp;BE$5&amp;BC$5,BC8&amp;BD8&amp;BE8=BE$5&amp;BC$5&amp;BD$5,BC8&amp;BD8&amp;BE8=BE$5&amp;BD$5&amp;BC$5),2,0),IF(AND(BC8=BC$5,BD$6&gt;=$D$129),1,0),IF(AND(BD8=BC$5,BD$6&gt;=$D$129),1,0),IF(AND(BE8=BC$5,BD$6&gt;=$D$129),1,0),IF(BC8&amp;BF8=BF$5,4,0),IF(AND(BC8=BC$5,BD$6&lt;=$D$104),-0.5,0),IF(AND(BD8=BC$5,BD$6&lt;=$D$104),-0.5,0),IF(AND(BE8=BC$5,BD$6&lt;=$D$104),-0.5,0))</calculatedColumnFormula>
    </tableColumn>
    <tableColumn id="59" xr3:uid="{00000000-0010-0000-0400-00003B000000}" name="Columna276" dataDxfId="609"/>
    <tableColumn id="60" xr3:uid="{00000000-0010-0000-0400-00003C000000}" name="Columna277" dataDxfId="608"/>
    <tableColumn id="61" xr3:uid="{00000000-0010-0000-0400-00003D000000}" name="Columna2772" dataDxfId="607"/>
    <tableColumn id="62" xr3:uid="{00000000-0010-0000-0400-00003E000000}" name="Columna278" dataDxfId="606"/>
    <tableColumn id="63" xr3:uid="{00000000-0010-0000-0400-00003F000000}" name="Columna279" dataDxfId="605">
      <calculatedColumnFormula>SUM(IF(BH8=BH$5,4,0),IF(BH8&amp;BI8=BH$5&amp;BI$5,1,0),
IF(AND(BH8=BH$5,BI$6&gt;=$D$115),1,0),
IF(AND(BI8=BH$5,BI$6&gt;=$D$115),1,0),
IF(AND(BJ8=BH$5,BI$6&gt;=$D$115),1,0),
IF(BH8&amp;BK8=BL$5,1,0),
IF(BI8=BH$5,2,0),
IF(BJ8=BH$5,1,0),
IF(OR(BH8&amp;BI8&amp;BJ8=BH$5&amp;BI$5&amp;BJ$5,BH8&amp;BI8&amp;BJ8=BH$5&amp;BJ$5&amp;BI$5,BH8&amp;BI8&amp;BJ8=BI$5&amp;BH$5&amp;BJ$5,BH8&amp;BI8&amp;BJ8=BI$5&amp;BJ$5&amp;BH$5,BH8&amp;BI8&amp;BJ8=BJ$5&amp;BH$5&amp;BI$5,BH8&amp;BI8&amp;BJ8=BJ$5&amp;BI$5&amp;BH$5),2,0),IF(AND(BH8=BH$5,BI$6&gt;=$D$129),1,0),IF(AND(BI8=BH$5,BI$6&gt;=$D$129),1,0),IF(AND(BJ8=BH$5,BI$6&gt;=$D$129),1,0),IF(BH8&amp;BK8=BK$5,4,0),IF(AND(BH8=BH$5,BI$6&lt;=$D$104),-0.5,0),IF(AND(BI8=BH$5,BI$6&lt;=$D$104),-0.5,0),IF(AND(BJ8=BH$5,BI$6&lt;=$D$104),-0.5,0))</calculatedColumnFormula>
    </tableColumn>
    <tableColumn id="64" xr3:uid="{00000000-0010-0000-0400-000040000000}" name="Columna280" dataDxfId="604"/>
    <tableColumn id="65" xr3:uid="{00000000-0010-0000-0400-000041000000}" name="Columna281" dataDxfId="603"/>
    <tableColumn id="66" xr3:uid="{00000000-0010-0000-0400-000042000000}" name="Columna2812" dataDxfId="602"/>
    <tableColumn id="67" xr3:uid="{00000000-0010-0000-0400-000043000000}" name="Columna282" dataDxfId="601"/>
    <tableColumn id="68" xr3:uid="{00000000-0010-0000-0400-000044000000}" name="Columna283" dataDxfId="600">
      <calculatedColumnFormula>SUM(IF(BM8=BM$5,4,0),IF(BM8&amp;BN8=BM$5&amp;BN$5,1,0),
IF(AND(BM8=BM$5,BN$6&gt;=$D$115),1,0),
IF(AND(BN8=BM$5,BN$6&gt;=$D$115),1,0),
IF(AND(BO8=BM$5,BN$6&gt;=$D$115),1,0),
IF(BM8&amp;BP8=BQ$5,1,0),
IF(BN8=BM$5,2,0),
IF(BO8=BM$5,1,0),
IF(OR(BM8&amp;BN8&amp;BO8=BM$5&amp;BN$5&amp;BO$5,BM8&amp;BN8&amp;BO8=BM$5&amp;BO$5&amp;BN$5,BM8&amp;BN8&amp;BO8=BN$5&amp;BM$5&amp;BO$5,BM8&amp;BN8&amp;BO8=BN$5&amp;BO$5&amp;BM$5,BM8&amp;BN8&amp;BO8=BO$5&amp;BM$5&amp;BN$5,BM8&amp;BN8&amp;BO8=BO$5&amp;BN$5&amp;BM$5),2,0),IF(AND(BM8=BM$5,BN$6&gt;=$D$129),1,0),IF(AND(BN8=BM$5,BN$6&gt;=$D$129),1,0),IF(AND(BO8=BM$5,BN$6&gt;=$D$129),1,0),IF(BM8&amp;BP8=BP$5,4,0),IF(AND(BM8=BM$5,BN$6&lt;=$D$104),-0.5,0),IF(AND(BN8=BM$5,BN$6&lt;=$D$104),-0.5,0),IF(AND(BO8=BM$5,BN$6&lt;=$D$104),-0.5,0))</calculatedColumnFormula>
    </tableColumn>
    <tableColumn id="69" xr3:uid="{00000000-0010-0000-0400-000045000000}" name="Columna2802" dataDxfId="599"/>
    <tableColumn id="70" xr3:uid="{00000000-0010-0000-0400-000046000000}" name="Columna2813" dataDxfId="598"/>
    <tableColumn id="71" xr3:uid="{00000000-0010-0000-0400-000047000000}" name="Columna28124" dataDxfId="597"/>
    <tableColumn id="72" xr3:uid="{00000000-0010-0000-0400-000048000000}" name="Columna2825" dataDxfId="596"/>
    <tableColumn id="73" xr3:uid="{00000000-0010-0000-0400-000049000000}" name="Columna28310" dataDxfId="595">
      <calculatedColumnFormula>SUM(IF(BR8=BR$5,4,0),IF(BR8&amp;BS8=BR$5&amp;BS$5,1,0),
IF(AND(BR8=BR$5,BS$6&gt;=$D$115),1,0),
IF(AND(BS8=BR$5,BS$6&gt;=$D$115),1,0),
IF(AND(BT8=BR$5,BS$6&gt;=$D$115),1,0),
IF(BR8&amp;BU8=BV$5,1,0),
IF(BS8=BR$5,2,0),
IF(BT8=BR$5,1,0),
IF(OR(BR8&amp;BS8&amp;BT8=BR$5&amp;BS$5&amp;BT$5,BR8&amp;BS8&amp;BT8=BR$5&amp;BT$5&amp;BS$5,BR8&amp;BS8&amp;BT8=BS$5&amp;BR$5&amp;BT$5,BR8&amp;BS8&amp;BT8=BS$5&amp;BT$5&amp;BR$5,BR8&amp;BS8&amp;BT8=BT$5&amp;BR$5&amp;BS$5,BR8&amp;BS8&amp;BT8=BT$5&amp;BS$5&amp;BR$5),2,0),IF(AND(BR8=BR$5,BS$6&gt;=$D$129),1,0),IF(AND(BS8=BR$5,BS$6&gt;=$D$129),1,0),IF(AND(BT8=BR$5,BS$6&gt;=$D$129),1,0),IF(BR8&amp;BU8=BU$5,4,0),IF(AND(BR8=BR$5,BS$6&lt;=$D$104),-0.5,0),IF(AND(BS8=BR$5,BS$6&lt;=$D$104),-0.5,0),IF(AND(BT8=BR$5,BS$6&lt;=$D$104),-0.5,0))</calculatedColumnFormula>
    </tableColumn>
    <tableColumn id="74" xr3:uid="{00000000-0010-0000-0400-00004A000000}" name="Columna2803" dataDxfId="594"/>
    <tableColumn id="75" xr3:uid="{00000000-0010-0000-0400-00004B000000}" name="Columna2814" dataDxfId="593"/>
    <tableColumn id="76" xr3:uid="{00000000-0010-0000-0400-00004C000000}" name="Columna28125" dataDxfId="592"/>
    <tableColumn id="77" xr3:uid="{00000000-0010-0000-0400-00004D000000}" name="Columna2826" dataDxfId="591"/>
    <tableColumn id="78" xr3:uid="{00000000-0010-0000-0400-00004E000000}" name="Columna2837" dataDxfId="590">
      <calculatedColumnFormula>SUM(IF(BW8=BW$5,4,0),IF(BW8&amp;BX8=BW$5&amp;BX$5,1,0),
IF(AND(BW8=BW$5,BX$6&gt;=$D$115),1,0),
IF(AND(BX8=BW$5,BX$6&gt;=$D$115),1,0),
IF(AND(BY8=BW$5,BX$6&gt;=$D$115),1,0),
IF(BW8&amp;BZ8=CA$5,1,0),
IF(BX8=BW$5,2,0),
IF(BY8=BW$5,1,0),
IF(OR(BW8&amp;BX8&amp;BY8=BW$5&amp;BX$5&amp;BY$5,BW8&amp;BX8&amp;BY8=BW$5&amp;BY$5&amp;BX$5,BW8&amp;BX8&amp;BY8=BX$5&amp;BW$5&amp;BY$5,BW8&amp;BX8&amp;BY8=BX$5&amp;BY$5&amp;BW$5,BW8&amp;BX8&amp;BY8=BY$5&amp;BW$5&amp;BX$5,BW8&amp;BX8&amp;BY8=BY$5&amp;BX$5&amp;BW$5),2,0),IF(AND(BW8=BW$5,BX$6&gt;=$D$129),1,0),IF(AND(BX8=BW$5,BX$6&gt;=$D$129),1,0),IF(AND(BY8=BW$5,BX$6&gt;=$D$129),1,0),IF(BW8&amp;BZ8=BZ$5,4,0),IF(AND(BW8=BW$5,BX$6&lt;=$D$104),-0.5,0),IF(AND(BX8=BW$5,BX$6&lt;=$D$104),-0.5,0),IF(AND(BY8=BW$5,BX$6&lt;=$D$104),-0.5,0))</calculatedColumnFormula>
    </tableColumn>
    <tableColumn id="79" xr3:uid="{00000000-0010-0000-0400-00004F000000}" name="Columna2804" dataDxfId="589"/>
    <tableColumn id="80" xr3:uid="{00000000-0010-0000-0400-000050000000}" name="Columna2815" dataDxfId="588"/>
    <tableColumn id="81" xr3:uid="{00000000-0010-0000-0400-000051000000}" name="Columna28126" dataDxfId="587"/>
    <tableColumn id="82" xr3:uid="{00000000-0010-0000-0400-000052000000}" name="Columna2827" dataDxfId="586"/>
    <tableColumn id="83" xr3:uid="{00000000-0010-0000-0400-000053000000}" name="Columna2838" dataDxfId="585">
      <calculatedColumnFormula>SUM(IF(CB8=CB$5,4,0),IF(CB8&amp;CC8=CB$5&amp;CC$5,1,0),
IF(AND(CB8=CB$5,CC$6&gt;=$D$115),1,0),
IF(AND(CC8=CB$5,CC$6&gt;=$D$115),1,0),
IF(AND(CD8=CB$5,CC$6&gt;=$D$115),1,0),
IF(CB8&amp;CE8=CF$5,1,0),
IF(CC8=CB$5,2,0),
IF(CD8=CB$5,1,0),
IF(OR(CB8&amp;CC8&amp;CD8=CB$5&amp;CC$5&amp;CD$5,CB8&amp;CC8&amp;CD8=CB$5&amp;CD$5&amp;CC$5,CB8&amp;CC8&amp;CD8=CC$5&amp;CB$5&amp;CD$5,CB8&amp;CC8&amp;CD8=CC$5&amp;CD$5&amp;CB$5,CB8&amp;CC8&amp;CD8=CD$5&amp;CB$5&amp;CC$5,CB8&amp;CC8&amp;CD8=CD$5&amp;CC$5&amp;CB$5),2,0),IF(AND(CB8=CB$5,CC$6&gt;=$D$129),1,0),IF(AND(CC8=CB$5,CC$6&gt;=$D$129),1,0),IF(AND(CD8=CB$5,CC$6&gt;=$D$129),1,0),IF(CB8&amp;CE8=CE$5,4,0),IF(AND(CB8=CB$5,CC$6&lt;=$D$104),-0.5,0),IF(AND(CC8=CB$5,CC$6&lt;=$D$104),-0.5,0),IF(AND(CD8=CB$5,CC$6&lt;=$D$104),-0.5,0))</calculatedColumnFormula>
    </tableColumn>
    <tableColumn id="84" xr3:uid="{00000000-0010-0000-0400-000054000000}" name="Columna14" dataDxfId="584">
      <calculatedColumnFormula>IF(SEMANA2[[#This Row],[1]]="",0,$B$4)</calculatedColumnFormula>
    </tableColumn>
    <tableColumn id="85" xr3:uid="{00000000-0010-0000-0400-000055000000}" name="Columna19" dataDxfId="583">
      <calculatedColumnFormula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calculatedColumnFormula>
    </tableColumn>
    <tableColumn id="86" xr3:uid="{00000000-0010-0000-0400-000056000000}" name="Columna20" dataDxfId="582" dataCellStyle="Porcentaje">
      <calculatedColumnFormula>IF(SEMANA2[[#This Row],[Columna14]]=0,0,(CH8/CG8))</calculatedColumnFormula>
    </tableColumn>
    <tableColumn id="87" xr3:uid="{00000000-0010-0000-0400-000057000000}" name="Columna29" dataDxfId="581">
      <calculatedColumnFormula>IF(SEMANA2[[#This Row],[1]]="",0,$B$4)</calculatedColumnFormula>
    </tableColumn>
    <tableColumn id="88" xr3:uid="{00000000-0010-0000-0400-000058000000}" name="Columna30" dataDxfId="580">
      <calculatedColumnFormula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calculatedColumnFormula>
    </tableColumn>
    <tableColumn id="89" xr3:uid="{00000000-0010-0000-0400-000059000000}" name="Columna31" dataDxfId="579" dataCellStyle="Porcentaje">
      <calculatedColumnFormula>IF(SEMANA2[[#This Row],[Columna14]]=0,0,(CK8/CJ8))</calculatedColumnFormula>
    </tableColumn>
    <tableColumn id="90" xr3:uid="{00000000-0010-0000-0400-00005A000000}" name="Columna32" dataDxfId="578">
      <calculatedColumnFormula>IF(SEMANA2[[#This Row],[1]]="",0,$B$4)</calculatedColumnFormula>
    </tableColumn>
    <tableColumn id="91" xr3:uid="{00000000-0010-0000-0400-00005B000000}" name="Columna34" dataDxfId="577">
      <calculatedColumnFormula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calculatedColumnFormula>
    </tableColumn>
    <tableColumn id="92" xr3:uid="{00000000-0010-0000-0400-00005C000000}" name="Columna35" dataDxfId="576" dataCellStyle="Porcentaje">
      <calculatedColumnFormula>IF(SEMANA2[[#This Row],[Columna14]]=0,0,(CN8/CM8))</calculatedColumnFormula>
    </tableColumn>
    <tableColumn id="93" xr3:uid="{00000000-0010-0000-0400-00005D000000}" name="Columna36" dataDxfId="575">
      <calculatedColumnFormula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calculatedColumnFormula>
    </tableColumn>
    <tableColumn id="94" xr3:uid="{00000000-0010-0000-0400-00005E000000}" name="Columna37" dataDxfId="574">
      <calculatedColumnFormula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Row],[Columna25]],$AX$5,BA8,"SF")+COUNTIFS(SEMANA2[[#This Row],[Columna272]],$BC$5,SEMANA2[[#This Row],[Columna274]],"SF")+COUNTIFS(SEMANA2[[#This Row],[Columna276]],$BH$5,SEMANA2[[#This Row],[Columna278]],"SF")+COUNTIFS(SEMANA2[[#This Row],[Columna280]],$BM$5,SEMANA2[[#This Row],[Columna282]],"SF")</calculatedColumnFormula>
    </tableColumn>
    <tableColumn id="95" xr3:uid="{00000000-0010-0000-0400-00005F000000}" name="Columna38" dataDxfId="573" dataCellStyle="Porcentaje">
      <calculatedColumnFormula>IFERROR(IF(SEMANA2[[#This Row],[Columna14]]=0,0,(CQ8/CP8)),0)</calculatedColumnFormula>
    </tableColumn>
    <tableColumn id="96" xr3:uid="{00000000-0010-0000-0400-000060000000}" name="Columna1" dataDxfId="572">
      <calculatedColumnFormula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calculatedColumnFormula>
    </tableColumn>
    <tableColumn id="97" xr3:uid="{00000000-0010-0000-0400-000061000000}" name="Columna22" dataDxfId="571">
      <calculatedColumnFormula>_xlfn.XLOOKUP(SEMANA2[[#This Row],[COD]],BASE01[COD],BASE01[Columna33])</calculatedColumnFormula>
    </tableColumn>
    <tableColumn id="98" xr3:uid="{00000000-0010-0000-0400-000062000000}" name="Columna33" dataDxfId="570">
      <calculatedColumnFormula>SUM(CS8,CT8)</calculatedColumnFormula>
    </tableColumn>
    <tableColumn id="99" xr3:uid="{00000000-0010-0000-0400-000063000000}" name="Columna44" dataDxfId="569">
      <calculatedColumnFormula>IF(SEMANA2[[#This Row],[TIPO]]="PREMIO",$O$3,"0,00")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VID2" displayName="DIVID2" ref="B101:D129" totalsRowShown="0">
  <autoFilter ref="B101:D129" xr:uid="{00000000-0009-0000-0100-000006000000}"/>
  <tableColumns count="3">
    <tableColumn id="1" xr3:uid="{00000000-0010-0000-0500-000001000000}" name="FACTOR" dataDxfId="568"/>
    <tableColumn id="2" xr3:uid="{00000000-0010-0000-0500-000002000000}" name="DIVIDENDO" dataDxfId="567"/>
    <tableColumn id="3" xr3:uid="{00000000-0010-0000-0500-000003000000}" name="BS" dataDxfId="566">
      <calculatedColumnFormula>(DIVIDENDO[[#This Row],[FACTOR]]*$H$101)+$H$101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IV_GAN_SEM_2" displayName="DIV_GAN_SEM_2" ref="CY7:CZ23" totalsRowShown="0">
  <autoFilter ref="CY7:CZ23" xr:uid="{00000000-0009-0000-0100-000007000000}"/>
  <tableColumns count="2">
    <tableColumn id="1" xr3:uid="{00000000-0010-0000-0600-000001000000}" name="CARRERA" dataDxfId="565"/>
    <tableColumn id="2" xr3:uid="{00000000-0010-0000-0600-000002000000}" name="DIVIDENDO" dataDxfId="56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EMANA29" displayName="SEMANA29" ref="B7:CV57" totalsRowShown="0" headerRowDxfId="563" tableBorderDxfId="562">
  <autoFilter ref="B7:CV57" xr:uid="{00000000-0009-0000-0100-000008000000}"/>
  <sortState xmlns:xlrd2="http://schemas.microsoft.com/office/spreadsheetml/2017/richdata2" ref="B8:CV57">
    <sortCondition ref="C7:C57"/>
  </sortState>
  <tableColumns count="99">
    <tableColumn id="1" xr3:uid="{00000000-0010-0000-0700-000001000000}" name="0" dataDxfId="561">
      <calculatedColumnFormula>IF(SEMANA29[[#This Row],[COD]]&lt;&gt;"",B7+1,"")</calculatedColumnFormula>
    </tableColumn>
    <tableColumn id="2" xr3:uid="{00000000-0010-0000-0700-000002000000}" name="COD" dataDxfId="560"/>
    <tableColumn id="3" xr3:uid="{00000000-0010-0000-0700-000003000000}" name="TIPO" dataDxfId="559">
      <calculatedColumnFormula array="1">IF(SEMANA29[[#This Row],[COD]]="","",_xlfn.IFS(_xlfn.XLOOKUP(SEMANA29[[#This Row],[COD]],CODIGOS_Y_PAGOS[CODIGO],CODIGOS_Y_PAGOS[13/09/2026],"")="X","PREMIO",_xlfn.XLOOKUP(SEMANA29[[#This Row],[COD]],CODIGOS_Y_PAGOS[CODIGO],CODIGOS_Y_PAGOS[13/09/2026],"")="","NO ENVIÓ",_xlfn.XLOOKUP(SEMANA29[[#This Row],[COD]],CODIGOS_Y_PAGOS[CODIGO],CODIGOS_Y_PAGOS[13/09/2026],"")=0,"MEETING",_xlfn.XLOOKUP(SEMANA29[[#This Row],[COD]],CODIGOS_Y_PAGOS[CODIGO],CODIGOS_Y_PAGOS[13/09/2026],"")="O","PREMIO",_xlfn.XLOOKUP(SEMANA29[[#This Row],[COD]],CODIGOS_Y_PAGOS[CODIGO],CODIGOS_Y_PAGOS[13/09/2026],"")="-","PAGO PENDIENTE"))</calculatedColumnFormula>
    </tableColumn>
    <tableColumn id="4" xr3:uid="{00000000-0010-0000-0700-000004000000}" name="1" dataDxfId="558"/>
    <tableColumn id="5" xr3:uid="{00000000-0010-0000-0700-000005000000}" name="2" dataDxfId="557"/>
    <tableColumn id="6" xr3:uid="{00000000-0010-0000-0700-000006000000}" name="22" dataDxfId="556"/>
    <tableColumn id="7" xr3:uid="{00000000-0010-0000-0700-000007000000}" name="3" dataDxfId="555"/>
    <tableColumn id="8" xr3:uid="{00000000-0010-0000-0700-000008000000}" name="PTS" dataDxfId="554">
      <calculatedColumnFormula>SUM(IF(E8=E$5,4,0),IF(E8&amp;F8=E$5&amp;F$5,1,0),
IF(AND(E8=E$5,F$6&gt;=$D$115),1,0),
IF(AND(F8=E$5,F$6&gt;=$D$115),1,0),
IF(AND(G8=E$5,F$6&gt;=$D$115),1,0),
IF(E8&amp;H8=I$5,1,0),
IF(F8=E$5,2,0),
IF(G8=E$5,1,0),
IF(OR(E8&amp;F8&amp;G8=E$5&amp;F$5&amp;G$5,E8&amp;F8&amp;G8=E$5&amp;G$5&amp;F$5,E8&amp;F8&amp;G8=F$5&amp;E$5&amp;G$5,E8&amp;F8&amp;G8=F$5&amp;G$5&amp;E$5,E8&amp;F8&amp;G8=G$5&amp;E$5&amp;F$5,E8&amp;F8&amp;G8=G$5&amp;F$5&amp;E$5),2,0),IF(AND(E8=E$5,F$6&gt;=$D$129),1,0),IF(AND(F8=E$5,F$6&gt;=$D$129),1,0),IF(AND(G8=E$5,F$6&gt;=$D$129),1,0),IF(E8&amp;H8=H$5,4,0),IF(AND(E8=E$5,F$6&lt;=$D$104),-0.5,0),IF(AND(F8=E$5,F$6&lt;=$D$104),-0.5,0),IF(AND(G8=E$5,F$6&lt;=$D$104),-0.5,0))</calculatedColumnFormula>
    </tableColumn>
    <tableColumn id="9" xr3:uid="{00000000-0010-0000-0700-000009000000}" name="12" dataDxfId="553"/>
    <tableColumn id="10" xr3:uid="{00000000-0010-0000-0700-00000A000000}" name="Columna2" dataDxfId="552"/>
    <tableColumn id="11" xr3:uid="{00000000-0010-0000-0700-00000B000000}" name="Columna23" dataDxfId="551"/>
    <tableColumn id="12" xr3:uid="{00000000-0010-0000-0700-00000C000000}" name="Columna28" dataDxfId="550"/>
    <tableColumn id="13" xr3:uid="{00000000-0010-0000-0700-00000D000000}" name="Columna3" dataDxfId="549">
      <calculatedColumnFormula>SUM(IF(J8=J$5,4,0),IF(J8&amp;K8=J$5&amp;K$5,1,0),
IF(AND(J8=J$5,K$6&gt;=$D$115),1,0),
IF(AND(K8=J$5,K$6&gt;=$D$115),1,0),
IF(AND(L8=J$5,K$6&gt;=$D$115),1,0),
IF(J8&amp;M8=N$5,1,0),
IF(K8=J$5,2,0),
IF(L8=J$5,1,0),
IF(OR(J8&amp;K8&amp;L8=J$5&amp;K$5&amp;L$5,J8&amp;K8&amp;L8=J$5&amp;L$5&amp;K$5,J8&amp;K8&amp;L8=K$5&amp;J$5&amp;L$5,J8&amp;K8&amp;L8=K$5&amp;L$5&amp;J$5,J8&amp;K8&amp;L8=L$5&amp;J$5&amp;K$5,J8&amp;K8&amp;L8=L$5&amp;K$5&amp;J$5),2,0),IF(AND(J8=J$5,K$6&gt;=$D$129),1,0),IF(AND(K8=J$5,K$6&gt;=$D$129),1,0),IF(AND(L8=J$5,K$6&gt;=$D$129),1,0),IF(J8&amp;M8=M$5,4,0),IF(AND(J8=J$5,K$6&lt;=$D$104),-0.5,0),IF(AND(K8=J$5,K$6&lt;=$D$104),-0.5,0),IF(AND(L8=J$5,K$6&lt;=$D$104),-0.5,0))</calculatedColumnFormula>
    </tableColumn>
    <tableColumn id="14" xr3:uid="{00000000-0010-0000-0700-00000E000000}" name="Columna4" dataDxfId="548"/>
    <tableColumn id="15" xr3:uid="{00000000-0010-0000-0700-00000F000000}" name="Columna5" dataDxfId="547"/>
    <tableColumn id="16" xr3:uid="{00000000-0010-0000-0700-000010000000}" name="Columna53" dataDxfId="546"/>
    <tableColumn id="17" xr3:uid="{00000000-0010-0000-0700-000011000000}" name="Columna52" dataDxfId="545"/>
    <tableColumn id="18" xr3:uid="{00000000-0010-0000-0700-000012000000}" name="Columna6" dataDxfId="544">
      <calculatedColumnFormula>SUM(IF(O8=O$5,4,0),IF(O8&amp;P8=O$5&amp;P$5,1,0),
IF(AND(O8=O$5,P$6&gt;=$D$115),1,0),
IF(AND(P8=O$5,P$6&gt;=$D$115),1,0),
IF(AND(Q8=O$5,P$6&gt;=$D$115),1,0),
IF(O8&amp;R8=S$5,1,0),
IF(P8=O$5,2,0),
IF(Q8=O$5,1,0),
IF(OR(O8&amp;P8&amp;Q8=O$5&amp;P$5&amp;Q$5,O8&amp;P8&amp;Q8=O$5&amp;Q$5&amp;P$5,O8&amp;P8&amp;Q8=P$5&amp;O$5&amp;Q$5,O8&amp;P8&amp;Q8=P$5&amp;Q$5&amp;O$5,O8&amp;P8&amp;Q8=Q$5&amp;O$5&amp;P$5,O8&amp;P8&amp;Q8=Q$5&amp;P$5&amp;O$5),2,0),IF(AND(O8=O$5,P$6&gt;=$D$129),1,0),IF(AND(P8=O$5,P$6&gt;=$D$129),1,0),IF(AND(Q8=O$5,P$6&gt;=$D$129),1,0),IF(O8&amp;R8=R$5,4,0),IF(AND(O8=O$5,P$6&lt;=$D$104),-0.5,0),IF(AND(P8=O$5,P$6&lt;=$D$104),-0.5,0),IF(AND(Q8=O$5,P$6&lt;=$D$104),-0.5,0))</calculatedColumnFormula>
    </tableColumn>
    <tableColumn id="19" xr3:uid="{00000000-0010-0000-0700-000013000000}" name="Columna7" dataDxfId="543"/>
    <tableColumn id="20" xr3:uid="{00000000-0010-0000-0700-000014000000}" name="Columna8" dataDxfId="542"/>
    <tableColumn id="21" xr3:uid="{00000000-0010-0000-0700-000015000000}" name="Columna83" dataDxfId="541"/>
    <tableColumn id="22" xr3:uid="{00000000-0010-0000-0700-000016000000}" name="Columna82" dataDxfId="540"/>
    <tableColumn id="23" xr3:uid="{00000000-0010-0000-0700-000017000000}" name="Columna9" dataDxfId="539">
      <calculatedColumnFormula>SUM(IF(T8=T$5,4,0),IF(T8&amp;U8=T$5&amp;U$5,1,0),
IF(AND(T8=T$5,U$6&gt;=$D$115),1,0),
IF(AND(U8=T$5,U$6&gt;=$D$115),1,0),
IF(AND(V8=T$5,U$6&gt;=$D$115),1,0),
IF(T8&amp;W8=X$5,1,0),
IF(U8=T$5,2,0),
IF(V8=T$5,1,0),
IF(OR(T8&amp;U8&amp;V8=T$5&amp;U$5&amp;V$5,T8&amp;U8&amp;V8=T$5&amp;V$5&amp;U$5,T8&amp;U8&amp;V8=U$5&amp;T$5&amp;V$5,T8&amp;U8&amp;V8=U$5&amp;V$5&amp;T$5,T8&amp;U8&amp;V8=V$5&amp;T$5&amp;U$5,T8&amp;U8&amp;V8=V$5&amp;U$5&amp;T$5),2,0),IF(AND(T8=T$5,U$6&gt;=$D$129),1,0),IF(AND(U8=T$5,U$6&gt;=$D$129),1,0),IF(AND(V8=T$5,U$6&gt;=$D$129),1,0),IF(T8&amp;W8=W$5,4,0),IF(AND(T8=T$5,U$6&lt;=$D$104),-0.5,0),IF(AND(U8=T$5,U$6&lt;=$D$104),-0.5,0),IF(AND(V8=T$5,U$6&lt;=$D$104),-0.5,0))</calculatedColumnFormula>
    </tableColumn>
    <tableColumn id="24" xr3:uid="{00000000-0010-0000-0700-000018000000}" name="Columna10" dataDxfId="538"/>
    <tableColumn id="25" xr3:uid="{00000000-0010-0000-0700-000019000000}" name="Columna11" dataDxfId="537"/>
    <tableColumn id="26" xr3:uid="{00000000-0010-0000-0700-00001A000000}" name="Columna113" dataDxfId="536"/>
    <tableColumn id="27" xr3:uid="{00000000-0010-0000-0700-00001B000000}" name="Columna112" dataDxfId="535"/>
    <tableColumn id="28" xr3:uid="{00000000-0010-0000-0700-00001C000000}" name="Columna12" dataDxfId="534">
      <calculatedColumnFormula>SUM(IF(Y8=Y$5,4,0),IF(Y8&amp;Z8=Y$5&amp;Z$5,1,0),
IF(AND(Y8=Y$5,Z$6&gt;=$D$115),1,0),
IF(AND(Z8=Y$5,Z$6&gt;=$D$115),1,0),
IF(AND(AA8=Y$5,Z$6&gt;=$D$115),1,0),
IF(Y8&amp;AB8=AC$5,1,0),
IF(Z8=Y$5,2,0),
IF(AA8=Y$5,1,0),
IF(OR(Y8&amp;Z8&amp;AA8=Y$5&amp;Z$5&amp;AA$5,Y8&amp;Z8&amp;AA8=Y$5&amp;AA$5&amp;Z$5,Y8&amp;Z8&amp;AA8=Z$5&amp;Y$5&amp;AA$5,Y8&amp;Z8&amp;AA8=Z$5&amp;AA$5&amp;Y$5,Y8&amp;Z8&amp;AA8=AA$5&amp;Y$5&amp;Z$5,Y8&amp;Z8&amp;AA8=AA$5&amp;Z$5&amp;Y$5),2,0),IF(AND(Y8=Y$5,Z$6&gt;=$D$129),1,0),IF(AND(Z8=Y$5,Z$6&gt;=$D$129),1,0),IF(AND(AA8=Y$5,Z$6&gt;=$D$129),1,0),IF(Y8&amp;AB8=AB$5,4,0),IF(AND(Y8=Y$5,Z$6&lt;=$D$104),-0.5,0),IF(AND(Z8=Y$5,Z$6&lt;=$D$104),-0.5,0),IF(AND(AA8=Y$5,Z$6&lt;=$D$104),-0.5,0))</calculatedColumnFormula>
    </tableColumn>
    <tableColumn id="29" xr3:uid="{00000000-0010-0000-0700-00001D000000}" name="1RA" dataDxfId="533"/>
    <tableColumn id="30" xr3:uid="{00000000-0010-0000-0700-00001E000000}" name="2DA" dataDxfId="532"/>
    <tableColumn id="31" xr3:uid="{00000000-0010-0000-0700-00001F000000}" name="2DA2" dataDxfId="531"/>
    <tableColumn id="32" xr3:uid="{00000000-0010-0000-0700-000020000000}" name="3RA" dataDxfId="530"/>
    <tableColumn id="33" xr3:uid="{00000000-0010-0000-0700-000021000000}" name="Columna15" dataDxfId="529">
      <calculatedColumnFormula>SUM(IF(AD8=AD$5,4,0),IF(AD8&amp;AE8=AD$5&amp;AE$5,1,0),
IF(AND(AD8=AD$5,AE$6&gt;=$D$115),1,0),
IF(AND(AE8=AD$5,AE$6&gt;=$D$115),1,0),
IF(AND(AF8=AD$5,AE$6&gt;=$D$115),1,0),
IF(AD8&amp;AG8=AH$5,1,0),
IF(AE8=AD$5,2,0),
IF(AF8=AD$5,1,0),
IF(OR(AD8&amp;AE8&amp;AF8=AD$5&amp;AE$5&amp;AF$5,AD8&amp;AE8&amp;AF8=AD$5&amp;AF$5&amp;AE$5,AD8&amp;AE8&amp;AF8=AE$5&amp;AD$5&amp;AF$5,AD8&amp;AE8&amp;AF8=AE$5&amp;AF$5&amp;AD$5,AD8&amp;AE8&amp;AF8=AF$5&amp;AD$5&amp;AE$5,AD8&amp;AE8&amp;AF8=AF$5&amp;AE$5&amp;AD$5),2,0),IF(AND(AD8=AD$5,AE$6&gt;=$D$129),1,0),IF(AND(AE8=AD$5,AE$6&gt;=$D$129),1,0),IF(AND(AF8=AD$5,AE$6&gt;=$D$129),1,0),IF(AD8&amp;AG8=AG$5,4,0),IF(AND(AD8=AD$5,AE$6&lt;=$D$104),-0.5,0),IF(AND(AE8=AD$5,AE$6&lt;=$D$104),-0.5,0),IF(AND(AF8=AD$5,AE$6&lt;=$D$104),-0.5,0))</calculatedColumnFormula>
    </tableColumn>
    <tableColumn id="34" xr3:uid="{00000000-0010-0000-0700-000022000000}" name="Columna16" dataDxfId="528"/>
    <tableColumn id="35" xr3:uid="{00000000-0010-0000-0700-000023000000}" name="Columna17" dataDxfId="527"/>
    <tableColumn id="36" xr3:uid="{00000000-0010-0000-0700-000024000000}" name="Columna173" dataDxfId="526"/>
    <tableColumn id="37" xr3:uid="{00000000-0010-0000-0700-000025000000}" name="Columna172" dataDxfId="525"/>
    <tableColumn id="38" xr3:uid="{00000000-0010-0000-0700-000026000000}" name="Columna18" dataDxfId="524">
      <calculatedColumnFormula>SUM(IF(AI8=AI$5,4,0),IF(AI8&amp;AJ8=AI$5&amp;AJ$5,1,0),
IF(AND(AI8=AI$5,AJ$6&gt;=$D$115),1,0),
IF(AND(AJ8=AI$5,AJ$6&gt;=$D$115),1,0),
IF(AND(AK8=AI$5,AJ$6&gt;=$D$115),1,0),
IF(AI8&amp;AL8=AM$5,1,0),
IF(AJ8=AI$5,2,0),
IF(AK8=AI$5,1,0),
IF(OR(AI8&amp;AJ8&amp;AK8=AI$5&amp;AJ$5&amp;AK$5,AI8&amp;AJ8&amp;AK8=AI$5&amp;AK$5&amp;AJ$5,AI8&amp;AJ8&amp;AK8=AJ$5&amp;AI$5&amp;AK$5,AI8&amp;AJ8&amp;AK8=AJ$5&amp;AK$5&amp;AI$5,AI8&amp;AJ8&amp;AK8=AK$5&amp;AI$5&amp;AJ$5,AI8&amp;AJ8&amp;AK8=AK$5&amp;AJ$5&amp;AI$5),2,0),IF(AND(AI8=AI$5,AJ$6&gt;=$D$129),1,0),IF(AND(AJ8=AI$5,AJ$6&gt;=$D$129),1,0),IF(AND(AK8=AI$5,AJ$6&gt;=$D$129),1,0),IF(AI8&amp;AL8=AL$5,4,0),IF(AND(AI8=AI$5,AJ$6&lt;=$D$104),-0.5,0),IF(AND(AJ8=AI$5,AJ$6&lt;=$D$104),-0.5,0),IF(AND(AK8=AI$5,AJ$6&lt;=$D$104),-0.5,0))</calculatedColumnFormula>
    </tableColumn>
    <tableColumn id="39" xr3:uid="{00000000-0010-0000-0700-000027000000}" name="123" dataDxfId="523"/>
    <tableColumn id="40" xr3:uid="{00000000-0010-0000-0700-000028000000}" name="555" dataDxfId="522"/>
    <tableColumn id="41" xr3:uid="{00000000-0010-0000-0700-000029000000}" name="556" dataDxfId="521"/>
    <tableColumn id="42" xr3:uid="{00000000-0010-0000-0700-00002A000000}" name="111" dataDxfId="520"/>
    <tableColumn id="43" xr3:uid="{00000000-0010-0000-0700-00002B000000}" name="Columna21" dataDxfId="519">
      <calculatedColumnFormula>SUM(IF(AN8=AN$5,4,0),IF(AN8&amp;AO8=AN$5&amp;AO$5,1,0),
IF(AND(AN8=AN$5,AO$6&gt;=$D$115),1,0),
IF(AND(AO8=AN$5,AO$6&gt;=$D$115),1,0),
IF(AND(AP8=AN$5,AO$6&gt;=$D$115),1,0),
IF(AN8&amp;AQ8=AR$5,1,0),
IF(AO8=AN$5,2,0),
IF(AP8=AN$5,1,0),
IF(OR(AN8&amp;AO8&amp;AP8=AN$5&amp;AO$5&amp;AP$5,AN8&amp;AO8&amp;AP8=AN$5&amp;AP$5&amp;AO$5,AN8&amp;AO8&amp;AP8=AO$5&amp;AN$5&amp;AP$5,AN8&amp;AO8&amp;AP8=AO$5&amp;AP$5&amp;AN$5,AN8&amp;AO8&amp;AP8=AP$5&amp;AN$5&amp;AO$5,AN8&amp;AO8&amp;AP8=AP$5&amp;AO$5&amp;AN$5),2,0),IF(AND(AN8=AN$5,AO$6&gt;=$D$129),1,0),IF(AND(AO8=AN$5,AO$6&gt;=$D$129),1,0),IF(AND(AP8=AN$5,AO$6&gt;=$D$129),1,0),IF(AN8&amp;AQ8=AQ$5,4,0),IF(AND(AN8=AN$5,AO$6&lt;=$D$104),-0.5,0),IF(AND(AO8=AN$5,AO$6&lt;=$D$104),-0.5,0),IF(AND(AP8=AN$5,AO$6&lt;=$D$104),-0.5,0))</calculatedColumnFormula>
    </tableColumn>
    <tableColumn id="44" xr3:uid="{00000000-0010-0000-0700-00002C000000}" name="AAAA" dataDxfId="518"/>
    <tableColumn id="45" xr3:uid="{00000000-0010-0000-0700-00002D000000}" name="BBBB" dataDxfId="517"/>
    <tableColumn id="46" xr3:uid="{00000000-0010-0000-0700-00002E000000}" name="Columna13" dataDxfId="516"/>
    <tableColumn id="47" xr3:uid="{00000000-0010-0000-0700-00002F000000}" name="CCCC" dataDxfId="515"/>
    <tableColumn id="48" xr3:uid="{00000000-0010-0000-0700-000030000000}" name="Columna24" dataDxfId="514">
      <calculatedColumnFormula>SUM(IF(AS8=AS$5,4,0),IF(AS8&amp;AT8=AS$5&amp;AT$5,1,0),
IF(AND(AS8=AS$5,AT$6&gt;=$D$115),1,0),
IF(AND(AT8=AS$5,AT$6&gt;=$D$115),1,0),
IF(AND(AU8=AS$5,AT$6&gt;=$D$115),1,0),
IF(AS8&amp;AV8=AW$5,1,0),
IF(AT8=AS$5,2,0),
IF(AU8=AS$5,1,0),
IF(OR(AS8&amp;AT8&amp;AU8=AS$5&amp;AT$5&amp;AU$5,AS8&amp;AT8&amp;AU8=AS$5&amp;AU$5&amp;AT$5,AS8&amp;AT8&amp;AU8=AT$5&amp;AS$5&amp;AU$5,AS8&amp;AT8&amp;AU8=AT$5&amp;AU$5&amp;AS$5,AS8&amp;AT8&amp;AU8=AU$5&amp;AS$5&amp;AT$5,AS8&amp;AT8&amp;AU8=AU$5&amp;AT$5&amp;AS$5),2,0),IF(AND(AS8=AS$5,AT$6&gt;=$D$129),1,0),IF(AND(AT8=AS$5,AT$6&gt;=$D$129),1,0),IF(AND(AU8=AS$5,AT$6&gt;=$D$129),1,0),IF(AS8&amp;AV8=AV$5,4,0),IF(AND(AS8=AS$5,AT$6&lt;=$D$104),-0.5,0),IF(AND(AT8=AS$5,AT$6&lt;=$D$104),-0.5,0),IF(AND(AU8=AS$5,AT$6&lt;=$D$104),-0.5,0))</calculatedColumnFormula>
    </tableColumn>
    <tableColumn id="49" xr3:uid="{00000000-0010-0000-0700-000031000000}" name="Columna25" dataDxfId="513"/>
    <tableColumn id="50" xr3:uid="{00000000-0010-0000-0700-000032000000}" name="Columna26" dataDxfId="512"/>
    <tableColumn id="51" xr3:uid="{00000000-0010-0000-0700-000033000000}" name="Columna263" dataDxfId="511"/>
    <tableColumn id="52" xr3:uid="{00000000-0010-0000-0700-000034000000}" name="Columna262" dataDxfId="510"/>
    <tableColumn id="53" xr3:uid="{00000000-0010-0000-0700-000035000000}" name="Columna27" dataDxfId="509">
      <calculatedColumnFormula>SUM(IF(AX8=AX$5,4,0),IF(AX8&amp;AY8=AX$5&amp;AY$5,1,0),
IF(AND(AX8=AX$5,AY$6&gt;=$D$115),1,0),
IF(AND(AY8=AX$5,AY$6&gt;=$D$115),1,0),
IF(AND(AZ8=AX$5,AY$6&gt;=$D$115),1,0),
IF(AX8&amp;BA8=BB$5,1,0),
IF(AY8=AX$5,2,0),
IF(AZ8=AX$5,1,0),
IF(OR(AX8&amp;AY8&amp;AZ8=AX$5&amp;AY$5&amp;AZ$5,AX8&amp;AY8&amp;AZ8=AX$5&amp;AZ$5&amp;AY$5,AX8&amp;AY8&amp;AZ8=AY$5&amp;AX$5&amp;AZ$5,AX8&amp;AY8&amp;AZ8=AY$5&amp;AZ$5&amp;AX$5,AX8&amp;AY8&amp;AZ8=AZ$5&amp;AX$5&amp;AY$5,AX8&amp;AY8&amp;AZ8=AZ$5&amp;AY$5&amp;AX$5),2,0),IF(AND(AX8=AX$5,AY$6&gt;=$D$129),1,0),IF(AND(AY8=AX$5,AY$6&gt;=$D$129),1,0),IF(AND(AZ8=AX$5,AY$6&gt;=$D$129),1,0),IF(AX8&amp;BA8=BA$5,4,0),IF(AND(AX8=AX$5,AY$6&lt;=$D$104),-0.5,0),IF(AND(AY8=AX$5,AY$6&lt;=$D$104),-0.5,0),IF(AND(AZ8=AX$5,AY$6&lt;=$D$104),-0.5,0))</calculatedColumnFormula>
    </tableColumn>
    <tableColumn id="54" xr3:uid="{00000000-0010-0000-0700-000036000000}" name="Columna272" dataDxfId="508"/>
    <tableColumn id="55" xr3:uid="{00000000-0010-0000-0700-000037000000}" name="Columna273" dataDxfId="507"/>
    <tableColumn id="56" xr3:uid="{00000000-0010-0000-0700-000038000000}" name="Columna2732" dataDxfId="506"/>
    <tableColumn id="57" xr3:uid="{00000000-0010-0000-0700-000039000000}" name="Columna274" dataDxfId="505"/>
    <tableColumn id="58" xr3:uid="{00000000-0010-0000-0700-00003A000000}" name="Columna275" dataDxfId="504">
      <calculatedColumnFormula>SUM(IF(BC8=BC$5,4,0),IF(BC8&amp;BD8=BC$5&amp;BD$5,1,0),
IF(AND(BC8=BC$5,BD$6&gt;=$D$115),1,0),
IF(AND(BD8=BC$5,BD$6&gt;=$D$115),1,0),
IF(AND(BE8=BC$5,BD$6&gt;=$D$115),1,0),
IF(BC8&amp;BF8=BG$5,1,0),
IF(BD8=BC$5,2,0),
IF(BE8=BC$5,1,0),
IF(OR(BC8&amp;BD8&amp;BE8=BC$5&amp;BD$5&amp;BE$5,BC8&amp;BD8&amp;BE8=BC$5&amp;BE$5&amp;BD$5,BC8&amp;BD8&amp;BE8=BD$5&amp;BC$5&amp;BE$5,BC8&amp;BD8&amp;BE8=BD$5&amp;BE$5&amp;BC$5,BC8&amp;BD8&amp;BE8=BE$5&amp;BC$5&amp;BD$5,BC8&amp;BD8&amp;BE8=BE$5&amp;BD$5&amp;BC$5),2,0),IF(AND(BC8=BC$5,BD$6&gt;=$D$129),1,0),IF(AND(BD8=BC$5,BD$6&gt;=$D$129),1,0),IF(AND(BE8=BC$5,BD$6&gt;=$D$129),1,0),IF(BC8&amp;BF8=BF$5,4,0),IF(AND(BC8=BC$5,BD$6&lt;=$D$104),-0.5,0),IF(AND(BD8=BC$5,BD$6&lt;=$D$104),-0.5,0),IF(AND(BE8=BC$5,BD$6&lt;=$D$104),-0.5,0))</calculatedColumnFormula>
    </tableColumn>
    <tableColumn id="59" xr3:uid="{00000000-0010-0000-0700-00003B000000}" name="Columna276" dataDxfId="503"/>
    <tableColumn id="60" xr3:uid="{00000000-0010-0000-0700-00003C000000}" name="Columna277" dataDxfId="502"/>
    <tableColumn id="61" xr3:uid="{00000000-0010-0000-0700-00003D000000}" name="Columna2772" dataDxfId="501"/>
    <tableColumn id="62" xr3:uid="{00000000-0010-0000-0700-00003E000000}" name="Columna278" dataDxfId="500"/>
    <tableColumn id="63" xr3:uid="{00000000-0010-0000-0700-00003F000000}" name="Columna279" dataDxfId="499">
      <calculatedColumnFormula>SUM(IF(BH8=BH$5,4,0),IF(BH8&amp;BI8=BH$5&amp;BI$5,1,0),
IF(AND(BH8=BH$5,BI$6&gt;=$D$115),1,0),
IF(AND(BI8=BH$5,BI$6&gt;=$D$115),1,0),
IF(AND(BJ8=BH$5,BI$6&gt;=$D$115),1,0),
IF(BH8&amp;BK8=BL$5,1,0),
IF(BI8=BH$5,2,0),
IF(BJ8=BH$5,1,0),
IF(OR(BH8&amp;BI8&amp;BJ8=BH$5&amp;BI$5&amp;BJ$5,BH8&amp;BI8&amp;BJ8=BH$5&amp;BJ$5&amp;BI$5,BH8&amp;BI8&amp;BJ8=BI$5&amp;BH$5&amp;BJ$5,BH8&amp;BI8&amp;BJ8=BI$5&amp;BJ$5&amp;BH$5,BH8&amp;BI8&amp;BJ8=BJ$5&amp;BH$5&amp;BI$5,BH8&amp;BI8&amp;BJ8=BJ$5&amp;BI$5&amp;BH$5),2,0),IF(AND(BH8=BH$5,BI$6&gt;=$D$129),1,0),IF(AND(BI8=BH$5,BI$6&gt;=$D$129),1,0),IF(AND(BJ8=BH$5,BI$6&gt;=$D$129),1,0),IF(BH8&amp;BK8=BK$5,4,0),IF(AND(BH8=BH$5,BI$6&lt;=$D$104),-0.5,0),IF(AND(BI8=BH$5,BI$6&lt;=$D$104),-0.5,0),IF(AND(BJ8=BH$5,BI$6&lt;=$D$104),-0.5,0))</calculatedColumnFormula>
    </tableColumn>
    <tableColumn id="64" xr3:uid="{00000000-0010-0000-0700-000040000000}" name="Columna280" dataDxfId="498"/>
    <tableColumn id="65" xr3:uid="{00000000-0010-0000-0700-000041000000}" name="Columna281" dataDxfId="497"/>
    <tableColumn id="66" xr3:uid="{00000000-0010-0000-0700-000042000000}" name="Columna2812" dataDxfId="496"/>
    <tableColumn id="67" xr3:uid="{00000000-0010-0000-0700-000043000000}" name="Columna282" dataDxfId="495"/>
    <tableColumn id="68" xr3:uid="{00000000-0010-0000-0700-000044000000}" name="Columna283" dataDxfId="494">
      <calculatedColumnFormula>SUM(IF(BM8=BM$5,4,0),IF(BM8&amp;BN8=BM$5&amp;BN$5,1,0),
IF(AND(BM8=BM$5,BN$6&gt;=$D$115),1,0),
IF(AND(BN8=BM$5,BN$6&gt;=$D$115),1,0),
IF(AND(BO8=BM$5,BN$6&gt;=$D$115),1,0),
IF(BM8&amp;BP8=BQ$5,1,0),
IF(BN8=BM$5,2,0),
IF(BO8=BM$5,1,0),
IF(OR(BM8&amp;BN8&amp;BO8=BM$5&amp;BN$5&amp;BO$5,BM8&amp;BN8&amp;BO8=BM$5&amp;BO$5&amp;BN$5,BM8&amp;BN8&amp;BO8=BN$5&amp;BM$5&amp;BO$5,BM8&amp;BN8&amp;BO8=BN$5&amp;BO$5&amp;BM$5,BM8&amp;BN8&amp;BO8=BO$5&amp;BM$5&amp;BN$5,BM8&amp;BN8&amp;BO8=BO$5&amp;BN$5&amp;BM$5),2,0),IF(AND(BM8=BM$5,BN$6&gt;=$D$129),1,0),IF(AND(BN8=BM$5,BN$6&gt;=$D$129),1,0),IF(AND(BO8=BM$5,BN$6&gt;=$D$129),1,0),IF(BM8&amp;BP8=BP$5,4,0),IF(AND(BM8=BM$5,BN$6&lt;=$D$104),-0.5,0),IF(AND(BN8=BM$5,BN$6&lt;=$D$104),-0.5,0),IF(AND(BO8=BM$5,BN$6&lt;=$D$104),-0.5,0))</calculatedColumnFormula>
    </tableColumn>
    <tableColumn id="69" xr3:uid="{00000000-0010-0000-0700-000045000000}" name="Columna2802" dataDxfId="493"/>
    <tableColumn id="70" xr3:uid="{00000000-0010-0000-0700-000046000000}" name="Columna2813" dataDxfId="492"/>
    <tableColumn id="71" xr3:uid="{00000000-0010-0000-0700-000047000000}" name="Columna28124" dataDxfId="491"/>
    <tableColumn id="72" xr3:uid="{00000000-0010-0000-0700-000048000000}" name="Columna2825" dataDxfId="490"/>
    <tableColumn id="73" xr3:uid="{00000000-0010-0000-0700-000049000000}" name="Columna28310" dataDxfId="489">
      <calculatedColumnFormula>SUM(IF(BR8=BR$5,4,0),IF(BR8&amp;BS8=BR$5&amp;BS$5,1,0),
IF(AND(BR8=BR$5,BS$6&gt;=$D$115),1,0),
IF(AND(BS8=BR$5,BS$6&gt;=$D$115),1,0),
IF(AND(BT8=BR$5,BS$6&gt;=$D$115),1,0),
IF(BR8&amp;BU8=BV$5,1,0),
IF(BS8=BR$5,2,0),
IF(BT8=BR$5,1,0),
IF(OR(BR8&amp;BS8&amp;BT8=BR$5&amp;BS$5&amp;BT$5,BR8&amp;BS8&amp;BT8=BR$5&amp;BT$5&amp;BS$5,BR8&amp;BS8&amp;BT8=BS$5&amp;BR$5&amp;BT$5,BR8&amp;BS8&amp;BT8=BS$5&amp;BT$5&amp;BR$5,BR8&amp;BS8&amp;BT8=BT$5&amp;BR$5&amp;BS$5,BR8&amp;BS8&amp;BT8=BT$5&amp;BS$5&amp;BR$5),2,0),IF(AND(BR8=BR$5,BS$6&gt;=$D$129),1,0),IF(AND(BS8=BR$5,BS$6&gt;=$D$129),1,0),IF(AND(BT8=BR$5,BS$6&gt;=$D$129),1,0),IF(BR8&amp;BU8=BU$5,4,0),IF(AND(BR8=BR$5,BS$6&lt;=$D$104),-0.5,0),IF(AND(BS8=BR$5,BS$6&lt;=$D$104),-0.5,0),IF(AND(BT8=BR$5,BS$6&lt;=$D$104),-0.5,0))</calculatedColumnFormula>
    </tableColumn>
    <tableColumn id="74" xr3:uid="{00000000-0010-0000-0700-00004A000000}" name="Columna2803" dataDxfId="488"/>
    <tableColumn id="75" xr3:uid="{00000000-0010-0000-0700-00004B000000}" name="Columna2814" dataDxfId="487"/>
    <tableColumn id="76" xr3:uid="{00000000-0010-0000-0700-00004C000000}" name="Columna28125" dataDxfId="486"/>
    <tableColumn id="77" xr3:uid="{00000000-0010-0000-0700-00004D000000}" name="Columna2826" dataDxfId="485"/>
    <tableColumn id="78" xr3:uid="{00000000-0010-0000-0700-00004E000000}" name="Columna2837" dataDxfId="484">
      <calculatedColumnFormula>SUM(IF(BW8=BW$5,4,0),IF(BW8&amp;BX8=BW$5&amp;BX$5,1,0),
IF(AND(BW8=BW$5,BX$6&gt;=$D$115),1,0),
IF(AND(BX8=BW$5,BX$6&gt;=$D$115),1,0),
IF(AND(BY8=BW$5,BX$6&gt;=$D$115),1,0),
IF(BW8&amp;BZ8=CA$5,1,0),
IF(BX8=BW$5,2,0),
IF(BY8=BW$5,1,0),
IF(OR(BW8&amp;BX8&amp;BY8=BW$5&amp;BX$5&amp;BY$5,BW8&amp;BX8&amp;BY8=BW$5&amp;BY$5&amp;BX$5,BW8&amp;BX8&amp;BY8=BX$5&amp;BW$5&amp;BY$5,BW8&amp;BX8&amp;BY8=BX$5&amp;BY$5&amp;BW$5,BW8&amp;BX8&amp;BY8=BY$5&amp;BW$5&amp;BX$5,BW8&amp;BX8&amp;BY8=BY$5&amp;BX$5&amp;BW$5),2,0),IF(AND(BW8=BW$5,BX$6&gt;=$D$129),1,0),IF(AND(BX8=BW$5,BX$6&gt;=$D$129),1,0),IF(AND(BY8=BW$5,BX$6&gt;=$D$129),1,0),IF(BW8&amp;BZ8=BZ$5,4,0),IF(AND(BW8=BW$5,BX$6&lt;=$D$104),-0.5,0),IF(AND(BX8=BW$5,BX$6&lt;=$D$104),-0.5,0),IF(AND(BY8=BW$5,BX$6&lt;=$D$104),-0.5,0))</calculatedColumnFormula>
    </tableColumn>
    <tableColumn id="79" xr3:uid="{00000000-0010-0000-0700-00004F000000}" name="Columna2804" dataDxfId="483"/>
    <tableColumn id="80" xr3:uid="{00000000-0010-0000-0700-000050000000}" name="Columna2815" dataDxfId="482"/>
    <tableColumn id="81" xr3:uid="{00000000-0010-0000-0700-000051000000}" name="Columna28126" dataDxfId="481"/>
    <tableColumn id="82" xr3:uid="{00000000-0010-0000-0700-000052000000}" name="Columna2827" dataDxfId="480"/>
    <tableColumn id="83" xr3:uid="{00000000-0010-0000-0700-000053000000}" name="Columna2838" dataDxfId="479">
      <calculatedColumnFormula>SUM(IF(CB8=CB$5,4,0),IF(CB8&amp;CC8=CB$5&amp;CC$5,1,0),
IF(AND(CB8=CB$5,CC$6&gt;=$D$115),1,0),
IF(AND(CC8=CB$5,CC$6&gt;=$D$115),1,0),
IF(AND(CD8=CB$5,CC$6&gt;=$D$115),1,0),
IF(CB8&amp;CE8=CF$5,1,0),
IF(CC8=CB$5,2,0),
IF(CD8=CB$5,1,0),
IF(OR(CB8&amp;CC8&amp;CD8=CB$5&amp;CC$5&amp;CD$5,CB8&amp;CC8&amp;CD8=CB$5&amp;CD$5&amp;CC$5,CB8&amp;CC8&amp;CD8=CC$5&amp;CB$5&amp;CD$5,CB8&amp;CC8&amp;CD8=CC$5&amp;CD$5&amp;CB$5,CB8&amp;CC8&amp;CD8=CD$5&amp;CB$5&amp;CC$5,CB8&amp;CC8&amp;CD8=CD$5&amp;CC$5&amp;CB$5),2,0),IF(AND(CB8=CB$5,CC$6&gt;=$D$129),1,0),IF(AND(CC8=CB$5,CC$6&gt;=$D$129),1,0),IF(AND(CD8=CB$5,CC$6&gt;=$D$129),1,0),IF(CB8&amp;CE8=CE$5,4,0),IF(AND(CB8=CB$5,CC$6&lt;=$D$104),-0.5,0),IF(AND(CC8=CB$5,CC$6&lt;=$D$104),-0.5,0),IF(AND(CD8=CB$5,CC$6&lt;=$D$104),-0.5,0))</calculatedColumnFormula>
    </tableColumn>
    <tableColumn id="84" xr3:uid="{00000000-0010-0000-0700-000054000000}" name="Columna14" dataDxfId="478">
      <calculatedColumnFormula>IF(SEMANA29[[#This Row],[1]]="",0,$B$4)</calculatedColumnFormula>
    </tableColumn>
    <tableColumn id="85" xr3:uid="{00000000-0010-0000-0700-000055000000}" name="Columna19" dataDxfId="477">
      <calculatedColumnFormula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calculatedColumnFormula>
    </tableColumn>
    <tableColumn id="86" xr3:uid="{00000000-0010-0000-0700-000056000000}" name="Columna20" dataDxfId="476" dataCellStyle="Porcentaje">
      <calculatedColumnFormula>IF(SEMANA29[[#This Row],[Columna14]]=0,0,(CH8/CG8))</calculatedColumnFormula>
    </tableColumn>
    <tableColumn id="87" xr3:uid="{00000000-0010-0000-0700-000057000000}" name="Columna29" dataDxfId="475">
      <calculatedColumnFormula>IF(SEMANA29[[#This Row],[1]]="",0,$B$4)</calculatedColumnFormula>
    </tableColumn>
    <tableColumn id="88" xr3:uid="{00000000-0010-0000-0700-000058000000}" name="Columna30" dataDxfId="474">
      <calculatedColumnFormula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calculatedColumnFormula>
    </tableColumn>
    <tableColumn id="89" xr3:uid="{00000000-0010-0000-0700-000059000000}" name="Columna31" dataDxfId="473" dataCellStyle="Porcentaje">
      <calculatedColumnFormula>IF(SEMANA29[[#This Row],[Columna14]]=0,0,(CK8/CJ8))</calculatedColumnFormula>
    </tableColumn>
    <tableColumn id="90" xr3:uid="{00000000-0010-0000-0700-00005A000000}" name="Columna32" dataDxfId="472">
      <calculatedColumnFormula>IF(SEMANA29[[#This Row],[1]]="",0,$B$4)</calculatedColumnFormula>
    </tableColumn>
    <tableColumn id="91" xr3:uid="{00000000-0010-0000-0700-00005B000000}" name="Columna34" dataDxfId="471">
      <calculatedColumnFormula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calculatedColumnFormula>
    </tableColumn>
    <tableColumn id="92" xr3:uid="{00000000-0010-0000-0700-00005C000000}" name="Columna35" dataDxfId="470" dataCellStyle="Porcentaje">
      <calculatedColumnFormula>IF(SEMANA29[[#This Row],[Columna14]]=0,0,(CN8/CM8))</calculatedColumnFormula>
    </tableColumn>
    <tableColumn id="93" xr3:uid="{00000000-0010-0000-0700-00005D000000}" name="Columna36" dataDxfId="469">
      <calculatedColumnFormula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calculatedColumnFormula>
    </tableColumn>
    <tableColumn id="94" xr3:uid="{00000000-0010-0000-0700-00005E000000}" name="Columna37" dataDxfId="468">
      <calculatedColumnFormula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Row],[Columna25]],$AX$5,BA8,"SF")+COUNTIFS(SEMANA29[[#This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calculatedColumnFormula>
    </tableColumn>
    <tableColumn id="95" xr3:uid="{00000000-0010-0000-0700-00005F000000}" name="Columna38" dataDxfId="467" dataCellStyle="Porcentaje">
      <calculatedColumnFormula>IFERROR(IF(SEMANA29[[#This Row],[Columna14]]=0,0,(CQ8/CP8)),0)</calculatedColumnFormula>
    </tableColumn>
    <tableColumn id="96" xr3:uid="{00000000-0010-0000-0700-000060000000}" name="Columna1" dataDxfId="466">
      <calculatedColumnFormula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calculatedColumnFormula>
    </tableColumn>
    <tableColumn id="97" xr3:uid="{00000000-0010-0000-0700-000061000000}" name="Columna22" dataDxfId="465">
      <calculatedColumnFormula>_xlfn.XLOOKUP(SEMANA29[[#This Row],[COD]],SEMANA2[COD],SEMANA2[Columna33])</calculatedColumnFormula>
    </tableColumn>
    <tableColumn id="98" xr3:uid="{00000000-0010-0000-0700-000062000000}" name="Columna33" dataDxfId="464">
      <calculatedColumnFormula>SUM(CS8,CT8)</calculatedColumnFormula>
    </tableColumn>
    <tableColumn id="99" xr3:uid="{00000000-0010-0000-0700-000063000000}" name="Columna44" dataDxfId="463">
      <calculatedColumnFormula>IF(SEMANA29[[#This Row],[TIPO]]="PREMIO",$O$3,"0,00")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IVID210" displayName="DIVID210" ref="B101:D129" totalsRowShown="0">
  <autoFilter ref="B101:D129" xr:uid="{00000000-0009-0000-0100-000009000000}"/>
  <tableColumns count="3">
    <tableColumn id="1" xr3:uid="{00000000-0010-0000-0800-000001000000}" name="FACTOR" dataDxfId="462"/>
    <tableColumn id="2" xr3:uid="{00000000-0010-0000-0800-000002000000}" name="DIVIDENDO" dataDxfId="461"/>
    <tableColumn id="3" xr3:uid="{00000000-0010-0000-0800-000003000000}" name="BS" dataDxfId="460">
      <calculatedColumnFormula>(DIVIDENDO[[#This Row],[FACTOR]]*$H$101)+$H$101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IV_GAN_SEM_211" displayName="DIV_GAN_SEM_211" ref="CY7:CZ23" totalsRowShown="0">
  <autoFilter ref="CY7:CZ23" xr:uid="{00000000-0009-0000-0100-00000A000000}"/>
  <tableColumns count="2">
    <tableColumn id="1" xr3:uid="{00000000-0010-0000-0900-000001000000}" name="CARRERA" dataDxfId="459"/>
    <tableColumn id="2" xr3:uid="{00000000-0010-0000-0900-000002000000}" name="DIVIDENDO" dataDxfId="45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Relationship Id="rId4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tabSelected="1" topLeftCell="A26" workbookViewId="0">
      <selection activeCell="G33" sqref="G33"/>
    </sheetView>
  </sheetViews>
  <sheetFormatPr baseColWidth="10" defaultRowHeight="15" x14ac:dyDescent="0.25"/>
  <cols>
    <col min="1" max="1" width="2.85546875" style="514" customWidth="1"/>
    <col min="2" max="2" width="9.7109375" style="514" customWidth="1"/>
    <col min="3" max="3" width="45.7109375" style="514" customWidth="1"/>
    <col min="4" max="4" width="22" style="4" customWidth="1"/>
    <col min="5" max="11" width="6.28515625" style="351" customWidth="1"/>
    <col min="12" max="12" width="6.28515625" style="514" customWidth="1"/>
    <col min="13" max="17" width="5.7109375" style="514" customWidth="1"/>
    <col min="18" max="18" width="12.28515625" style="514" customWidth="1"/>
    <col min="19" max="19" width="14.28515625" style="514" customWidth="1"/>
    <col min="20" max="20" width="11.85546875" style="514" customWidth="1"/>
    <col min="21" max="21" width="12.140625" style="514" customWidth="1"/>
    <col min="22" max="22" width="10.28515625" style="351" customWidth="1"/>
    <col min="23" max="23" width="2.7109375" style="514" customWidth="1"/>
  </cols>
  <sheetData>
    <row r="1" spans="1:24" ht="12" customHeight="1" x14ac:dyDescent="0.25">
      <c r="B1" s="1"/>
      <c r="C1" s="1"/>
      <c r="D1" s="2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4" s="515" customFormat="1" ht="37.5" customHeight="1" x14ac:dyDescent="0.25">
      <c r="B2" s="10" t="s">
        <v>0</v>
      </c>
      <c r="C2" s="11"/>
      <c r="D2" s="12" t="s">
        <v>1</v>
      </c>
      <c r="E2" s="13"/>
      <c r="F2" s="45" t="s">
        <v>2</v>
      </c>
      <c r="G2" s="16"/>
      <c r="H2" s="23">
        <v>1000</v>
      </c>
      <c r="I2" s="17"/>
      <c r="J2" s="16" t="s">
        <v>3</v>
      </c>
      <c r="K2" s="16"/>
      <c r="L2" s="18"/>
      <c r="M2" s="19">
        <v>15999</v>
      </c>
      <c r="N2" s="20"/>
      <c r="O2" s="20"/>
      <c r="P2" s="44" t="s">
        <v>4</v>
      </c>
      <c r="Q2" s="16"/>
      <c r="R2" s="519">
        <v>3000</v>
      </c>
      <c r="S2" s="46" t="s">
        <v>5</v>
      </c>
      <c r="T2" s="21">
        <v>8</v>
      </c>
      <c r="U2" s="22" t="s">
        <v>6</v>
      </c>
      <c r="V2" s="21">
        <v>20</v>
      </c>
      <c r="X2" s="70" t="s">
        <v>7</v>
      </c>
    </row>
    <row r="3" spans="1:24" ht="63" customHeight="1" x14ac:dyDescent="0.25">
      <c r="A3" s="517" t="s">
        <v>8</v>
      </c>
      <c r="B3" s="518" t="s">
        <v>9</v>
      </c>
      <c r="C3" s="43" t="s">
        <v>10</v>
      </c>
      <c r="D3" s="35" t="s">
        <v>11</v>
      </c>
      <c r="E3" s="36" t="s">
        <v>12</v>
      </c>
      <c r="F3" s="37" t="s">
        <v>13</v>
      </c>
      <c r="G3" s="36" t="s">
        <v>14</v>
      </c>
      <c r="H3" s="36" t="s">
        <v>15</v>
      </c>
      <c r="I3" s="36" t="s">
        <v>16</v>
      </c>
      <c r="J3" s="36" t="s">
        <v>17</v>
      </c>
      <c r="K3" s="36" t="s">
        <v>18</v>
      </c>
      <c r="L3" s="36" t="s">
        <v>19</v>
      </c>
      <c r="M3" s="36" t="s">
        <v>20</v>
      </c>
      <c r="N3" s="38" t="s">
        <v>21</v>
      </c>
      <c r="O3" s="39" t="s">
        <v>22</v>
      </c>
      <c r="P3" s="39" t="s">
        <v>23</v>
      </c>
      <c r="Q3" s="39" t="s">
        <v>24</v>
      </c>
      <c r="R3" s="40" t="s">
        <v>25</v>
      </c>
      <c r="S3" s="41" t="s">
        <v>26</v>
      </c>
      <c r="T3" s="42" t="s">
        <v>27</v>
      </c>
      <c r="U3" s="42" t="s">
        <v>28</v>
      </c>
      <c r="V3" s="47" t="s">
        <v>3</v>
      </c>
      <c r="X3" s="71">
        <v>4</v>
      </c>
    </row>
    <row r="4" spans="1:24" ht="21.75" customHeight="1" x14ac:dyDescent="0.3">
      <c r="A4" s="516">
        <f t="shared" ref="A4:A35" si="0">A3+1</f>
        <v>1</v>
      </c>
      <c r="B4" s="520" t="s">
        <v>29</v>
      </c>
      <c r="C4" s="7" t="s">
        <v>30</v>
      </c>
      <c r="D4" s="68">
        <v>3000</v>
      </c>
      <c r="E4" s="6" t="s">
        <v>31</v>
      </c>
      <c r="F4" s="6" t="s">
        <v>31</v>
      </c>
      <c r="G4" s="6" t="s">
        <v>31</v>
      </c>
      <c r="H4" s="6"/>
      <c r="I4" s="6"/>
      <c r="J4" s="6"/>
      <c r="K4" s="6"/>
      <c r="L4" s="6"/>
      <c r="M4" s="63"/>
      <c r="N4" s="64"/>
      <c r="O4" s="65"/>
      <c r="P4" s="65"/>
      <c r="Q4" s="65"/>
      <c r="R4" s="24">
        <f t="shared" ref="R4:R35" si="1">COUNTIF(E4:Q4,"X")</f>
        <v>3</v>
      </c>
      <c r="S4" s="26">
        <f>(($H$2-($H$2*0.2))/3)*CONTROL!$R4</f>
        <v>800</v>
      </c>
      <c r="T4" s="27">
        <f>((CONTROL!$R4*$H$2)*26.66666%)+IF(V4="SI",$M$2/$V$2,0)</f>
        <v>1599.9497999999999</v>
      </c>
      <c r="U4" s="28">
        <f t="shared" ref="U4:U35" si="2">SUMIFS(E$56:Q$56,E4:Q4,"X")+IF(V4="SI",$M$2,0)</f>
        <v>38665.660999999993</v>
      </c>
      <c r="V4" s="48" t="s">
        <v>32</v>
      </c>
    </row>
    <row r="5" spans="1:24" ht="21" customHeight="1" x14ac:dyDescent="0.3">
      <c r="A5" s="516">
        <f t="shared" si="0"/>
        <v>2</v>
      </c>
      <c r="B5" s="520" t="s">
        <v>33</v>
      </c>
      <c r="C5" s="7" t="s">
        <v>34</v>
      </c>
      <c r="D5" s="68">
        <v>3000</v>
      </c>
      <c r="E5" s="6" t="s">
        <v>31</v>
      </c>
      <c r="F5" s="6" t="s">
        <v>31</v>
      </c>
      <c r="G5" s="6"/>
      <c r="H5" s="6"/>
      <c r="I5" s="6"/>
      <c r="J5" s="6"/>
      <c r="K5" s="6"/>
      <c r="L5" s="6"/>
      <c r="M5" s="63"/>
      <c r="N5" s="65"/>
      <c r="O5" s="65"/>
      <c r="P5" s="65"/>
      <c r="Q5" s="65"/>
      <c r="R5" s="24">
        <f t="shared" si="1"/>
        <v>2</v>
      </c>
      <c r="S5" s="26">
        <f>(($H$2-($H$2*0.2))/3)*CONTROL!$R5</f>
        <v>533.33333333333337</v>
      </c>
      <c r="T5" s="27">
        <f>((CONTROL!$R5*$H$2)*26.66666%)+IF(V5="SI",$M$2/$V$2,0)</f>
        <v>1333.2831999999999</v>
      </c>
      <c r="U5" s="28">
        <f t="shared" si="2"/>
        <v>35198.995199999998</v>
      </c>
      <c r="V5" s="48" t="s">
        <v>32</v>
      </c>
    </row>
    <row r="6" spans="1:24" ht="21" customHeight="1" x14ac:dyDescent="0.3">
      <c r="A6" s="516">
        <f t="shared" si="0"/>
        <v>3</v>
      </c>
      <c r="B6" s="520" t="s">
        <v>35</v>
      </c>
      <c r="C6" s="7" t="s">
        <v>36</v>
      </c>
      <c r="D6" s="68">
        <v>3000</v>
      </c>
      <c r="E6" s="6" t="s">
        <v>31</v>
      </c>
      <c r="F6" s="6" t="s">
        <v>31</v>
      </c>
      <c r="G6" s="6" t="s">
        <v>31</v>
      </c>
      <c r="H6" s="6"/>
      <c r="I6" s="6"/>
      <c r="J6" s="6"/>
      <c r="K6" s="6"/>
      <c r="L6" s="6"/>
      <c r="M6" s="63"/>
      <c r="N6" s="65"/>
      <c r="O6" s="65"/>
      <c r="P6" s="65"/>
      <c r="Q6" s="65"/>
      <c r="R6" s="24">
        <f t="shared" si="1"/>
        <v>3</v>
      </c>
      <c r="S6" s="26">
        <f>(($H$2-($H$2*0.2))/3)*CONTROL!$R6</f>
        <v>800</v>
      </c>
      <c r="T6" s="27">
        <f>((CONTROL!$R6*$H$2)*26.66666%)+IF(V6="SI",$M$2/$V$2,0)</f>
        <v>1599.9497999999999</v>
      </c>
      <c r="U6" s="28">
        <f t="shared" si="2"/>
        <v>38665.660999999993</v>
      </c>
      <c r="V6" s="48" t="s">
        <v>32</v>
      </c>
    </row>
    <row r="7" spans="1:24" ht="21" customHeight="1" x14ac:dyDescent="0.3">
      <c r="A7" s="516">
        <f t="shared" si="0"/>
        <v>4</v>
      </c>
      <c r="B7" s="520" t="s">
        <v>37</v>
      </c>
      <c r="C7" s="7" t="s">
        <v>38</v>
      </c>
      <c r="D7" s="68">
        <v>3000</v>
      </c>
      <c r="E7" s="6" t="s">
        <v>31</v>
      </c>
      <c r="F7" s="6" t="s">
        <v>31</v>
      </c>
      <c r="G7" s="6" t="s">
        <v>31</v>
      </c>
      <c r="H7" s="6" t="s">
        <v>39</v>
      </c>
      <c r="I7" s="6" t="s">
        <v>39</v>
      </c>
      <c r="J7" s="6"/>
      <c r="K7" s="6"/>
      <c r="L7" s="6"/>
      <c r="M7" s="63"/>
      <c r="N7" s="65"/>
      <c r="O7" s="65"/>
      <c r="P7" s="65"/>
      <c r="Q7" s="65"/>
      <c r="R7" s="24">
        <f t="shared" si="1"/>
        <v>3</v>
      </c>
      <c r="S7" s="26">
        <f>(($H$2-($H$2*0.2))/3)*CONTROL!$R7</f>
        <v>800</v>
      </c>
      <c r="T7" s="27">
        <f>((CONTROL!$R7*$H$2)*26.66666%)+IF(V7="SI",$M$2/$V$2,0)</f>
        <v>1599.9497999999999</v>
      </c>
      <c r="U7" s="28">
        <f t="shared" si="2"/>
        <v>38665.660999999993</v>
      </c>
      <c r="V7" s="48" t="s">
        <v>32</v>
      </c>
    </row>
    <row r="8" spans="1:24" ht="21" customHeight="1" x14ac:dyDescent="0.3">
      <c r="A8" s="516">
        <f t="shared" si="0"/>
        <v>5</v>
      </c>
      <c r="B8" s="520" t="s">
        <v>40</v>
      </c>
      <c r="C8" s="7" t="s">
        <v>41</v>
      </c>
      <c r="D8" s="68">
        <v>3000</v>
      </c>
      <c r="E8" s="6" t="s">
        <v>31</v>
      </c>
      <c r="F8" s="6" t="s">
        <v>31</v>
      </c>
      <c r="G8" s="6"/>
      <c r="H8" s="6"/>
      <c r="I8" s="6"/>
      <c r="J8" s="6"/>
      <c r="K8" s="6"/>
      <c r="L8" s="6"/>
      <c r="M8" s="63"/>
      <c r="N8" s="65"/>
      <c r="O8" s="65"/>
      <c r="P8" s="65"/>
      <c r="Q8" s="65"/>
      <c r="R8" s="24">
        <f t="shared" si="1"/>
        <v>2</v>
      </c>
      <c r="S8" s="26">
        <f>(($H$2-($H$2*0.2))/3)*CONTROL!$R8</f>
        <v>533.33333333333337</v>
      </c>
      <c r="T8" s="27">
        <f>((CONTROL!$R8*$H$2)*26.66666%)+IF(V8="SI",$M$2/$V$2,0)</f>
        <v>1333.2831999999999</v>
      </c>
      <c r="U8" s="28">
        <f t="shared" si="2"/>
        <v>35198.995199999998</v>
      </c>
      <c r="V8" s="48" t="s">
        <v>32</v>
      </c>
    </row>
    <row r="9" spans="1:24" ht="21" customHeight="1" x14ac:dyDescent="0.3">
      <c r="A9" s="516">
        <f t="shared" si="0"/>
        <v>6</v>
      </c>
      <c r="B9" s="520" t="s">
        <v>42</v>
      </c>
      <c r="C9" s="7" t="s">
        <v>43</v>
      </c>
      <c r="D9" s="68">
        <v>3000</v>
      </c>
      <c r="E9" s="6" t="s">
        <v>31</v>
      </c>
      <c r="F9" s="6" t="s">
        <v>31</v>
      </c>
      <c r="G9" s="6" t="s">
        <v>31</v>
      </c>
      <c r="H9" s="6" t="s">
        <v>39</v>
      </c>
      <c r="I9" s="6" t="s">
        <v>39</v>
      </c>
      <c r="J9" s="6" t="s">
        <v>39</v>
      </c>
      <c r="K9" s="6" t="s">
        <v>39</v>
      </c>
      <c r="L9" s="6" t="s">
        <v>39</v>
      </c>
      <c r="M9" s="63"/>
      <c r="N9" s="65"/>
      <c r="O9" s="65"/>
      <c r="P9" s="65"/>
      <c r="Q9" s="65"/>
      <c r="R9" s="24">
        <f t="shared" si="1"/>
        <v>3</v>
      </c>
      <c r="S9" s="26">
        <f>(($H$2-($H$2*0.2))/3)*CONTROL!$R9</f>
        <v>800</v>
      </c>
      <c r="T9" s="27">
        <f>((CONTROL!$R9*$H$2)*26.66666%)+IF(V9="SI",$M$2/$V$2,0)</f>
        <v>799.99979999999994</v>
      </c>
      <c r="U9" s="28">
        <f t="shared" si="2"/>
        <v>22666.660999999996</v>
      </c>
      <c r="V9" s="48" t="s">
        <v>44</v>
      </c>
    </row>
    <row r="10" spans="1:24" ht="21" customHeight="1" x14ac:dyDescent="0.3">
      <c r="A10" s="516">
        <f t="shared" si="0"/>
        <v>7</v>
      </c>
      <c r="B10" s="520" t="s">
        <v>45</v>
      </c>
      <c r="C10" s="7" t="s">
        <v>46</v>
      </c>
      <c r="D10" s="68">
        <v>3000</v>
      </c>
      <c r="E10" s="6" t="s">
        <v>31</v>
      </c>
      <c r="F10" s="6" t="s">
        <v>31</v>
      </c>
      <c r="G10" s="6" t="s">
        <v>31</v>
      </c>
      <c r="H10" s="6"/>
      <c r="I10" s="6"/>
      <c r="J10" s="6"/>
      <c r="K10" s="6"/>
      <c r="L10" s="6"/>
      <c r="M10" s="63"/>
      <c r="N10" s="65"/>
      <c r="O10" s="65"/>
      <c r="P10" s="65"/>
      <c r="Q10" s="65"/>
      <c r="R10" s="24">
        <f t="shared" si="1"/>
        <v>3</v>
      </c>
      <c r="S10" s="26">
        <f>(($H$2-($H$2*0.2))/3)*CONTROL!$R10</f>
        <v>800</v>
      </c>
      <c r="T10" s="27">
        <f>((CONTROL!$R10*$H$2)*26.66666%)+IF(V10="SI",$M$2/$V$2,0)</f>
        <v>1599.9497999999999</v>
      </c>
      <c r="U10" s="28">
        <f t="shared" si="2"/>
        <v>38665.660999999993</v>
      </c>
      <c r="V10" s="48" t="s">
        <v>32</v>
      </c>
    </row>
    <row r="11" spans="1:24" ht="21" customHeight="1" x14ac:dyDescent="0.3">
      <c r="A11" s="516">
        <f t="shared" si="0"/>
        <v>8</v>
      </c>
      <c r="B11" s="520" t="s">
        <v>47</v>
      </c>
      <c r="C11" s="7" t="s">
        <v>48</v>
      </c>
      <c r="D11" s="68">
        <v>3000</v>
      </c>
      <c r="E11" s="6" t="s">
        <v>31</v>
      </c>
      <c r="F11" s="6" t="s">
        <v>31</v>
      </c>
      <c r="G11" s="6"/>
      <c r="H11" s="6"/>
      <c r="I11" s="6"/>
      <c r="J11" s="6"/>
      <c r="K11" s="6"/>
      <c r="L11" s="6"/>
      <c r="M11" s="63"/>
      <c r="N11" s="65"/>
      <c r="O11" s="65"/>
      <c r="P11" s="65"/>
      <c r="Q11" s="65"/>
      <c r="R11" s="24">
        <f t="shared" si="1"/>
        <v>2</v>
      </c>
      <c r="S11" s="26">
        <f>(($H$2-($H$2*0.2))/3)*CONTROL!$R11</f>
        <v>533.33333333333337</v>
      </c>
      <c r="T11" s="27">
        <f>((CONTROL!$R11*$H$2)*26.66666%)+IF(V11="SI",$M$2/$V$2,0)</f>
        <v>1333.2831999999999</v>
      </c>
      <c r="U11" s="28">
        <f t="shared" si="2"/>
        <v>35198.995199999998</v>
      </c>
      <c r="V11" s="48" t="s">
        <v>32</v>
      </c>
    </row>
    <row r="12" spans="1:24" ht="21" customHeight="1" x14ac:dyDescent="0.3">
      <c r="A12" s="516">
        <f t="shared" si="0"/>
        <v>9</v>
      </c>
      <c r="B12" s="520" t="s">
        <v>49</v>
      </c>
      <c r="C12" s="7" t="s">
        <v>50</v>
      </c>
      <c r="D12" s="68">
        <v>3000</v>
      </c>
      <c r="E12" s="6" t="s">
        <v>31</v>
      </c>
      <c r="F12" s="6" t="s">
        <v>31</v>
      </c>
      <c r="G12" s="6"/>
      <c r="H12" s="6"/>
      <c r="I12" s="6"/>
      <c r="J12" s="6"/>
      <c r="K12" s="6"/>
      <c r="L12" s="6"/>
      <c r="M12" s="63"/>
      <c r="N12" s="64"/>
      <c r="O12" s="65"/>
      <c r="P12" s="65"/>
      <c r="Q12" s="65"/>
      <c r="R12" s="24">
        <f t="shared" si="1"/>
        <v>2</v>
      </c>
      <c r="S12" s="26">
        <f>(($H$2-($H$2*0.2))/3)*CONTROL!$R12</f>
        <v>533.33333333333337</v>
      </c>
      <c r="T12" s="27">
        <f>((CONTROL!$R12*$H$2)*26.66666%)+IF(V12="SI",$M$2/$V$2,0)</f>
        <v>1333.2831999999999</v>
      </c>
      <c r="U12" s="28">
        <f t="shared" si="2"/>
        <v>35198.995199999998</v>
      </c>
      <c r="V12" s="48" t="s">
        <v>32</v>
      </c>
    </row>
    <row r="13" spans="1:24" ht="21" customHeight="1" x14ac:dyDescent="0.3">
      <c r="A13" s="516">
        <f t="shared" si="0"/>
        <v>10</v>
      </c>
      <c r="B13" s="520" t="s">
        <v>51</v>
      </c>
      <c r="C13" s="7" t="s">
        <v>52</v>
      </c>
      <c r="D13" s="68">
        <v>3000</v>
      </c>
      <c r="E13" s="6" t="s">
        <v>31</v>
      </c>
      <c r="F13" s="6" t="s">
        <v>31</v>
      </c>
      <c r="G13" s="6" t="s">
        <v>31</v>
      </c>
      <c r="H13" s="6"/>
      <c r="I13" s="6"/>
      <c r="J13" s="6"/>
      <c r="K13" s="6"/>
      <c r="L13" s="6"/>
      <c r="M13" s="63"/>
      <c r="N13" s="65"/>
      <c r="O13" s="65"/>
      <c r="P13" s="65"/>
      <c r="Q13" s="65"/>
      <c r="R13" s="24">
        <f t="shared" si="1"/>
        <v>3</v>
      </c>
      <c r="S13" s="26">
        <f>(($H$2-($H$2*0.2))/3)*CONTROL!$R13</f>
        <v>800</v>
      </c>
      <c r="T13" s="27">
        <f>((CONTROL!$R13*$H$2)*26.66666%)+IF(V13="SI",$M$2/$V$2,0)</f>
        <v>1599.9497999999999</v>
      </c>
      <c r="U13" s="28">
        <f t="shared" si="2"/>
        <v>38665.660999999993</v>
      </c>
      <c r="V13" s="48" t="s">
        <v>32</v>
      </c>
    </row>
    <row r="14" spans="1:24" ht="21" customHeight="1" x14ac:dyDescent="0.3">
      <c r="A14" s="516">
        <f t="shared" si="0"/>
        <v>11</v>
      </c>
      <c r="B14" s="520" t="s">
        <v>53</v>
      </c>
      <c r="C14" s="7" t="s">
        <v>54</v>
      </c>
      <c r="D14" s="68">
        <v>3000</v>
      </c>
      <c r="E14" s="6" t="s">
        <v>31</v>
      </c>
      <c r="F14" s="6" t="s">
        <v>31</v>
      </c>
      <c r="G14" s="6"/>
      <c r="H14" s="6"/>
      <c r="I14" s="6"/>
      <c r="J14" s="6"/>
      <c r="K14" s="6"/>
      <c r="L14" s="6"/>
      <c r="M14" s="63"/>
      <c r="N14" s="65"/>
      <c r="O14" s="65"/>
      <c r="P14" s="65"/>
      <c r="Q14" s="65"/>
      <c r="R14" s="24">
        <f t="shared" si="1"/>
        <v>2</v>
      </c>
      <c r="S14" s="26">
        <f>(($H$2-($H$2*0.2))/3)*CONTROL!$R14</f>
        <v>533.33333333333337</v>
      </c>
      <c r="T14" s="27">
        <f>((CONTROL!$R14*$H$2)*26.66666%)+IF(V14="SI",$M$2/$V$2,0)</f>
        <v>1333.2831999999999</v>
      </c>
      <c r="U14" s="28">
        <f t="shared" si="2"/>
        <v>35198.995199999998</v>
      </c>
      <c r="V14" s="48" t="s">
        <v>32</v>
      </c>
    </row>
    <row r="15" spans="1:24" ht="21" customHeight="1" x14ac:dyDescent="0.3">
      <c r="A15" s="516">
        <f t="shared" si="0"/>
        <v>12</v>
      </c>
      <c r="B15" s="520" t="s">
        <v>55</v>
      </c>
      <c r="C15" s="7"/>
      <c r="D15" s="68"/>
      <c r="E15" s="6"/>
      <c r="F15" s="6"/>
      <c r="G15" s="6"/>
      <c r="H15" s="6"/>
      <c r="I15" s="6"/>
      <c r="J15" s="6"/>
      <c r="K15" s="6"/>
      <c r="L15" s="6"/>
      <c r="M15" s="63"/>
      <c r="N15" s="65"/>
      <c r="O15" s="65"/>
      <c r="P15" s="65"/>
      <c r="Q15" s="65"/>
      <c r="R15" s="24">
        <f t="shared" si="1"/>
        <v>0</v>
      </c>
      <c r="S15" s="26">
        <f>(($H$2-($H$2*0.2))/3)*CONTROL!$R15</f>
        <v>0</v>
      </c>
      <c r="T15" s="27">
        <f>((CONTROL!$R15*$H$2)*26.66666%)+IF(V15="SI",$M$2/$V$2,0)</f>
        <v>0</v>
      </c>
      <c r="U15" s="28">
        <f t="shared" si="2"/>
        <v>0</v>
      </c>
      <c r="V15" s="48" t="s">
        <v>44</v>
      </c>
    </row>
    <row r="16" spans="1:24" ht="21" customHeight="1" x14ac:dyDescent="0.3">
      <c r="A16" s="516">
        <f t="shared" si="0"/>
        <v>13</v>
      </c>
      <c r="B16" s="520" t="s">
        <v>56</v>
      </c>
      <c r="C16" s="7" t="s">
        <v>57</v>
      </c>
      <c r="D16" s="68">
        <v>0</v>
      </c>
      <c r="E16" s="6">
        <v>0</v>
      </c>
      <c r="F16" s="6">
        <v>0</v>
      </c>
      <c r="G16" s="6">
        <v>0</v>
      </c>
      <c r="H16" s="6"/>
      <c r="I16" s="6"/>
      <c r="J16" s="6"/>
      <c r="K16" s="6"/>
      <c r="L16" s="6"/>
      <c r="M16" s="63"/>
      <c r="N16" s="65"/>
      <c r="O16" s="65"/>
      <c r="P16" s="65"/>
      <c r="Q16" s="65"/>
      <c r="R16" s="24">
        <f t="shared" si="1"/>
        <v>0</v>
      </c>
      <c r="S16" s="26">
        <f>(($H$2-($H$2*0.2))/3)*CONTROL!$R16</f>
        <v>0</v>
      </c>
      <c r="T16" s="27">
        <f>((CONTROL!$R16*$H$2)*26.66666%)+IF(V16="SI",$M$2/$V$2,0)</f>
        <v>0</v>
      </c>
      <c r="U16" s="28">
        <f t="shared" si="2"/>
        <v>0</v>
      </c>
      <c r="V16" s="48" t="s">
        <v>44</v>
      </c>
    </row>
    <row r="17" spans="1:22" ht="21" customHeight="1" x14ac:dyDescent="0.3">
      <c r="A17" s="516">
        <f t="shared" si="0"/>
        <v>14</v>
      </c>
      <c r="B17" s="520" t="s">
        <v>58</v>
      </c>
      <c r="C17" s="7" t="s">
        <v>59</v>
      </c>
      <c r="D17" s="68">
        <v>3000</v>
      </c>
      <c r="E17" s="6" t="s">
        <v>31</v>
      </c>
      <c r="F17" s="6" t="s">
        <v>31</v>
      </c>
      <c r="G17" s="6"/>
      <c r="H17" s="6"/>
      <c r="I17" s="6"/>
      <c r="J17" s="6"/>
      <c r="K17" s="6"/>
      <c r="L17" s="6"/>
      <c r="M17" s="63"/>
      <c r="N17" s="65"/>
      <c r="O17" s="65"/>
      <c r="P17" s="65"/>
      <c r="Q17" s="65"/>
      <c r="R17" s="24">
        <f t="shared" si="1"/>
        <v>2</v>
      </c>
      <c r="S17" s="26">
        <f>(($H$2-($H$2*0.2))/3)*CONTROL!$R17</f>
        <v>533.33333333333337</v>
      </c>
      <c r="T17" s="27">
        <f>((CONTROL!$R17*$H$2)*26.66666%)+IF(V17="SI",$M$2/$V$2,0)</f>
        <v>1333.2831999999999</v>
      </c>
      <c r="U17" s="28">
        <f t="shared" si="2"/>
        <v>35198.995199999998</v>
      </c>
      <c r="V17" s="48" t="s">
        <v>32</v>
      </c>
    </row>
    <row r="18" spans="1:22" ht="21" customHeight="1" x14ac:dyDescent="0.3">
      <c r="A18" s="516">
        <f t="shared" si="0"/>
        <v>15</v>
      </c>
      <c r="B18" s="520" t="s">
        <v>60</v>
      </c>
      <c r="C18" s="7" t="s">
        <v>61</v>
      </c>
      <c r="D18" s="68">
        <v>3000</v>
      </c>
      <c r="E18" s="6" t="s">
        <v>31</v>
      </c>
      <c r="F18" s="6" t="s">
        <v>31</v>
      </c>
      <c r="G18" s="6"/>
      <c r="H18" s="6"/>
      <c r="I18" s="6"/>
      <c r="J18" s="6"/>
      <c r="K18" s="6"/>
      <c r="L18" s="6"/>
      <c r="M18" s="63"/>
      <c r="N18" s="65"/>
      <c r="O18" s="65"/>
      <c r="P18" s="65"/>
      <c r="Q18" s="65"/>
      <c r="R18" s="24">
        <f t="shared" si="1"/>
        <v>2</v>
      </c>
      <c r="S18" s="26">
        <f>(($H$2-($H$2*0.2))/3)*CONTROL!$R18</f>
        <v>533.33333333333337</v>
      </c>
      <c r="T18" s="27">
        <f>((CONTROL!$R18*$H$2)*26.66666%)+IF(V18="SI",$M$2/$V$2,0)</f>
        <v>1333.2831999999999</v>
      </c>
      <c r="U18" s="28">
        <f t="shared" si="2"/>
        <v>35198.995199999998</v>
      </c>
      <c r="V18" s="48" t="s">
        <v>32</v>
      </c>
    </row>
    <row r="19" spans="1:22" ht="21" customHeight="1" x14ac:dyDescent="0.3">
      <c r="A19" s="516">
        <f t="shared" si="0"/>
        <v>16</v>
      </c>
      <c r="B19" s="520" t="s">
        <v>62</v>
      </c>
      <c r="C19" s="7" t="s">
        <v>63</v>
      </c>
      <c r="D19" s="68">
        <v>3000</v>
      </c>
      <c r="E19" s="6" t="s">
        <v>31</v>
      </c>
      <c r="F19" s="6" t="s">
        <v>31</v>
      </c>
      <c r="G19" s="6"/>
      <c r="H19" s="6"/>
      <c r="I19" s="6"/>
      <c r="J19" s="6"/>
      <c r="K19" s="6"/>
      <c r="L19" s="6"/>
      <c r="M19" s="63"/>
      <c r="N19" s="65"/>
      <c r="O19" s="65"/>
      <c r="P19" s="65"/>
      <c r="Q19" s="65"/>
      <c r="R19" s="24">
        <f t="shared" si="1"/>
        <v>2</v>
      </c>
      <c r="S19" s="26">
        <f>(($H$2-($H$2*0.2))/3)*CONTROL!$R19</f>
        <v>533.33333333333337</v>
      </c>
      <c r="T19" s="27">
        <f>((CONTROL!$R19*$H$2)*26.66666%)+IF(V19="SI",$M$2/$V$2,0)</f>
        <v>1333.2831999999999</v>
      </c>
      <c r="U19" s="28">
        <f t="shared" si="2"/>
        <v>35198.995199999998</v>
      </c>
      <c r="V19" s="48" t="s">
        <v>32</v>
      </c>
    </row>
    <row r="20" spans="1:22" ht="21" customHeight="1" x14ac:dyDescent="0.3">
      <c r="A20" s="516">
        <f t="shared" si="0"/>
        <v>17</v>
      </c>
      <c r="B20" s="520" t="s">
        <v>64</v>
      </c>
      <c r="C20" s="7" t="s">
        <v>65</v>
      </c>
      <c r="D20" s="68">
        <v>3000</v>
      </c>
      <c r="E20" s="6" t="s">
        <v>31</v>
      </c>
      <c r="F20" s="6" t="s">
        <v>31</v>
      </c>
      <c r="G20" s="6"/>
      <c r="H20" s="6"/>
      <c r="I20" s="6"/>
      <c r="J20" s="6"/>
      <c r="K20" s="6"/>
      <c r="L20" s="6"/>
      <c r="M20" s="63"/>
      <c r="N20" s="64"/>
      <c r="O20" s="65"/>
      <c r="P20" s="65"/>
      <c r="Q20" s="65"/>
      <c r="R20" s="24">
        <f t="shared" si="1"/>
        <v>2</v>
      </c>
      <c r="S20" s="26">
        <f>(($H$2-($H$2*0.2))/3)*CONTROL!$R20</f>
        <v>533.33333333333337</v>
      </c>
      <c r="T20" s="27">
        <f>((CONTROL!$R20*$H$2)*26.66666%)+IF(V20="SI",$M$2/$V$2,0)</f>
        <v>1333.2831999999999</v>
      </c>
      <c r="U20" s="28">
        <f t="shared" si="2"/>
        <v>35198.995199999998</v>
      </c>
      <c r="V20" s="48" t="s">
        <v>32</v>
      </c>
    </row>
    <row r="21" spans="1:22" ht="21" customHeight="1" x14ac:dyDescent="0.3">
      <c r="A21" s="516">
        <f t="shared" si="0"/>
        <v>18</v>
      </c>
      <c r="B21" s="520" t="s">
        <v>66</v>
      </c>
      <c r="C21" s="7" t="s">
        <v>67</v>
      </c>
      <c r="D21" s="68">
        <v>3000</v>
      </c>
      <c r="E21" s="6" t="s">
        <v>68</v>
      </c>
      <c r="F21" s="6" t="s">
        <v>68</v>
      </c>
      <c r="G21" s="6"/>
      <c r="H21" s="6"/>
      <c r="I21" s="6"/>
      <c r="J21" s="6"/>
      <c r="K21" s="6"/>
      <c r="L21" s="6"/>
      <c r="M21" s="63"/>
      <c r="N21" s="65"/>
      <c r="O21" s="65"/>
      <c r="P21" s="65"/>
      <c r="Q21" s="65"/>
      <c r="R21" s="24">
        <f t="shared" si="1"/>
        <v>0</v>
      </c>
      <c r="S21" s="26">
        <f>(($H$2-($H$2*0.2))/3)*CONTROL!$R21</f>
        <v>0</v>
      </c>
      <c r="T21" s="27">
        <f>((CONTROL!$R21*$H$2)*26.66666%)+IF(V21="SI",$M$2/$V$2,0)</f>
        <v>0</v>
      </c>
      <c r="U21" s="28">
        <f t="shared" si="2"/>
        <v>0</v>
      </c>
      <c r="V21" s="48" t="s">
        <v>44</v>
      </c>
    </row>
    <row r="22" spans="1:22" ht="21" customHeight="1" x14ac:dyDescent="0.3">
      <c r="A22" s="516">
        <f t="shared" si="0"/>
        <v>19</v>
      </c>
      <c r="B22" s="520" t="s">
        <v>69</v>
      </c>
      <c r="C22" s="7" t="s">
        <v>70</v>
      </c>
      <c r="D22" s="68">
        <v>3000</v>
      </c>
      <c r="E22" s="6" t="s">
        <v>31</v>
      </c>
      <c r="F22" s="6" t="s">
        <v>31</v>
      </c>
      <c r="G22" s="6" t="s">
        <v>31</v>
      </c>
      <c r="H22" s="6" t="s">
        <v>39</v>
      </c>
      <c r="I22" s="6" t="s">
        <v>39</v>
      </c>
      <c r="J22" s="6" t="s">
        <v>39</v>
      </c>
      <c r="K22" s="6" t="s">
        <v>39</v>
      </c>
      <c r="L22" s="6" t="s">
        <v>39</v>
      </c>
      <c r="M22" s="63"/>
      <c r="N22" s="65"/>
      <c r="O22" s="65"/>
      <c r="P22" s="65"/>
      <c r="Q22" s="65"/>
      <c r="R22" s="24">
        <f t="shared" si="1"/>
        <v>3</v>
      </c>
      <c r="S22" s="26">
        <f>(($H$2-($H$2*0.2))/3)*CONTROL!$R22</f>
        <v>800</v>
      </c>
      <c r="T22" s="27">
        <f>((CONTROL!$R22*$H$2)*26.66666%)+IF(V22="SI",$M$2/$V$2,0)</f>
        <v>1599.9497999999999</v>
      </c>
      <c r="U22" s="28">
        <f t="shared" si="2"/>
        <v>38665.660999999993</v>
      </c>
      <c r="V22" s="48" t="s">
        <v>32</v>
      </c>
    </row>
    <row r="23" spans="1:22" ht="21" customHeight="1" x14ac:dyDescent="0.3">
      <c r="A23" s="516">
        <f t="shared" si="0"/>
        <v>20</v>
      </c>
      <c r="B23" s="520" t="s">
        <v>71</v>
      </c>
      <c r="C23" s="7" t="s">
        <v>72</v>
      </c>
      <c r="D23" s="68">
        <v>3000</v>
      </c>
      <c r="E23" s="6" t="s">
        <v>31</v>
      </c>
      <c r="F23" s="6" t="s">
        <v>31</v>
      </c>
      <c r="G23" s="6"/>
      <c r="H23" s="6"/>
      <c r="I23" s="6"/>
      <c r="J23" s="6"/>
      <c r="K23" s="6"/>
      <c r="L23" s="6"/>
      <c r="M23" s="63"/>
      <c r="N23" s="65"/>
      <c r="O23" s="65"/>
      <c r="P23" s="65"/>
      <c r="Q23" s="65"/>
      <c r="R23" s="24">
        <f t="shared" si="1"/>
        <v>2</v>
      </c>
      <c r="S23" s="26">
        <f>(($H$2-($H$2*0.2))/3)*CONTROL!$R23</f>
        <v>533.33333333333337</v>
      </c>
      <c r="T23" s="27">
        <f>((CONTROL!$R23*$H$2)*26.66666%)+IF(V23="SI",$M$2/$V$2,0)</f>
        <v>1333.2831999999999</v>
      </c>
      <c r="U23" s="28">
        <f t="shared" si="2"/>
        <v>35198.995199999998</v>
      </c>
      <c r="V23" s="48" t="s">
        <v>32</v>
      </c>
    </row>
    <row r="24" spans="1:22" ht="21" customHeight="1" x14ac:dyDescent="0.3">
      <c r="A24" s="516">
        <f t="shared" si="0"/>
        <v>21</v>
      </c>
      <c r="B24" s="520" t="s">
        <v>73</v>
      </c>
      <c r="C24" s="7" t="s">
        <v>74</v>
      </c>
      <c r="D24" s="68">
        <v>3000</v>
      </c>
      <c r="E24" s="6" t="s">
        <v>31</v>
      </c>
      <c r="F24" s="6" t="s">
        <v>31</v>
      </c>
      <c r="G24" s="6"/>
      <c r="H24" s="6"/>
      <c r="I24" s="6"/>
      <c r="J24" s="6"/>
      <c r="K24" s="6"/>
      <c r="L24" s="6"/>
      <c r="M24" s="63"/>
      <c r="N24" s="65"/>
      <c r="O24" s="65"/>
      <c r="P24" s="65"/>
      <c r="Q24" s="65"/>
      <c r="R24" s="24">
        <f t="shared" si="1"/>
        <v>2</v>
      </c>
      <c r="S24" s="26">
        <f>(($H$2-($H$2*0.2))/3)*CONTROL!$R24</f>
        <v>533.33333333333337</v>
      </c>
      <c r="T24" s="27">
        <f>((CONTROL!$R24*$H$2)*26.66666%)+IF(V24="SI",$M$2/$V$2,0)</f>
        <v>533.33319999999992</v>
      </c>
      <c r="U24" s="28">
        <f t="shared" si="2"/>
        <v>19199.995199999998</v>
      </c>
      <c r="V24" s="48" t="s">
        <v>44</v>
      </c>
    </row>
    <row r="25" spans="1:22" ht="21" customHeight="1" x14ac:dyDescent="0.3">
      <c r="A25" s="516">
        <f t="shared" si="0"/>
        <v>22</v>
      </c>
      <c r="B25" s="520" t="s">
        <v>75</v>
      </c>
      <c r="C25" s="7" t="s">
        <v>76</v>
      </c>
      <c r="D25" s="68">
        <v>3000</v>
      </c>
      <c r="E25" s="6" t="s">
        <v>31</v>
      </c>
      <c r="F25" s="6" t="s">
        <v>31</v>
      </c>
      <c r="G25" s="6"/>
      <c r="H25" s="6"/>
      <c r="I25" s="6"/>
      <c r="J25" s="6"/>
      <c r="K25" s="6"/>
      <c r="L25" s="6"/>
      <c r="M25" s="63"/>
      <c r="N25" s="65"/>
      <c r="O25" s="65"/>
      <c r="P25" s="65"/>
      <c r="Q25" s="65"/>
      <c r="R25" s="24">
        <f t="shared" si="1"/>
        <v>2</v>
      </c>
      <c r="S25" s="26">
        <f>(($H$2-($H$2*0.2))/3)*CONTROL!$R25</f>
        <v>533.33333333333337</v>
      </c>
      <c r="T25" s="27">
        <f>((CONTROL!$R25*$H$2)*26.66666%)+IF(V25="SI",$M$2/$V$2,0)</f>
        <v>533.33319999999992</v>
      </c>
      <c r="U25" s="28">
        <f t="shared" si="2"/>
        <v>19199.995199999998</v>
      </c>
      <c r="V25" s="48" t="s">
        <v>44</v>
      </c>
    </row>
    <row r="26" spans="1:22" ht="21" customHeight="1" collapsed="1" x14ac:dyDescent="0.3">
      <c r="A26" s="516">
        <f t="shared" si="0"/>
        <v>23</v>
      </c>
      <c r="B26" s="520" t="s">
        <v>77</v>
      </c>
      <c r="C26" s="7" t="s">
        <v>78</v>
      </c>
      <c r="D26" s="68">
        <v>3000</v>
      </c>
      <c r="E26" s="6" t="s">
        <v>31</v>
      </c>
      <c r="F26" s="6" t="s">
        <v>31</v>
      </c>
      <c r="G26" s="6"/>
      <c r="H26" s="6"/>
      <c r="I26" s="6"/>
      <c r="J26" s="6"/>
      <c r="K26" s="6"/>
      <c r="L26" s="6"/>
      <c r="M26" s="63"/>
      <c r="N26" s="65"/>
      <c r="O26" s="65"/>
      <c r="P26" s="65"/>
      <c r="Q26" s="65"/>
      <c r="R26" s="24">
        <f t="shared" si="1"/>
        <v>2</v>
      </c>
      <c r="S26" s="26">
        <f>(($H$2-($H$2*0.2))/3)*CONTROL!$R26</f>
        <v>533.33333333333337</v>
      </c>
      <c r="T26" s="27">
        <f>((CONTROL!$R26*$H$2)*26.66666%)+IF(V26="SI",$M$2/$V$2,0)</f>
        <v>533.33319999999992</v>
      </c>
      <c r="U26" s="28">
        <f t="shared" si="2"/>
        <v>19199.995199999998</v>
      </c>
      <c r="V26" s="48" t="s">
        <v>44</v>
      </c>
    </row>
    <row r="27" spans="1:22" ht="21" customHeight="1" x14ac:dyDescent="0.3">
      <c r="A27" s="516">
        <f t="shared" si="0"/>
        <v>24</v>
      </c>
      <c r="B27" s="520" t="s">
        <v>79</v>
      </c>
      <c r="C27" s="7"/>
      <c r="D27" s="68"/>
      <c r="E27" s="6"/>
      <c r="F27" s="6"/>
      <c r="G27" s="6"/>
      <c r="H27" s="6"/>
      <c r="I27" s="6"/>
      <c r="J27" s="6"/>
      <c r="K27" s="6"/>
      <c r="L27" s="6"/>
      <c r="M27" s="63"/>
      <c r="N27" s="65"/>
      <c r="O27" s="65"/>
      <c r="P27" s="65"/>
      <c r="Q27" s="65"/>
      <c r="R27" s="24">
        <f t="shared" si="1"/>
        <v>0</v>
      </c>
      <c r="S27" s="26">
        <f>(($H$2-($H$2*0.2))/3)*CONTROL!$R27</f>
        <v>0</v>
      </c>
      <c r="T27" s="27">
        <f>((CONTROL!$R27*$H$2)*26.66666%)+IF(V27="SI",$M$2/$V$2,0)</f>
        <v>0</v>
      </c>
      <c r="U27" s="28">
        <f t="shared" si="2"/>
        <v>0</v>
      </c>
      <c r="V27" s="48" t="s">
        <v>44</v>
      </c>
    </row>
    <row r="28" spans="1:22" ht="18.75" customHeight="1" collapsed="1" x14ac:dyDescent="0.3">
      <c r="A28" s="516">
        <f t="shared" si="0"/>
        <v>25</v>
      </c>
      <c r="B28" s="520" t="s">
        <v>80</v>
      </c>
      <c r="C28" s="7" t="s">
        <v>81</v>
      </c>
      <c r="D28" s="68">
        <v>3000</v>
      </c>
      <c r="E28" s="6"/>
      <c r="F28" s="6" t="s">
        <v>31</v>
      </c>
      <c r="G28" s="6"/>
      <c r="H28" s="6"/>
      <c r="I28" s="6"/>
      <c r="J28" s="6"/>
      <c r="K28" s="6"/>
      <c r="L28" s="6"/>
      <c r="M28" s="63"/>
      <c r="N28" s="64"/>
      <c r="O28" s="65"/>
      <c r="P28" s="65"/>
      <c r="Q28" s="65"/>
      <c r="R28" s="24">
        <f t="shared" si="1"/>
        <v>1</v>
      </c>
      <c r="S28" s="26">
        <f>(($H$2-($H$2*0.2))/3)*CONTROL!$R28</f>
        <v>266.66666666666669</v>
      </c>
      <c r="T28" s="27">
        <f>((CONTROL!$R28*$H$2)*26.66666%)+IF(V28="SI",$M$2/$V$2,0)</f>
        <v>266.66659999999996</v>
      </c>
      <c r="U28" s="28">
        <f t="shared" si="2"/>
        <v>9599.9975999999988</v>
      </c>
      <c r="V28" s="48" t="s">
        <v>44</v>
      </c>
    </row>
    <row r="29" spans="1:22" ht="18.75" customHeight="1" x14ac:dyDescent="0.3">
      <c r="A29" s="516">
        <f t="shared" si="0"/>
        <v>26</v>
      </c>
      <c r="B29" s="520" t="s">
        <v>82</v>
      </c>
      <c r="C29" s="7" t="s">
        <v>83</v>
      </c>
      <c r="D29" s="68">
        <v>3000</v>
      </c>
      <c r="E29" s="6" t="s">
        <v>31</v>
      </c>
      <c r="F29" s="6" t="s">
        <v>31</v>
      </c>
      <c r="G29" s="6"/>
      <c r="H29" s="6"/>
      <c r="I29" s="6"/>
      <c r="J29" s="6"/>
      <c r="K29" s="6"/>
      <c r="L29" s="6"/>
      <c r="M29" s="63"/>
      <c r="N29" s="65"/>
      <c r="O29" s="65"/>
      <c r="P29" s="65"/>
      <c r="Q29" s="65"/>
      <c r="R29" s="24">
        <f t="shared" si="1"/>
        <v>2</v>
      </c>
      <c r="S29" s="26">
        <f>(($H$2-($H$2*0.2))/3)*CONTROL!$R29</f>
        <v>533.33333333333337</v>
      </c>
      <c r="T29" s="27">
        <f>((CONTROL!$R29*$H$2)*26.66666%)+IF(V29="SI",$M$2/$V$2,0)</f>
        <v>1333.2831999999999</v>
      </c>
      <c r="U29" s="28">
        <f t="shared" si="2"/>
        <v>35198.995199999998</v>
      </c>
      <c r="V29" s="48" t="s">
        <v>32</v>
      </c>
    </row>
    <row r="30" spans="1:22" ht="18.75" customHeight="1" x14ac:dyDescent="0.3">
      <c r="A30" s="516">
        <f t="shared" si="0"/>
        <v>27</v>
      </c>
      <c r="B30" s="520" t="s">
        <v>84</v>
      </c>
      <c r="C30" s="7" t="s">
        <v>85</v>
      </c>
      <c r="D30" s="68">
        <v>3000</v>
      </c>
      <c r="E30" s="6" t="s">
        <v>31</v>
      </c>
      <c r="F30" s="6" t="s">
        <v>31</v>
      </c>
      <c r="G30" s="6"/>
      <c r="H30" s="6"/>
      <c r="I30" s="6"/>
      <c r="J30" s="6"/>
      <c r="K30" s="6"/>
      <c r="L30" s="6"/>
      <c r="M30" s="63"/>
      <c r="N30" s="65"/>
      <c r="O30" s="65"/>
      <c r="P30" s="65"/>
      <c r="Q30" s="65"/>
      <c r="R30" s="24">
        <f t="shared" si="1"/>
        <v>2</v>
      </c>
      <c r="S30" s="26">
        <f>(($H$2-($H$2*0.2))/3)*CONTROL!$R30</f>
        <v>533.33333333333337</v>
      </c>
      <c r="T30" s="27">
        <f>((CONTROL!$R30*$H$2)*26.66666%)+IF(V30="SI",$M$2/$V$2,0)</f>
        <v>533.33319999999992</v>
      </c>
      <c r="U30" s="28">
        <f t="shared" si="2"/>
        <v>19199.995199999998</v>
      </c>
      <c r="V30" s="48" t="s">
        <v>44</v>
      </c>
    </row>
    <row r="31" spans="1:22" ht="18.75" customHeight="1" collapsed="1" x14ac:dyDescent="0.3">
      <c r="A31" s="516">
        <f t="shared" si="0"/>
        <v>28</v>
      </c>
      <c r="B31" s="520" t="s">
        <v>86</v>
      </c>
      <c r="C31" s="7" t="s">
        <v>87</v>
      </c>
      <c r="D31" s="68">
        <v>3000</v>
      </c>
      <c r="E31" s="6" t="s">
        <v>31</v>
      </c>
      <c r="F31" s="6" t="s">
        <v>31</v>
      </c>
      <c r="G31" s="6"/>
      <c r="H31" s="6"/>
      <c r="I31" s="6"/>
      <c r="J31" s="6"/>
      <c r="K31" s="6"/>
      <c r="L31" s="6"/>
      <c r="M31" s="63"/>
      <c r="N31" s="65"/>
      <c r="O31" s="65"/>
      <c r="P31" s="65"/>
      <c r="Q31" s="65"/>
      <c r="R31" s="24">
        <f t="shared" si="1"/>
        <v>2</v>
      </c>
      <c r="S31" s="26">
        <f>(($H$2-($H$2*0.2))/3)*CONTROL!$R31</f>
        <v>533.33333333333337</v>
      </c>
      <c r="T31" s="27">
        <f>((CONTROL!$R31*$H$2)*26.66666%)+IF(V31="SI",$M$2/$V$2,0)</f>
        <v>533.33319999999992</v>
      </c>
      <c r="U31" s="28">
        <f t="shared" si="2"/>
        <v>19199.995199999998</v>
      </c>
      <c r="V31" s="48" t="s">
        <v>44</v>
      </c>
    </row>
    <row r="32" spans="1:22" ht="21" customHeight="1" collapsed="1" x14ac:dyDescent="0.3">
      <c r="A32" s="516">
        <f t="shared" si="0"/>
        <v>29</v>
      </c>
      <c r="B32" s="520" t="s">
        <v>88</v>
      </c>
      <c r="C32" s="7" t="s">
        <v>351</v>
      </c>
      <c r="D32" s="68">
        <v>3000</v>
      </c>
      <c r="E32" s="6" t="s">
        <v>31</v>
      </c>
      <c r="F32" s="6"/>
      <c r="G32" s="6" t="s">
        <v>31</v>
      </c>
      <c r="H32" s="6"/>
      <c r="I32" s="6"/>
      <c r="J32" s="6"/>
      <c r="K32" s="6"/>
      <c r="L32" s="6"/>
      <c r="M32" s="63"/>
      <c r="N32" s="65"/>
      <c r="O32" s="65"/>
      <c r="P32" s="65"/>
      <c r="Q32" s="65"/>
      <c r="R32" s="24">
        <f t="shared" si="1"/>
        <v>2</v>
      </c>
      <c r="S32" s="26">
        <f>(($H$2-($H$2*0.2))/3)*CONTROL!$R32</f>
        <v>533.33333333333337</v>
      </c>
      <c r="T32" s="27">
        <f>((CONTROL!$R32*$H$2)*26.66666%)+IF(V32="SI",$M$2/$V$2,0)</f>
        <v>533.33319999999992</v>
      </c>
      <c r="U32" s="28">
        <f t="shared" si="2"/>
        <v>13066.663399999998</v>
      </c>
      <c r="V32" s="48" t="s">
        <v>44</v>
      </c>
    </row>
    <row r="33" spans="1:22" ht="21" customHeight="1" x14ac:dyDescent="0.3">
      <c r="A33" s="516">
        <f t="shared" si="0"/>
        <v>30</v>
      </c>
      <c r="B33" s="520" t="s">
        <v>89</v>
      </c>
      <c r="C33" s="7" t="s">
        <v>90</v>
      </c>
      <c r="D33" s="68">
        <v>3000</v>
      </c>
      <c r="E33" s="6" t="s">
        <v>31</v>
      </c>
      <c r="F33" s="6" t="s">
        <v>31</v>
      </c>
      <c r="G33" s="6"/>
      <c r="H33" s="6"/>
      <c r="I33" s="6"/>
      <c r="J33" s="6"/>
      <c r="K33" s="6"/>
      <c r="L33" s="6"/>
      <c r="M33" s="63"/>
      <c r="N33" s="65"/>
      <c r="O33" s="65"/>
      <c r="P33" s="65"/>
      <c r="Q33" s="65"/>
      <c r="R33" s="24">
        <f t="shared" si="1"/>
        <v>2</v>
      </c>
      <c r="S33" s="26">
        <f>(($H$2-($H$2*0.2))/3)*CONTROL!$R33</f>
        <v>533.33333333333337</v>
      </c>
      <c r="T33" s="27">
        <f>((CONTROL!$R33*$H$2)*26.66666%)+IF(V33="SI",$M$2/$V$2,0)</f>
        <v>533.33319999999992</v>
      </c>
      <c r="U33" s="28">
        <f t="shared" si="2"/>
        <v>19199.995199999998</v>
      </c>
      <c r="V33" s="48" t="s">
        <v>44</v>
      </c>
    </row>
    <row r="34" spans="1:22" ht="21" customHeight="1" x14ac:dyDescent="0.3">
      <c r="A34" s="516">
        <f t="shared" si="0"/>
        <v>31</v>
      </c>
      <c r="B34" s="520" t="s">
        <v>91</v>
      </c>
      <c r="C34" s="7" t="s">
        <v>92</v>
      </c>
      <c r="D34" s="68">
        <v>3000</v>
      </c>
      <c r="E34" s="6" t="s">
        <v>31</v>
      </c>
      <c r="F34" s="6" t="s">
        <v>31</v>
      </c>
      <c r="G34" s="6"/>
      <c r="H34" s="6"/>
      <c r="I34" s="6"/>
      <c r="J34" s="6"/>
      <c r="K34" s="6"/>
      <c r="L34" s="6"/>
      <c r="M34" s="63"/>
      <c r="N34" s="65"/>
      <c r="O34" s="65"/>
      <c r="P34" s="65"/>
      <c r="Q34" s="65"/>
      <c r="R34" s="24">
        <f t="shared" si="1"/>
        <v>2</v>
      </c>
      <c r="S34" s="26">
        <f>(($H$2-($H$2*0.2))/3)*CONTROL!$R34</f>
        <v>533.33333333333337</v>
      </c>
      <c r="T34" s="27">
        <f>((CONTROL!$R34*$H$2)*26.66666%)+IF(V34="SI",$M$2/$V$2,0)</f>
        <v>1333.2831999999999</v>
      </c>
      <c r="U34" s="28">
        <f t="shared" si="2"/>
        <v>35198.995199999998</v>
      </c>
      <c r="V34" s="48" t="s">
        <v>32</v>
      </c>
    </row>
    <row r="35" spans="1:22" ht="21" customHeight="1" x14ac:dyDescent="0.3">
      <c r="A35" s="516">
        <f t="shared" si="0"/>
        <v>32</v>
      </c>
      <c r="B35" s="520" t="s">
        <v>93</v>
      </c>
      <c r="C35" s="7" t="s">
        <v>94</v>
      </c>
      <c r="D35" s="68">
        <v>3000</v>
      </c>
      <c r="E35" s="6" t="s">
        <v>31</v>
      </c>
      <c r="F35" s="6" t="s">
        <v>31</v>
      </c>
      <c r="G35" s="6" t="s">
        <v>31</v>
      </c>
      <c r="H35" s="6"/>
      <c r="I35" s="6"/>
      <c r="J35" s="6"/>
      <c r="K35" s="6"/>
      <c r="L35" s="6"/>
      <c r="M35" s="63"/>
      <c r="N35" s="65"/>
      <c r="O35" s="65"/>
      <c r="P35" s="65"/>
      <c r="Q35" s="65"/>
      <c r="R35" s="24">
        <f t="shared" si="1"/>
        <v>3</v>
      </c>
      <c r="S35" s="26">
        <f>(($H$2-($H$2*0.2))/3)*CONTROL!$R35</f>
        <v>800</v>
      </c>
      <c r="T35" s="27">
        <f>((CONTROL!$R35*$H$2)*26.66666%)+IF(V35="SI",$M$2/$V$2,0)</f>
        <v>799.99979999999994</v>
      </c>
      <c r="U35" s="28">
        <f t="shared" si="2"/>
        <v>22666.660999999996</v>
      </c>
      <c r="V35" s="48" t="s">
        <v>44</v>
      </c>
    </row>
    <row r="36" spans="1:22" ht="21" customHeight="1" collapsed="1" x14ac:dyDescent="0.3">
      <c r="A36" s="516">
        <f t="shared" ref="A36:A53" si="3">A35+1</f>
        <v>33</v>
      </c>
      <c r="B36" s="520" t="s">
        <v>95</v>
      </c>
      <c r="C36" s="7" t="s">
        <v>96</v>
      </c>
      <c r="D36" s="68">
        <v>3000</v>
      </c>
      <c r="E36" s="6" t="s">
        <v>31</v>
      </c>
      <c r="F36" s="6" t="s">
        <v>31</v>
      </c>
      <c r="G36" s="6" t="s">
        <v>31</v>
      </c>
      <c r="H36" s="6"/>
      <c r="I36" s="6"/>
      <c r="J36" s="6"/>
      <c r="K36" s="6"/>
      <c r="L36" s="6"/>
      <c r="M36" s="63"/>
      <c r="N36" s="65"/>
      <c r="O36" s="65"/>
      <c r="P36" s="65"/>
      <c r="Q36" s="65"/>
      <c r="R36" s="24">
        <f t="shared" ref="R36:R53" si="4">COUNTIF(E36:Q36,"X")</f>
        <v>3</v>
      </c>
      <c r="S36" s="26">
        <f>(($H$2-($H$2*0.2))/3)*CONTROL!$R36</f>
        <v>800</v>
      </c>
      <c r="T36" s="27">
        <f>((CONTROL!$R36*$H$2)*26.66666%)+IF(V36="SI",$M$2/$V$2,0)</f>
        <v>799.99979999999994</v>
      </c>
      <c r="U36" s="28">
        <f t="shared" ref="U36:U53" si="5">SUMIFS(E$56:Q$56,E36:Q36,"X")+IF(V36="SI",$M$2,0)</f>
        <v>22666.660999999996</v>
      </c>
      <c r="V36" s="48" t="s">
        <v>44</v>
      </c>
    </row>
    <row r="37" spans="1:22" ht="21" customHeight="1" x14ac:dyDescent="0.3">
      <c r="A37" s="516">
        <f t="shared" si="3"/>
        <v>34</v>
      </c>
      <c r="B37" s="520" t="s">
        <v>97</v>
      </c>
      <c r="C37" s="7" t="s">
        <v>98</v>
      </c>
      <c r="D37" s="68">
        <v>3000</v>
      </c>
      <c r="E37" s="6" t="s">
        <v>31</v>
      </c>
      <c r="F37" s="6" t="s">
        <v>31</v>
      </c>
      <c r="G37" s="6"/>
      <c r="H37" s="6"/>
      <c r="I37" s="6"/>
      <c r="J37" s="6"/>
      <c r="K37" s="6"/>
      <c r="L37" s="6"/>
      <c r="M37" s="63"/>
      <c r="N37" s="65"/>
      <c r="O37" s="65"/>
      <c r="P37" s="65"/>
      <c r="Q37" s="65"/>
      <c r="R37" s="24">
        <f t="shared" si="4"/>
        <v>2</v>
      </c>
      <c r="S37" s="26">
        <f>(($H$2-($H$2*0.2))/3)*CONTROL!$R37</f>
        <v>533.33333333333337</v>
      </c>
      <c r="T37" s="27">
        <f>((CONTROL!$R37*$H$2)*26.66666%)+IF(V37="SI",$M$2/$V$2,0)</f>
        <v>533.33319999999992</v>
      </c>
      <c r="U37" s="28">
        <f t="shared" si="5"/>
        <v>19199.995199999998</v>
      </c>
      <c r="V37" s="48" t="s">
        <v>44</v>
      </c>
    </row>
    <row r="38" spans="1:22" ht="21" customHeight="1" x14ac:dyDescent="0.3">
      <c r="A38" s="516">
        <f t="shared" si="3"/>
        <v>35</v>
      </c>
      <c r="B38" s="520" t="s">
        <v>99</v>
      </c>
      <c r="C38" s="7" t="s">
        <v>100</v>
      </c>
      <c r="D38" s="68">
        <v>3000</v>
      </c>
      <c r="E38" s="6" t="s">
        <v>31</v>
      </c>
      <c r="F38" s="6" t="s">
        <v>31</v>
      </c>
      <c r="G38" s="6" t="s">
        <v>31</v>
      </c>
      <c r="H38" s="6"/>
      <c r="I38" s="6"/>
      <c r="J38" s="6"/>
      <c r="K38" s="6"/>
      <c r="L38" s="6"/>
      <c r="M38" s="63"/>
      <c r="N38" s="65"/>
      <c r="O38" s="65"/>
      <c r="P38" s="65"/>
      <c r="Q38" s="65"/>
      <c r="R38" s="24">
        <f t="shared" si="4"/>
        <v>3</v>
      </c>
      <c r="S38" s="26">
        <f>(($H$2-($H$2*0.2))/3)*CONTROL!$R38</f>
        <v>800</v>
      </c>
      <c r="T38" s="27">
        <f>((CONTROL!$R38*$H$2)*26.66666%)+IF(V38="SI",$M$2/$V$2,0)</f>
        <v>799.99979999999994</v>
      </c>
      <c r="U38" s="28">
        <f t="shared" si="5"/>
        <v>22666.660999999996</v>
      </c>
      <c r="V38" s="48" t="s">
        <v>44</v>
      </c>
    </row>
    <row r="39" spans="1:22" ht="21" customHeight="1" x14ac:dyDescent="0.3">
      <c r="A39" s="516">
        <f t="shared" si="3"/>
        <v>36</v>
      </c>
      <c r="B39" s="520" t="s">
        <v>101</v>
      </c>
      <c r="C39" s="7" t="s">
        <v>102</v>
      </c>
      <c r="D39" s="68">
        <v>3000</v>
      </c>
      <c r="E39" s="6" t="s">
        <v>31</v>
      </c>
      <c r="F39" s="6" t="s">
        <v>31</v>
      </c>
      <c r="G39" s="6" t="s">
        <v>31</v>
      </c>
      <c r="H39" s="6"/>
      <c r="I39" s="6"/>
      <c r="J39" s="6"/>
      <c r="K39" s="6"/>
      <c r="L39" s="6"/>
      <c r="M39" s="63"/>
      <c r="N39" s="65"/>
      <c r="O39" s="65"/>
      <c r="P39" s="65"/>
      <c r="Q39" s="65"/>
      <c r="R39" s="24">
        <f t="shared" si="4"/>
        <v>3</v>
      </c>
      <c r="S39" s="26">
        <f>(($H$2-($H$2*0.2))/3)*CONTROL!$R39</f>
        <v>800</v>
      </c>
      <c r="T39" s="27">
        <f>((CONTROL!$R39*$H$2)*26.66666%)+IF(V39="SI",$M$2/$V$2,0)</f>
        <v>799.99979999999994</v>
      </c>
      <c r="U39" s="28">
        <f t="shared" si="5"/>
        <v>22666.660999999996</v>
      </c>
      <c r="V39" s="48" t="s">
        <v>44</v>
      </c>
    </row>
    <row r="40" spans="1:22" ht="21" customHeight="1" x14ac:dyDescent="0.3">
      <c r="A40" s="516">
        <f t="shared" si="3"/>
        <v>37</v>
      </c>
      <c r="B40" s="520" t="s">
        <v>103</v>
      </c>
      <c r="C40" s="7" t="s">
        <v>104</v>
      </c>
      <c r="D40" s="68">
        <v>0</v>
      </c>
      <c r="E40" s="6" t="s">
        <v>31</v>
      </c>
      <c r="F40" s="6" t="s">
        <v>31</v>
      </c>
      <c r="G40" s="6"/>
      <c r="H40" s="6"/>
      <c r="I40" s="6"/>
      <c r="J40" s="6"/>
      <c r="K40" s="6"/>
      <c r="L40" s="6"/>
      <c r="M40" s="63"/>
      <c r="N40" s="65"/>
      <c r="O40" s="65"/>
      <c r="P40" s="65"/>
      <c r="Q40" s="65"/>
      <c r="R40" s="24">
        <f t="shared" si="4"/>
        <v>2</v>
      </c>
      <c r="S40" s="26">
        <f>(($H$2-($H$2*0.2))/3)*CONTROL!$R40</f>
        <v>533.33333333333337</v>
      </c>
      <c r="T40" s="27">
        <f>((CONTROL!$R40*$H$2)*26.66666%)+IF(V40="SI",$M$2/$V$2,0)</f>
        <v>533.33319999999992</v>
      </c>
      <c r="U40" s="28">
        <f t="shared" si="5"/>
        <v>19199.995199999998</v>
      </c>
      <c r="V40" s="48" t="s">
        <v>44</v>
      </c>
    </row>
    <row r="41" spans="1:22" ht="21" customHeight="1" x14ac:dyDescent="0.3">
      <c r="A41" s="516">
        <f t="shared" si="3"/>
        <v>38</v>
      </c>
      <c r="B41" s="520" t="s">
        <v>105</v>
      </c>
      <c r="C41" s="7" t="s">
        <v>106</v>
      </c>
      <c r="D41" s="68">
        <v>3000</v>
      </c>
      <c r="E41" s="6" t="s">
        <v>31</v>
      </c>
      <c r="F41" s="6" t="s">
        <v>31</v>
      </c>
      <c r="G41" s="6"/>
      <c r="H41" s="6"/>
      <c r="I41" s="6"/>
      <c r="J41" s="6"/>
      <c r="K41" s="6"/>
      <c r="L41" s="6"/>
      <c r="M41" s="63"/>
      <c r="N41" s="65"/>
      <c r="O41" s="65"/>
      <c r="P41" s="65"/>
      <c r="Q41" s="65"/>
      <c r="R41" s="24">
        <f t="shared" si="4"/>
        <v>2</v>
      </c>
      <c r="S41" s="26">
        <f>(($H$2-($H$2*0.2))/3)*CONTROL!$R41</f>
        <v>533.33333333333337</v>
      </c>
      <c r="T41" s="27">
        <f>((CONTROL!$R41*$H$2)*26.66666%)+IF(V41="SI",$M$2/$V$2,0)</f>
        <v>533.33319999999992</v>
      </c>
      <c r="U41" s="28">
        <f t="shared" si="5"/>
        <v>19199.995199999998</v>
      </c>
      <c r="V41" s="48" t="s">
        <v>44</v>
      </c>
    </row>
    <row r="42" spans="1:22" ht="21" customHeight="1" x14ac:dyDescent="0.3">
      <c r="A42" s="516">
        <f t="shared" si="3"/>
        <v>39</v>
      </c>
      <c r="B42" s="520" t="s">
        <v>107</v>
      </c>
      <c r="C42" s="7" t="s">
        <v>108</v>
      </c>
      <c r="D42" s="68">
        <v>3000</v>
      </c>
      <c r="E42" s="6" t="s">
        <v>31</v>
      </c>
      <c r="F42" s="6" t="s">
        <v>31</v>
      </c>
      <c r="G42" s="6"/>
      <c r="H42" s="6"/>
      <c r="I42" s="6"/>
      <c r="J42" s="6"/>
      <c r="K42" s="6"/>
      <c r="L42" s="6"/>
      <c r="M42" s="63"/>
      <c r="N42" s="65"/>
      <c r="O42" s="65"/>
      <c r="P42" s="65"/>
      <c r="Q42" s="65"/>
      <c r="R42" s="24">
        <f t="shared" si="4"/>
        <v>2</v>
      </c>
      <c r="S42" s="26">
        <f>(($H$2-($H$2*0.2))/3)*CONTROL!$R42</f>
        <v>533.33333333333337</v>
      </c>
      <c r="T42" s="27">
        <f>((CONTROL!$R42*$H$2)*26.66666%)+IF(V42="SI",$M$2/$V$2,0)</f>
        <v>1333.2831999999999</v>
      </c>
      <c r="U42" s="28">
        <f t="shared" si="5"/>
        <v>35198.995199999998</v>
      </c>
      <c r="V42" s="48" t="s">
        <v>32</v>
      </c>
    </row>
    <row r="43" spans="1:22" ht="21" customHeight="1" x14ac:dyDescent="0.3">
      <c r="A43" s="516">
        <f t="shared" si="3"/>
        <v>40</v>
      </c>
      <c r="B43" s="520" t="s">
        <v>109</v>
      </c>
      <c r="C43" s="7" t="s">
        <v>110</v>
      </c>
      <c r="D43" s="68">
        <v>3000</v>
      </c>
      <c r="E43" s="6" t="s">
        <v>31</v>
      </c>
      <c r="F43" s="6" t="s">
        <v>31</v>
      </c>
      <c r="G43" s="6" t="s">
        <v>31</v>
      </c>
      <c r="H43" s="6"/>
      <c r="I43" s="6"/>
      <c r="J43" s="6"/>
      <c r="K43" s="6"/>
      <c r="L43" s="6"/>
      <c r="M43" s="63"/>
      <c r="N43" s="65"/>
      <c r="O43" s="65"/>
      <c r="P43" s="65"/>
      <c r="Q43" s="65"/>
      <c r="R43" s="24">
        <f t="shared" si="4"/>
        <v>3</v>
      </c>
      <c r="S43" s="26">
        <f>(($H$2-($H$2*0.2))/3)*CONTROL!$R43</f>
        <v>800</v>
      </c>
      <c r="T43" s="27">
        <f>((CONTROL!$R43*$H$2)*26.66666%)+IF(V43="SI",$M$2/$V$2,0)</f>
        <v>1599.9497999999999</v>
      </c>
      <c r="U43" s="28">
        <f t="shared" si="5"/>
        <v>38665.660999999993</v>
      </c>
      <c r="V43" s="48" t="s">
        <v>32</v>
      </c>
    </row>
    <row r="44" spans="1:22" ht="21" customHeight="1" x14ac:dyDescent="0.3">
      <c r="A44" s="516">
        <f t="shared" si="3"/>
        <v>41</v>
      </c>
      <c r="B44" s="520" t="s">
        <v>111</v>
      </c>
      <c r="C44" s="7" t="s">
        <v>112</v>
      </c>
      <c r="D44" s="68">
        <v>0</v>
      </c>
      <c r="E44" s="6">
        <v>0</v>
      </c>
      <c r="F44" s="6">
        <v>0</v>
      </c>
      <c r="G44" s="6">
        <v>0</v>
      </c>
      <c r="H44" s="6"/>
      <c r="I44" s="6"/>
      <c r="J44" s="6"/>
      <c r="K44" s="6"/>
      <c r="L44" s="6"/>
      <c r="M44" s="63"/>
      <c r="N44" s="65"/>
      <c r="O44" s="65"/>
      <c r="P44" s="65"/>
      <c r="Q44" s="65"/>
      <c r="R44" s="24">
        <f t="shared" si="4"/>
        <v>0</v>
      </c>
      <c r="S44" s="26">
        <f>(($H$2-($H$2*0.2))/3)*CONTROL!$R44</f>
        <v>0</v>
      </c>
      <c r="T44" s="27">
        <f>((CONTROL!$R44*$H$2)*26.66666%)+IF(V44="SI",$M$2/$V$2,0)</f>
        <v>0</v>
      </c>
      <c r="U44" s="28">
        <f t="shared" si="5"/>
        <v>0</v>
      </c>
      <c r="V44" s="48"/>
    </row>
    <row r="45" spans="1:22" ht="21" customHeight="1" x14ac:dyDescent="0.3">
      <c r="A45" s="516">
        <f t="shared" si="3"/>
        <v>42</v>
      </c>
      <c r="B45" s="520" t="s">
        <v>113</v>
      </c>
      <c r="C45" s="7"/>
      <c r="D45" s="68"/>
      <c r="E45" s="6"/>
      <c r="F45" s="6"/>
      <c r="G45" s="62"/>
      <c r="H45" s="62"/>
      <c r="I45" s="61"/>
      <c r="J45" s="62"/>
      <c r="K45" s="62"/>
      <c r="L45" s="62"/>
      <c r="M45" s="63"/>
      <c r="N45" s="66"/>
      <c r="O45" s="66"/>
      <c r="P45" s="66"/>
      <c r="Q45" s="66"/>
      <c r="R45" s="24">
        <f t="shared" si="4"/>
        <v>0</v>
      </c>
      <c r="S45" s="26">
        <f>(($H$2-($H$2*0.2))/3)*CONTROL!$R45</f>
        <v>0</v>
      </c>
      <c r="T45" s="27">
        <f>((CONTROL!$R45*$H$2)*26.66666%)+IF(V45="SI",$M$2/$V$2,0)</f>
        <v>0</v>
      </c>
      <c r="U45" s="28">
        <f t="shared" si="5"/>
        <v>0</v>
      </c>
      <c r="V45" s="48"/>
    </row>
    <row r="46" spans="1:22" ht="21" customHeight="1" x14ac:dyDescent="0.3">
      <c r="A46" s="516">
        <f t="shared" si="3"/>
        <v>43</v>
      </c>
      <c r="B46" s="520" t="s">
        <v>114</v>
      </c>
      <c r="C46" s="7"/>
      <c r="D46" s="68"/>
      <c r="E46" s="6"/>
      <c r="F46" s="6"/>
      <c r="G46" s="62"/>
      <c r="H46" s="62"/>
      <c r="I46" s="61"/>
      <c r="J46" s="62"/>
      <c r="K46" s="62"/>
      <c r="L46" s="62"/>
      <c r="M46" s="63"/>
      <c r="N46" s="66"/>
      <c r="O46" s="66"/>
      <c r="P46" s="66"/>
      <c r="Q46" s="66"/>
      <c r="R46" s="24">
        <f t="shared" si="4"/>
        <v>0</v>
      </c>
      <c r="S46" s="26">
        <f>(($H$2-($H$2*0.2))/3)*CONTROL!$R46</f>
        <v>0</v>
      </c>
      <c r="T46" s="27">
        <f>((CONTROL!$R46*$H$2)*26.66666%)+IF(V46="SI",$M$2/$V$2,0)</f>
        <v>0</v>
      </c>
      <c r="U46" s="28">
        <f t="shared" si="5"/>
        <v>0</v>
      </c>
      <c r="V46" s="48"/>
    </row>
    <row r="47" spans="1:22" ht="21" customHeight="1" x14ac:dyDescent="0.3">
      <c r="A47" s="516">
        <f t="shared" si="3"/>
        <v>44</v>
      </c>
      <c r="B47" s="520" t="s">
        <v>115</v>
      </c>
      <c r="C47" s="7"/>
      <c r="D47" s="68"/>
      <c r="E47" s="6"/>
      <c r="F47" s="6"/>
      <c r="G47" s="62"/>
      <c r="H47" s="62"/>
      <c r="I47" s="61"/>
      <c r="J47" s="62"/>
      <c r="K47" s="62"/>
      <c r="L47" s="62"/>
      <c r="M47" s="63"/>
      <c r="N47" s="66"/>
      <c r="O47" s="66"/>
      <c r="P47" s="66"/>
      <c r="Q47" s="66"/>
      <c r="R47" s="24">
        <f t="shared" si="4"/>
        <v>0</v>
      </c>
      <c r="S47" s="26">
        <f>(($H$2-($H$2*0.2))/3)*CONTROL!$R47</f>
        <v>0</v>
      </c>
      <c r="T47" s="27">
        <f>((CONTROL!$R47*$H$2)*26.66666%)+IF(V47="SI",$M$2/$V$2,0)</f>
        <v>0</v>
      </c>
      <c r="U47" s="28">
        <f t="shared" si="5"/>
        <v>0</v>
      </c>
      <c r="V47" s="48"/>
    </row>
    <row r="48" spans="1:22" ht="21" customHeight="1" x14ac:dyDescent="0.3">
      <c r="A48" s="516">
        <f t="shared" si="3"/>
        <v>45</v>
      </c>
      <c r="B48" s="520" t="s">
        <v>116</v>
      </c>
      <c r="C48" s="7" t="s">
        <v>117</v>
      </c>
      <c r="D48" s="68">
        <v>3000</v>
      </c>
      <c r="E48" s="6" t="s">
        <v>31</v>
      </c>
      <c r="F48" s="6" t="s">
        <v>31</v>
      </c>
      <c r="G48" s="62"/>
      <c r="H48" s="6"/>
      <c r="I48" s="6"/>
      <c r="J48" s="6"/>
      <c r="K48" s="6"/>
      <c r="L48" s="6"/>
      <c r="M48" s="63"/>
      <c r="N48" s="66"/>
      <c r="O48" s="66"/>
      <c r="P48" s="66"/>
      <c r="Q48" s="66"/>
      <c r="R48" s="24">
        <f t="shared" si="4"/>
        <v>2</v>
      </c>
      <c r="S48" s="26">
        <f>(($H$2-($H$2*0.2))/3)*CONTROL!$R48</f>
        <v>533.33333333333337</v>
      </c>
      <c r="T48" s="27">
        <f>((CONTROL!$R48*$H$2)*26.66666%)+IF(V48="SI",$M$2/$V$2,0)</f>
        <v>533.33319999999992</v>
      </c>
      <c r="U48" s="28">
        <f t="shared" si="5"/>
        <v>19199.995199999998</v>
      </c>
      <c r="V48" s="48" t="s">
        <v>44</v>
      </c>
    </row>
    <row r="49" spans="1:24" ht="18.75" customHeight="1" x14ac:dyDescent="0.3">
      <c r="A49" s="516">
        <f t="shared" si="3"/>
        <v>46</v>
      </c>
      <c r="B49" s="520" t="s">
        <v>118</v>
      </c>
      <c r="C49" s="7"/>
      <c r="D49" s="68"/>
      <c r="E49" s="6"/>
      <c r="F49" s="6"/>
      <c r="G49" s="62"/>
      <c r="H49" s="62"/>
      <c r="I49" s="61"/>
      <c r="J49" s="62"/>
      <c r="K49" s="62"/>
      <c r="L49" s="62"/>
      <c r="M49" s="65"/>
      <c r="N49" s="66"/>
      <c r="O49" s="66"/>
      <c r="P49" s="66"/>
      <c r="Q49" s="66"/>
      <c r="R49" s="24">
        <f t="shared" si="4"/>
        <v>0</v>
      </c>
      <c r="S49" s="26">
        <f>(($H$2-($H$2*0.2))/3)*CONTROL!$R49</f>
        <v>0</v>
      </c>
      <c r="T49" s="27">
        <f>((CONTROL!$R49*$H$2)*26.66666%)+IF(V49="SI",$M$2/$V$2,0)</f>
        <v>0</v>
      </c>
      <c r="U49" s="28">
        <f t="shared" si="5"/>
        <v>0</v>
      </c>
      <c r="V49" s="48"/>
    </row>
    <row r="50" spans="1:24" ht="19.5" customHeight="1" x14ac:dyDescent="0.3">
      <c r="A50" s="516">
        <f t="shared" si="3"/>
        <v>47</v>
      </c>
      <c r="B50" s="520" t="s">
        <v>119</v>
      </c>
      <c r="C50" s="7"/>
      <c r="D50" s="68"/>
      <c r="E50" s="6"/>
      <c r="F50" s="6"/>
      <c r="G50" s="62"/>
      <c r="H50" s="62"/>
      <c r="I50" s="61"/>
      <c r="J50" s="62"/>
      <c r="K50" s="62"/>
      <c r="L50" s="62"/>
      <c r="M50" s="65"/>
      <c r="N50" s="66"/>
      <c r="O50" s="66"/>
      <c r="P50" s="66"/>
      <c r="Q50" s="66"/>
      <c r="R50" s="24">
        <f t="shared" si="4"/>
        <v>0</v>
      </c>
      <c r="S50" s="26">
        <f>(($H$2-($H$2*0.2))/3)*CONTROL!$R50</f>
        <v>0</v>
      </c>
      <c r="T50" s="27">
        <f>((CONTROL!$R50*$H$2)*26.66666%)+IF(V50="SI",$M$2/$V$2,0)</f>
        <v>0</v>
      </c>
      <c r="U50" s="28">
        <f t="shared" si="5"/>
        <v>0</v>
      </c>
      <c r="V50" s="48"/>
    </row>
    <row r="51" spans="1:24" ht="18.75" customHeight="1" x14ac:dyDescent="0.3">
      <c r="A51" s="516">
        <f t="shared" si="3"/>
        <v>48</v>
      </c>
      <c r="B51" s="520" t="s">
        <v>120</v>
      </c>
      <c r="C51" s="7"/>
      <c r="D51" s="68"/>
      <c r="E51" s="6"/>
      <c r="F51" s="6"/>
      <c r="G51" s="62"/>
      <c r="H51" s="62"/>
      <c r="I51" s="61"/>
      <c r="J51" s="62"/>
      <c r="K51" s="62"/>
      <c r="L51" s="62"/>
      <c r="M51" s="65"/>
      <c r="N51" s="66"/>
      <c r="O51" s="66"/>
      <c r="P51" s="66"/>
      <c r="Q51" s="66"/>
      <c r="R51" s="24">
        <f t="shared" si="4"/>
        <v>0</v>
      </c>
      <c r="S51" s="26">
        <f>(($H$2-($H$2*0.2))/3)*CONTROL!$R51</f>
        <v>0</v>
      </c>
      <c r="T51" s="27">
        <f>((CONTROL!$R51*$H$2)*26.66666%)+IF(V51="SI",$M$2/$V$2,0)</f>
        <v>0</v>
      </c>
      <c r="U51" s="28">
        <f t="shared" si="5"/>
        <v>0</v>
      </c>
      <c r="V51" s="48"/>
    </row>
    <row r="52" spans="1:24" ht="19.5" customHeight="1" x14ac:dyDescent="0.3">
      <c r="A52" s="516">
        <f t="shared" si="3"/>
        <v>49</v>
      </c>
      <c r="B52" s="520" t="s">
        <v>121</v>
      </c>
      <c r="C52" s="7"/>
      <c r="D52" s="68"/>
      <c r="E52" s="6"/>
      <c r="F52" s="6"/>
      <c r="G52" s="62"/>
      <c r="H52" s="62"/>
      <c r="I52" s="61"/>
      <c r="J52" s="62"/>
      <c r="K52" s="62"/>
      <c r="L52" s="62"/>
      <c r="M52" s="65"/>
      <c r="N52" s="66"/>
      <c r="O52" s="66"/>
      <c r="P52" s="66"/>
      <c r="Q52" s="66"/>
      <c r="R52" s="24">
        <f t="shared" si="4"/>
        <v>0</v>
      </c>
      <c r="S52" s="26">
        <f>(($H$2-($H$2*0.2))/3)*CONTROL!$R52</f>
        <v>0</v>
      </c>
      <c r="T52" s="27">
        <f>((CONTROL!$R52*$H$2)*26.66666%)+IF(V52="SI",$M$2/$V$2,0)</f>
        <v>0</v>
      </c>
      <c r="U52" s="28">
        <f t="shared" si="5"/>
        <v>0</v>
      </c>
      <c r="V52" s="48"/>
    </row>
    <row r="53" spans="1:24" ht="21.75" customHeight="1" thickBot="1" x14ac:dyDescent="0.35">
      <c r="A53" s="516">
        <f t="shared" si="3"/>
        <v>50</v>
      </c>
      <c r="B53" s="520" t="s">
        <v>122</v>
      </c>
      <c r="C53" s="8"/>
      <c r="D53" s="69"/>
      <c r="E53" s="6"/>
      <c r="F53" s="6"/>
      <c r="G53" s="62"/>
      <c r="H53" s="62"/>
      <c r="I53" s="61"/>
      <c r="J53" s="62"/>
      <c r="K53" s="62"/>
      <c r="L53" s="62"/>
      <c r="M53" s="65"/>
      <c r="N53" s="66"/>
      <c r="O53" s="66"/>
      <c r="P53" s="66"/>
      <c r="Q53" s="66"/>
      <c r="R53" s="25">
        <f t="shared" si="4"/>
        <v>0</v>
      </c>
      <c r="S53" s="29">
        <f>(($H$2-($H$2*0.2))/3)*CONTROL!$R53</f>
        <v>0</v>
      </c>
      <c r="T53" s="27">
        <f>((CONTROL!$R53*$H$2)*26.66666%)+IF(V53="SI",$M$2/$V$2,0)</f>
        <v>0</v>
      </c>
      <c r="U53" s="28">
        <f t="shared" si="5"/>
        <v>0</v>
      </c>
      <c r="V53" s="48"/>
    </row>
    <row r="54" spans="1:24" s="515" customFormat="1" ht="35.25" customHeight="1" x14ac:dyDescent="0.25">
      <c r="B54" s="555" t="s">
        <v>123</v>
      </c>
      <c r="C54" s="556"/>
      <c r="D54" s="49">
        <f>SUM(CONTROL!$D$4:$D$53)</f>
        <v>111000</v>
      </c>
      <c r="E54" s="562">
        <v>0.2</v>
      </c>
      <c r="F54" s="558"/>
      <c r="G54" s="558"/>
      <c r="H54" s="557">
        <f>D54*20%</f>
        <v>22200</v>
      </c>
      <c r="I54" s="558"/>
      <c r="J54" s="558"/>
      <c r="K54" s="58"/>
      <c r="L54" s="58"/>
      <c r="M54" s="58"/>
      <c r="N54" s="59"/>
      <c r="O54" s="59"/>
      <c r="P54" s="59"/>
      <c r="Q54" s="60" t="s">
        <v>124</v>
      </c>
      <c r="R54" s="34">
        <f>D54-H54</f>
        <v>88800</v>
      </c>
      <c r="S54" s="34">
        <f>SUM(S4:S48)</f>
        <v>22666.666666666668</v>
      </c>
      <c r="T54" s="34">
        <f>SUM(T4:T53)</f>
        <v>38665.661</v>
      </c>
      <c r="U54" s="30" t="s">
        <v>125</v>
      </c>
      <c r="V54" s="67">
        <f>COUNTIF(E4:Q4,"X")+X3</f>
        <v>7</v>
      </c>
    </row>
    <row r="55" spans="1:24" ht="33" customHeight="1" thickBot="1" x14ac:dyDescent="0.3">
      <c r="B55" s="14" t="s">
        <v>126</v>
      </c>
      <c r="C55" s="559" t="s">
        <v>127</v>
      </c>
      <c r="D55" s="560"/>
      <c r="E55" s="55">
        <f t="shared" ref="E55:Q55" si="6">COUNTIF(E4:E53,"X")+COUNTIF(E4:E53,"O")</f>
        <v>36</v>
      </c>
      <c r="F55" s="56">
        <f t="shared" si="6"/>
        <v>36</v>
      </c>
      <c r="G55" s="56">
        <f t="shared" si="6"/>
        <v>13</v>
      </c>
      <c r="H55" s="56">
        <f t="shared" si="6"/>
        <v>3</v>
      </c>
      <c r="I55" s="56">
        <f t="shared" si="6"/>
        <v>3</v>
      </c>
      <c r="J55" s="56">
        <f t="shared" si="6"/>
        <v>2</v>
      </c>
      <c r="K55" s="56">
        <f t="shared" si="6"/>
        <v>2</v>
      </c>
      <c r="L55" s="56">
        <f t="shared" si="6"/>
        <v>2</v>
      </c>
      <c r="M55" s="56">
        <f t="shared" si="6"/>
        <v>0</v>
      </c>
      <c r="N55" s="56">
        <f t="shared" si="6"/>
        <v>0</v>
      </c>
      <c r="O55" s="56">
        <f t="shared" si="6"/>
        <v>0</v>
      </c>
      <c r="P55" s="56">
        <f t="shared" si="6"/>
        <v>0</v>
      </c>
      <c r="Q55" s="57">
        <f t="shared" si="6"/>
        <v>0</v>
      </c>
      <c r="R55" s="32" t="s">
        <v>128</v>
      </c>
      <c r="S55" s="32" t="s">
        <v>129</v>
      </c>
      <c r="T55" s="33" t="s">
        <v>130</v>
      </c>
      <c r="U55" s="31" t="s">
        <v>131</v>
      </c>
      <c r="V55" s="50"/>
      <c r="X55" s="351"/>
    </row>
    <row r="56" spans="1:24" ht="33" customHeight="1" x14ac:dyDescent="0.25">
      <c r="B56" s="15">
        <f>COUNTA(C4:C53)</f>
        <v>40</v>
      </c>
      <c r="C56" s="561" t="s">
        <v>132</v>
      </c>
      <c r="D56" s="558"/>
      <c r="E56" s="521">
        <f t="shared" ref="E56:Q56" si="7">E55*($H$2*26.66666%)</f>
        <v>9599.9975999999988</v>
      </c>
      <c r="F56" s="522">
        <f t="shared" si="7"/>
        <v>9599.9975999999988</v>
      </c>
      <c r="G56" s="522">
        <f t="shared" si="7"/>
        <v>3466.6657999999993</v>
      </c>
      <c r="H56" s="522">
        <f t="shared" si="7"/>
        <v>799.99979999999982</v>
      </c>
      <c r="I56" s="522">
        <f t="shared" si="7"/>
        <v>799.99979999999982</v>
      </c>
      <c r="J56" s="522">
        <f t="shared" si="7"/>
        <v>533.33319999999992</v>
      </c>
      <c r="K56" s="522">
        <f t="shared" si="7"/>
        <v>533.33319999999992</v>
      </c>
      <c r="L56" s="522">
        <f t="shared" si="7"/>
        <v>533.33319999999992</v>
      </c>
      <c r="M56" s="522">
        <f t="shared" si="7"/>
        <v>0</v>
      </c>
      <c r="N56" s="522">
        <f t="shared" si="7"/>
        <v>0</v>
      </c>
      <c r="O56" s="522">
        <f t="shared" si="7"/>
        <v>0</v>
      </c>
      <c r="P56" s="522">
        <f t="shared" si="7"/>
        <v>0</v>
      </c>
      <c r="Q56" s="522">
        <f t="shared" si="7"/>
        <v>0</v>
      </c>
      <c r="R56" s="51">
        <f>U56*70%</f>
        <v>78026.666666666672</v>
      </c>
      <c r="S56" s="52">
        <f>U56*15%</f>
        <v>16720</v>
      </c>
      <c r="T56" s="52">
        <f>U56*5%</f>
        <v>5573.3333333333339</v>
      </c>
      <c r="U56" s="53">
        <f>R54+S54</f>
        <v>111466.66666666667</v>
      </c>
      <c r="V56" s="54"/>
    </row>
    <row r="59" spans="1:24" x14ac:dyDescent="0.25">
      <c r="A59">
        <v>4</v>
      </c>
    </row>
  </sheetData>
  <mergeCells count="5">
    <mergeCell ref="B54:C54"/>
    <mergeCell ref="H54:J54"/>
    <mergeCell ref="C55:D55"/>
    <mergeCell ref="C56:D56"/>
    <mergeCell ref="E54:G54"/>
  </mergeCells>
  <conditionalFormatting sqref="E56:Q56">
    <cfRule type="notContainsBlanks" priority="1">
      <formula>LEN(TRIM(E56))&gt;0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208"/>
  <sheetViews>
    <sheetView showGridLines="0" topLeftCell="A34" zoomScale="60" zoomScaleNormal="60" workbookViewId="0">
      <selection activeCell="C8" sqref="C8:C57"/>
    </sheetView>
  </sheetViews>
  <sheetFormatPr baseColWidth="10" defaultRowHeight="15" outlineLevelRow="1" outlineLevelCol="1" x14ac:dyDescent="0.25"/>
  <cols>
    <col min="1" max="1" width="3.42578125" style="514" customWidth="1"/>
    <col min="2" max="2" width="12.7109375" style="9" customWidth="1"/>
    <col min="3" max="3" width="24" style="514" customWidth="1"/>
    <col min="4" max="4" width="22.7109375" style="514" customWidth="1"/>
    <col min="5" max="8" width="6.42578125" style="514" customWidth="1"/>
    <col min="9" max="9" width="7.85546875" style="514" customWidth="1"/>
    <col min="10" max="13" width="6.42578125" style="514" customWidth="1"/>
    <col min="14" max="14" width="6.85546875" style="514" customWidth="1"/>
    <col min="15" max="18" width="6.42578125" style="514" customWidth="1"/>
    <col min="19" max="19" width="6.85546875" style="514" customWidth="1"/>
    <col min="20" max="20" width="6.42578125" style="514" customWidth="1"/>
    <col min="21" max="21" width="7.42578125" style="514" customWidth="1"/>
    <col min="22" max="23" width="6.42578125" style="514" customWidth="1"/>
    <col min="24" max="24" width="7" style="514" customWidth="1"/>
    <col min="25" max="28" width="6.42578125" style="514" customWidth="1"/>
    <col min="29" max="29" width="7.140625" style="514" customWidth="1"/>
    <col min="30" max="31" width="6.42578125" style="514" customWidth="1"/>
    <col min="32" max="32" width="7.42578125" style="514" customWidth="1"/>
    <col min="33" max="34" width="7.85546875" style="514" customWidth="1"/>
    <col min="35" max="38" width="6.42578125" style="514" customWidth="1"/>
    <col min="39" max="39" width="6.85546875" style="514" customWidth="1"/>
    <col min="40" max="40" width="6.42578125" style="514" customWidth="1"/>
    <col min="41" max="41" width="7.42578125" style="514" customWidth="1"/>
    <col min="42" max="43" width="6.42578125" style="514" customWidth="1"/>
    <col min="44" max="44" width="7.42578125" style="514" customWidth="1"/>
    <col min="45" max="48" width="6.42578125" style="514" customWidth="1"/>
    <col min="49" max="49" width="6.85546875" style="514" customWidth="1"/>
    <col min="50" max="53" width="6.42578125" style="514" customWidth="1"/>
    <col min="54" max="54" width="7.85546875" style="514" customWidth="1"/>
    <col min="55" max="58" width="6.42578125" style="514" customWidth="1"/>
    <col min="59" max="59" width="8.42578125" style="351" customWidth="1"/>
    <col min="60" max="63" width="6.42578125" style="514" customWidth="1"/>
    <col min="64" max="64" width="7.5703125" style="351" customWidth="1"/>
    <col min="65" max="68" width="6.42578125" style="514" customWidth="1"/>
    <col min="69" max="69" width="8.28515625" style="514" customWidth="1"/>
    <col min="70" max="73" width="6.42578125" style="514" customWidth="1" outlineLevel="1"/>
    <col min="74" max="74" width="8.28515625" style="514" customWidth="1" outlineLevel="1"/>
    <col min="75" max="78" width="6.42578125" style="514" customWidth="1" outlineLevel="1"/>
    <col min="79" max="79" width="8.28515625" style="514" customWidth="1" outlineLevel="1"/>
    <col min="80" max="83" width="6.42578125" style="514" customWidth="1" outlineLevel="1"/>
    <col min="84" max="84" width="8.28515625" style="514" customWidth="1" outlineLevel="1"/>
    <col min="85" max="86" width="6.42578125" style="514" customWidth="1" outlineLevel="1"/>
    <col min="87" max="87" width="9.7109375" style="514" customWidth="1" outlineLevel="1"/>
    <col min="88" max="89" width="5.28515625" style="514" customWidth="1" outlineLevel="1"/>
    <col min="90" max="90" width="9.85546875" style="514" customWidth="1" outlineLevel="1"/>
    <col min="91" max="92" width="5.28515625" style="514" customWidth="1" outlineLevel="1"/>
    <col min="93" max="93" width="9.85546875" style="514" customWidth="1" outlineLevel="1"/>
    <col min="94" max="95" width="5.28515625" style="514" customWidth="1" outlineLevel="1"/>
    <col min="96" max="96" width="9.85546875" style="514" customWidth="1" outlineLevel="1"/>
    <col min="97" max="97" width="12.85546875" style="514" customWidth="1"/>
    <col min="98" max="98" width="15.7109375" style="514" customWidth="1" outlineLevel="1"/>
    <col min="99" max="99" width="17.42578125" style="514" customWidth="1" outlineLevel="1"/>
    <col min="100" max="100" width="18.5703125" style="514" customWidth="1"/>
    <col min="101" max="101" width="2.7109375" style="514" customWidth="1"/>
    <col min="103" max="103" width="16.7109375" style="514" customWidth="1"/>
    <col min="104" max="104" width="17.85546875" style="514" customWidth="1"/>
    <col min="105" max="105" width="14.42578125" style="514" bestFit="1" customWidth="1"/>
    <col min="106" max="106" width="18.28515625" style="514" customWidth="1"/>
    <col min="122" max="122" width="13.42578125" style="514" bestFit="1" customWidth="1"/>
    <col min="140" max="140" width="13.42578125" style="514" bestFit="1" customWidth="1"/>
  </cols>
  <sheetData>
    <row r="1" spans="1:140" ht="15.75" customHeight="1" thickBot="1" x14ac:dyDescent="0.35">
      <c r="B1" s="72">
        <v>0</v>
      </c>
      <c r="CV1" s="73" t="s">
        <v>133</v>
      </c>
      <c r="CX1" s="74" t="s">
        <v>133</v>
      </c>
      <c r="DA1" s="72" t="s">
        <v>133</v>
      </c>
    </row>
    <row r="2" spans="1:140" s="515" customFormat="1" ht="24" customHeight="1" thickBot="1" x14ac:dyDescent="0.3">
      <c r="B2" s="212" t="s">
        <v>134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  <c r="AY2" s="213"/>
      <c r="AZ2" s="213"/>
      <c r="BA2" s="213"/>
      <c r="BB2" s="213"/>
      <c r="BC2" s="213"/>
      <c r="BD2" s="213"/>
      <c r="BE2" s="213"/>
      <c r="BF2" s="213"/>
      <c r="BG2" s="214"/>
      <c r="BH2" s="213"/>
      <c r="BI2" s="213"/>
      <c r="BJ2" s="213"/>
      <c r="BK2" s="213"/>
      <c r="BL2" s="214"/>
      <c r="BM2" s="213"/>
      <c r="BN2" s="213"/>
      <c r="BO2" s="213"/>
      <c r="BP2" s="213"/>
      <c r="BQ2" s="213"/>
      <c r="BR2" s="213"/>
      <c r="BS2" s="213"/>
      <c r="BT2" s="213"/>
      <c r="BU2" s="213"/>
      <c r="BV2" s="213"/>
      <c r="BW2" s="213"/>
      <c r="BX2" s="213"/>
      <c r="BY2" s="213"/>
      <c r="BZ2" s="213"/>
      <c r="CA2" s="213"/>
      <c r="CB2" s="213"/>
      <c r="CC2" s="213"/>
      <c r="CD2" s="213"/>
      <c r="CE2" s="213"/>
      <c r="CF2" s="213"/>
      <c r="CG2" s="213"/>
      <c r="CH2" s="213"/>
      <c r="CI2" s="213"/>
      <c r="CJ2" s="213"/>
      <c r="CK2" s="213"/>
      <c r="CL2" s="213"/>
      <c r="CM2" s="213"/>
      <c r="CN2" s="213"/>
      <c r="CO2" s="213"/>
      <c r="CP2" s="213"/>
      <c r="CQ2" s="213"/>
      <c r="CR2" s="213"/>
      <c r="CS2" s="221"/>
      <c r="CT2" s="221"/>
      <c r="CU2" s="213"/>
      <c r="CV2" s="215"/>
      <c r="CX2" s="75" t="s">
        <v>135</v>
      </c>
      <c r="DA2" s="76" t="s">
        <v>135</v>
      </c>
    </row>
    <row r="3" spans="1:140" s="79" customFormat="1" ht="24" customHeight="1" thickBot="1" x14ac:dyDescent="0.3">
      <c r="A3" s="515"/>
      <c r="B3" s="244" t="s">
        <v>136</v>
      </c>
      <c r="C3" s="249"/>
      <c r="D3" s="248" t="str">
        <f>CODIGOS_Y_PAGOS[[#Headers],[06/09/2026]]</f>
        <v>06/09/2026</v>
      </c>
      <c r="E3" s="249"/>
      <c r="F3" s="244" t="s">
        <v>137</v>
      </c>
      <c r="G3" s="245"/>
      <c r="H3" s="245"/>
      <c r="I3" s="245"/>
      <c r="J3" s="246"/>
      <c r="K3" s="246"/>
      <c r="L3" s="246"/>
      <c r="M3" s="246"/>
      <c r="N3" s="247"/>
      <c r="O3" s="239">
        <f>CONTROL!H2</f>
        <v>1000</v>
      </c>
      <c r="P3" s="77"/>
      <c r="Q3" s="77"/>
      <c r="R3" s="77"/>
      <c r="S3" s="77"/>
      <c r="T3" s="569" t="s">
        <v>138</v>
      </c>
      <c r="U3" s="570"/>
      <c r="V3" s="570"/>
      <c r="W3" s="570"/>
      <c r="X3" s="570"/>
      <c r="Y3" s="570"/>
      <c r="Z3" s="570"/>
      <c r="AA3" s="570"/>
      <c r="AB3" s="564"/>
      <c r="AC3" s="419">
        <f>COUNTA(BASE01[COD])-COUNTIF(BASE01[TIPO],"NO ENVIÓ")</f>
        <v>39</v>
      </c>
      <c r="AD3" s="457"/>
      <c r="AE3" s="457"/>
      <c r="AF3" s="457"/>
      <c r="AG3" s="458"/>
      <c r="AH3" s="572" t="s">
        <v>139</v>
      </c>
      <c r="AI3" s="570"/>
      <c r="AJ3" s="570"/>
      <c r="AK3" s="570"/>
      <c r="AL3" s="570"/>
      <c r="AM3" s="564"/>
      <c r="AN3" s="419">
        <f>COUNTIF(BASE01[TIPO],"PREMIO")</f>
        <v>36</v>
      </c>
      <c r="AO3" s="457"/>
      <c r="AP3" s="457"/>
      <c r="AQ3" s="457"/>
      <c r="AR3" s="458"/>
      <c r="AS3" s="241" t="s">
        <v>140</v>
      </c>
      <c r="AT3" s="242"/>
      <c r="AU3" s="242"/>
      <c r="AV3" s="242"/>
      <c r="AW3" s="242"/>
      <c r="AX3" s="243"/>
      <c r="AY3" s="239">
        <f>+O3*AN3</f>
        <v>36000</v>
      </c>
      <c r="AZ3" s="240"/>
      <c r="BA3" s="240"/>
      <c r="BB3" s="240"/>
      <c r="BC3" s="216"/>
      <c r="BD3" s="216"/>
      <c r="BE3" s="216"/>
      <c r="BF3" s="216"/>
      <c r="BG3" s="217"/>
      <c r="BH3" s="216"/>
      <c r="BI3" s="216"/>
      <c r="BJ3" s="216"/>
      <c r="BK3" s="216"/>
      <c r="BL3" s="217"/>
      <c r="BM3" s="216"/>
      <c r="BN3" s="216"/>
      <c r="BO3" s="216"/>
      <c r="BP3" s="216"/>
      <c r="BQ3" s="216"/>
      <c r="BR3" s="216"/>
      <c r="BS3" s="216"/>
      <c r="BT3" s="216"/>
      <c r="BU3" s="216"/>
      <c r="BV3" s="216"/>
      <c r="BW3" s="216"/>
      <c r="BX3" s="216"/>
      <c r="BY3" s="216"/>
      <c r="BZ3" s="216"/>
      <c r="CA3" s="216"/>
      <c r="CB3" s="216"/>
      <c r="CC3" s="216"/>
      <c r="CD3" s="216"/>
      <c r="CE3" s="216"/>
      <c r="CF3" s="216"/>
      <c r="CG3" s="218" t="s">
        <v>141</v>
      </c>
      <c r="CH3" s="218"/>
      <c r="CI3" s="218"/>
      <c r="CJ3" s="218"/>
      <c r="CK3" s="218"/>
      <c r="CL3" s="218"/>
      <c r="CM3" s="218"/>
      <c r="CN3" s="218"/>
      <c r="CO3" s="218"/>
      <c r="CP3" s="218"/>
      <c r="CQ3" s="218"/>
      <c r="CR3" s="218"/>
      <c r="CS3" s="222"/>
      <c r="CT3" s="223"/>
      <c r="CU3" s="228"/>
      <c r="CV3" s="229"/>
      <c r="CW3" s="515"/>
      <c r="CX3" s="78" t="s">
        <v>142</v>
      </c>
    </row>
    <row r="4" spans="1:140" s="79" customFormat="1" ht="21" customHeight="1" thickBot="1" x14ac:dyDescent="0.4">
      <c r="A4" s="515"/>
      <c r="B4" s="254">
        <f>COUNTA(F6,K6,P6,U6,Z6,AE6,AJ6,AO6,AT6,AY6,BD6,BI6,BN6,BS6,BX6,CC6)</f>
        <v>13</v>
      </c>
      <c r="C4" s="250" t="s">
        <v>143</v>
      </c>
      <c r="D4" s="251" t="s">
        <v>144</v>
      </c>
      <c r="E4" s="523">
        <f>D5+1</f>
        <v>1</v>
      </c>
      <c r="F4" s="256"/>
      <c r="G4" s="256"/>
      <c r="H4" s="257"/>
      <c r="I4" s="258"/>
      <c r="J4" s="523">
        <f>E4+1</f>
        <v>2</v>
      </c>
      <c r="K4" s="256"/>
      <c r="L4" s="256"/>
      <c r="M4" s="257"/>
      <c r="N4" s="258"/>
      <c r="O4" s="523">
        <f>J4+1</f>
        <v>3</v>
      </c>
      <c r="P4" s="256"/>
      <c r="Q4" s="256"/>
      <c r="R4" s="257"/>
      <c r="S4" s="258"/>
      <c r="T4" s="523">
        <f>O4+1</f>
        <v>4</v>
      </c>
      <c r="U4" s="256"/>
      <c r="V4" s="256"/>
      <c r="W4" s="257"/>
      <c r="X4" s="258"/>
      <c r="Y4" s="523">
        <f>T4+1</f>
        <v>5</v>
      </c>
      <c r="Z4" s="256"/>
      <c r="AA4" s="256"/>
      <c r="AB4" s="257"/>
      <c r="AC4" s="258"/>
      <c r="AD4" s="523">
        <f>Y4+1</f>
        <v>6</v>
      </c>
      <c r="AE4" s="256"/>
      <c r="AF4" s="256"/>
      <c r="AG4" s="257"/>
      <c r="AH4" s="258"/>
      <c r="AI4" s="523">
        <f>AD4+1</f>
        <v>7</v>
      </c>
      <c r="AJ4" s="256"/>
      <c r="AK4" s="256"/>
      <c r="AL4" s="257"/>
      <c r="AM4" s="258"/>
      <c r="AN4" s="523">
        <f>AI4+1</f>
        <v>8</v>
      </c>
      <c r="AO4" s="256"/>
      <c r="AP4" s="256"/>
      <c r="AQ4" s="257"/>
      <c r="AR4" s="258"/>
      <c r="AS4" s="523">
        <f>AN4+1</f>
        <v>9</v>
      </c>
      <c r="AT4" s="256"/>
      <c r="AU4" s="256"/>
      <c r="AV4" s="257"/>
      <c r="AW4" s="258"/>
      <c r="AX4" s="523">
        <f>AS4+1</f>
        <v>10</v>
      </c>
      <c r="AY4" s="256"/>
      <c r="AZ4" s="256"/>
      <c r="BA4" s="257"/>
      <c r="BB4" s="258"/>
      <c r="BC4" s="523">
        <f>AX4+1</f>
        <v>11</v>
      </c>
      <c r="BD4" s="256"/>
      <c r="BE4" s="256"/>
      <c r="BF4" s="257"/>
      <c r="BG4" s="258"/>
      <c r="BH4" s="523">
        <f>BC4+1</f>
        <v>12</v>
      </c>
      <c r="BI4" s="256"/>
      <c r="BJ4" s="256"/>
      <c r="BK4" s="257"/>
      <c r="BL4" s="258"/>
      <c r="BM4" s="523">
        <f>BH4+1</f>
        <v>13</v>
      </c>
      <c r="BN4" s="256"/>
      <c r="BO4" s="256"/>
      <c r="BP4" s="257"/>
      <c r="BQ4" s="258"/>
      <c r="BR4" s="523">
        <f>BM4+1</f>
        <v>14</v>
      </c>
      <c r="BS4" s="256"/>
      <c r="BT4" s="256"/>
      <c r="BU4" s="257"/>
      <c r="BV4" s="258"/>
      <c r="BW4" s="523">
        <f>BR4+1</f>
        <v>15</v>
      </c>
      <c r="BX4" s="256"/>
      <c r="BY4" s="256"/>
      <c r="BZ4" s="257"/>
      <c r="CA4" s="258"/>
      <c r="CB4" s="523">
        <f>BW4+1</f>
        <v>16</v>
      </c>
      <c r="CC4" s="256"/>
      <c r="CD4" s="256"/>
      <c r="CE4" s="257"/>
      <c r="CF4" s="258"/>
      <c r="CG4" s="219" t="s">
        <v>145</v>
      </c>
      <c r="CH4" s="220"/>
      <c r="CI4" s="220"/>
      <c r="CJ4" s="220"/>
      <c r="CK4" s="220"/>
      <c r="CL4" s="220"/>
      <c r="CM4" s="220"/>
      <c r="CN4" s="220"/>
      <c r="CO4" s="220"/>
      <c r="CP4" s="220"/>
      <c r="CQ4" s="220"/>
      <c r="CR4" s="220"/>
      <c r="CS4" s="224"/>
      <c r="CT4" s="225"/>
      <c r="CU4" s="230"/>
      <c r="CV4" s="231"/>
      <c r="CW4" s="515"/>
      <c r="CX4" s="78" t="s">
        <v>146</v>
      </c>
    </row>
    <row r="5" spans="1:140" s="79" customFormat="1" ht="21" customHeight="1" thickBot="1" x14ac:dyDescent="0.35">
      <c r="A5" s="515"/>
      <c r="B5" s="165">
        <f>ROUNDUP($C$5/2, 0)</f>
        <v>7</v>
      </c>
      <c r="C5" s="166">
        <f>COUNTA('SEM 1'!E8,'SEM 1'!J8,'SEM 1'!O8,'SEM 1'!T8,'SEM 1'!Y8,'SEM 1'!AD8,'SEM 1'!AI8,'SEM 1'!AN8,'SEM 1'!AS8,'SEM 1'!AX8,'SEM 1'!BC8,'SEM 1'!BH8,'SEM 1'!BM8,'SEM 1'!BR8,'SEM 1'!BW8,'SEM 1'!CB8)</f>
        <v>13</v>
      </c>
      <c r="D5" s="429">
        <v>0</v>
      </c>
      <c r="E5" s="524">
        <v>8</v>
      </c>
      <c r="F5" s="525">
        <v>6</v>
      </c>
      <c r="G5" s="526">
        <v>4</v>
      </c>
      <c r="H5" s="527" t="str">
        <f>E5&amp;"SF"</f>
        <v>8SF</v>
      </c>
      <c r="I5" s="528" t="str">
        <f>E5&amp;"F"</f>
        <v>8F</v>
      </c>
      <c r="J5" s="529">
        <v>3</v>
      </c>
      <c r="K5" s="529">
        <v>8</v>
      </c>
      <c r="L5" s="529">
        <v>5</v>
      </c>
      <c r="M5" s="530" t="str">
        <f>J5&amp;"SF"</f>
        <v>3SF</v>
      </c>
      <c r="N5" s="531" t="str">
        <f>J5&amp;"F"</f>
        <v>3F</v>
      </c>
      <c r="O5" s="532">
        <v>6</v>
      </c>
      <c r="P5" s="529">
        <v>8</v>
      </c>
      <c r="Q5" s="529">
        <v>5</v>
      </c>
      <c r="R5" s="530" t="str">
        <f>O5&amp;"SF"</f>
        <v>6SF</v>
      </c>
      <c r="S5" s="531" t="str">
        <f>O5&amp;"F"</f>
        <v>6F</v>
      </c>
      <c r="T5" s="532">
        <v>6</v>
      </c>
      <c r="U5" s="529">
        <v>9</v>
      </c>
      <c r="V5" s="529">
        <v>7</v>
      </c>
      <c r="W5" s="530" t="str">
        <f>T5&amp;"SF"</f>
        <v>6SF</v>
      </c>
      <c r="X5" s="531" t="str">
        <f>T5&amp;"F"</f>
        <v>6F</v>
      </c>
      <c r="Y5" s="532">
        <v>5</v>
      </c>
      <c r="Z5" s="529">
        <v>8</v>
      </c>
      <c r="AA5" s="529">
        <v>6</v>
      </c>
      <c r="AB5" s="530" t="str">
        <f>Y5&amp;"SF"</f>
        <v>5SF</v>
      </c>
      <c r="AC5" s="531" t="str">
        <f>Y5&amp;"F"</f>
        <v>5F</v>
      </c>
      <c r="AD5" s="532">
        <v>2</v>
      </c>
      <c r="AE5" s="529">
        <v>5</v>
      </c>
      <c r="AF5" s="529">
        <v>7</v>
      </c>
      <c r="AG5" s="530" t="str">
        <f>AD5&amp;"SF"</f>
        <v>2SF</v>
      </c>
      <c r="AH5" s="531" t="str">
        <f>AD5&amp;"F"</f>
        <v>2F</v>
      </c>
      <c r="AI5" s="532">
        <v>4</v>
      </c>
      <c r="AJ5" s="529">
        <v>3</v>
      </c>
      <c r="AK5" s="529">
        <v>6</v>
      </c>
      <c r="AL5" s="530" t="str">
        <f>AI5&amp;"SF"</f>
        <v>4SF</v>
      </c>
      <c r="AM5" s="531" t="str">
        <f>AI5&amp;"F"</f>
        <v>4F</v>
      </c>
      <c r="AN5" s="532">
        <v>5</v>
      </c>
      <c r="AO5" s="529">
        <v>6</v>
      </c>
      <c r="AP5" s="529">
        <v>4</v>
      </c>
      <c r="AQ5" s="530" t="str">
        <f>AN5&amp;"SF"</f>
        <v>5SF</v>
      </c>
      <c r="AR5" s="531" t="str">
        <f>AN5&amp;"F"</f>
        <v>5F</v>
      </c>
      <c r="AS5" s="532">
        <v>4</v>
      </c>
      <c r="AT5" s="529">
        <v>1</v>
      </c>
      <c r="AU5" s="529">
        <v>7</v>
      </c>
      <c r="AV5" s="530" t="str">
        <f>AS5&amp;"SF"</f>
        <v>4SF</v>
      </c>
      <c r="AW5" s="531" t="str">
        <f>AS5&amp;"F"</f>
        <v>4F</v>
      </c>
      <c r="AX5" s="532">
        <v>1</v>
      </c>
      <c r="AY5" s="529">
        <v>2</v>
      </c>
      <c r="AZ5" s="529">
        <v>7</v>
      </c>
      <c r="BA5" s="530" t="str">
        <f>AX5&amp;"SF"</f>
        <v>1SF</v>
      </c>
      <c r="BB5" s="531" t="str">
        <f>AX5&amp;"F"</f>
        <v>1F</v>
      </c>
      <c r="BC5" s="532">
        <v>4</v>
      </c>
      <c r="BD5" s="529">
        <v>2</v>
      </c>
      <c r="BE5" s="529">
        <v>7</v>
      </c>
      <c r="BF5" s="530" t="str">
        <f>BC5&amp;"SF"</f>
        <v>4SF</v>
      </c>
      <c r="BG5" s="531" t="str">
        <f>BC5&amp;"F"</f>
        <v>4F</v>
      </c>
      <c r="BH5" s="532">
        <v>2</v>
      </c>
      <c r="BI5" s="529">
        <v>6</v>
      </c>
      <c r="BJ5" s="529">
        <v>5</v>
      </c>
      <c r="BK5" s="530" t="str">
        <f>BH5&amp;"SF"</f>
        <v>2SF</v>
      </c>
      <c r="BL5" s="531" t="str">
        <f>$BH$5&amp;"F"</f>
        <v>2F</v>
      </c>
      <c r="BM5" s="532">
        <v>3</v>
      </c>
      <c r="BN5" s="529">
        <v>9</v>
      </c>
      <c r="BO5" s="529">
        <v>2</v>
      </c>
      <c r="BP5" s="530" t="str">
        <f>BM5&amp;"SF"</f>
        <v>3SF</v>
      </c>
      <c r="BQ5" s="531" t="str">
        <f>BM5&amp;"F"</f>
        <v>3F</v>
      </c>
      <c r="BR5" s="532" t="s">
        <v>68</v>
      </c>
      <c r="BS5" s="529"/>
      <c r="BT5" s="529"/>
      <c r="BU5" s="530" t="str">
        <f>BR5&amp;"SF"</f>
        <v>-SF</v>
      </c>
      <c r="BV5" s="531" t="str">
        <f>BR5&amp;"F"</f>
        <v>-F</v>
      </c>
      <c r="BW5" s="532" t="s">
        <v>68</v>
      </c>
      <c r="BX5" s="529"/>
      <c r="BY5" s="529"/>
      <c r="BZ5" s="530" t="str">
        <f>BW5&amp;"SF"</f>
        <v>-SF</v>
      </c>
      <c r="CA5" s="531" t="str">
        <f>BW5&amp;"F"</f>
        <v>-F</v>
      </c>
      <c r="CB5" s="532" t="s">
        <v>68</v>
      </c>
      <c r="CC5" s="529"/>
      <c r="CD5" s="529"/>
      <c r="CE5" s="530" t="str">
        <f>CB5&amp;"SF"</f>
        <v>-SF</v>
      </c>
      <c r="CF5" s="531" t="str">
        <f>CB5&amp;"F"</f>
        <v>-F</v>
      </c>
      <c r="CG5" s="151"/>
      <c r="CH5" s="152"/>
      <c r="CI5" s="152"/>
      <c r="CJ5" s="152"/>
      <c r="CK5" s="152"/>
      <c r="CL5" s="152"/>
      <c r="CM5" s="152"/>
      <c r="CN5" s="152"/>
      <c r="CO5" s="152"/>
      <c r="CP5" s="152"/>
      <c r="CQ5" s="152"/>
      <c r="CR5" s="152"/>
      <c r="CS5" s="509" t="s">
        <v>133</v>
      </c>
      <c r="CT5" s="227"/>
      <c r="CU5" s="273">
        <f>(AY3*80%)/3</f>
        <v>9600</v>
      </c>
      <c r="CV5" s="232"/>
      <c r="CW5" s="515"/>
    </row>
    <row r="6" spans="1:140" s="79" customFormat="1" ht="21" customHeight="1" x14ac:dyDescent="0.25">
      <c r="A6" s="515"/>
      <c r="B6" s="255">
        <f>COUNTA(F6,Z6,AY6)</f>
        <v>3</v>
      </c>
      <c r="C6" s="253" t="s">
        <v>147</v>
      </c>
      <c r="D6" s="252"/>
      <c r="E6" s="259" t="s">
        <v>148</v>
      </c>
      <c r="F6" s="260">
        <v>259.27999999999997</v>
      </c>
      <c r="G6" s="261"/>
      <c r="H6" s="261"/>
      <c r="I6" s="262"/>
      <c r="J6" s="263" t="s">
        <v>148</v>
      </c>
      <c r="K6" s="264">
        <v>211.39</v>
      </c>
      <c r="L6" s="265"/>
      <c r="M6" s="265"/>
      <c r="N6" s="266"/>
      <c r="O6" s="267" t="s">
        <v>148</v>
      </c>
      <c r="P6" s="264">
        <v>298.11</v>
      </c>
      <c r="Q6" s="265"/>
      <c r="R6" s="265"/>
      <c r="S6" s="266"/>
      <c r="T6" s="267" t="s">
        <v>148</v>
      </c>
      <c r="U6" s="264">
        <v>110</v>
      </c>
      <c r="V6" s="265"/>
      <c r="W6" s="265"/>
      <c r="X6" s="266"/>
      <c r="Y6" s="267" t="s">
        <v>148</v>
      </c>
      <c r="Z6" s="264">
        <v>110</v>
      </c>
      <c r="AA6" s="265"/>
      <c r="AB6" s="265"/>
      <c r="AC6" s="266"/>
      <c r="AD6" s="267" t="s">
        <v>148</v>
      </c>
      <c r="AE6" s="264">
        <v>232.48</v>
      </c>
      <c r="AF6" s="265"/>
      <c r="AG6" s="265"/>
      <c r="AH6" s="266"/>
      <c r="AI6" s="267" t="s">
        <v>148</v>
      </c>
      <c r="AJ6" s="264">
        <v>183.74</v>
      </c>
      <c r="AK6" s="265"/>
      <c r="AL6" s="265"/>
      <c r="AM6" s="266"/>
      <c r="AN6" s="267" t="s">
        <v>148</v>
      </c>
      <c r="AO6" s="264">
        <v>802.92</v>
      </c>
      <c r="AP6" s="265"/>
      <c r="AQ6" s="265"/>
      <c r="AR6" s="266"/>
      <c r="AS6" s="267" t="s">
        <v>148</v>
      </c>
      <c r="AT6" s="264">
        <v>3121.92</v>
      </c>
      <c r="AU6" s="265"/>
      <c r="AV6" s="265"/>
      <c r="AW6" s="266"/>
      <c r="AX6" s="267" t="s">
        <v>148</v>
      </c>
      <c r="AY6" s="264">
        <v>235.64</v>
      </c>
      <c r="AZ6" s="265"/>
      <c r="BA6" s="265"/>
      <c r="BB6" s="266"/>
      <c r="BC6" s="267" t="s">
        <v>148</v>
      </c>
      <c r="BD6" s="264">
        <v>184.94</v>
      </c>
      <c r="BE6" s="265"/>
      <c r="BF6" s="265"/>
      <c r="BG6" s="268"/>
      <c r="BH6" s="267" t="s">
        <v>148</v>
      </c>
      <c r="BI6" s="264">
        <v>532.80999999999995</v>
      </c>
      <c r="BJ6" s="265"/>
      <c r="BK6" s="265"/>
      <c r="BL6" s="268"/>
      <c r="BM6" s="267" t="s">
        <v>148</v>
      </c>
      <c r="BN6" s="264">
        <v>272.76</v>
      </c>
      <c r="BO6" s="265"/>
      <c r="BP6" s="265"/>
      <c r="BQ6" s="266"/>
      <c r="BR6" s="267" t="s">
        <v>148</v>
      </c>
      <c r="BS6" s="264"/>
      <c r="BT6" s="265"/>
      <c r="BU6" s="265"/>
      <c r="BV6" s="266"/>
      <c r="BW6" s="267" t="s">
        <v>148</v>
      </c>
      <c r="BX6" s="264"/>
      <c r="BY6" s="265"/>
      <c r="BZ6" s="265"/>
      <c r="CA6" s="266"/>
      <c r="CB6" s="267" t="s">
        <v>148</v>
      </c>
      <c r="CC6" s="264"/>
      <c r="CD6" s="265"/>
      <c r="CE6" s="265"/>
      <c r="CF6" s="266"/>
      <c r="CG6" s="236" t="s">
        <v>149</v>
      </c>
      <c r="CH6" s="237"/>
      <c r="CI6" s="238"/>
      <c r="CJ6" s="236" t="s">
        <v>150</v>
      </c>
      <c r="CK6" s="237"/>
      <c r="CL6" s="238"/>
      <c r="CM6" s="236" t="s">
        <v>151</v>
      </c>
      <c r="CN6" s="237"/>
      <c r="CO6" s="238"/>
      <c r="CP6" s="233" t="s">
        <v>147</v>
      </c>
      <c r="CQ6" s="234"/>
      <c r="CR6" s="235"/>
      <c r="CS6" s="275" t="s">
        <v>152</v>
      </c>
      <c r="CT6" s="276" t="s">
        <v>153</v>
      </c>
      <c r="CU6" s="274" t="s">
        <v>154</v>
      </c>
      <c r="CV6" s="274" t="s">
        <v>155</v>
      </c>
      <c r="CW6" s="515"/>
      <c r="DB6" s="395" t="s">
        <v>156</v>
      </c>
      <c r="DC6" s="395"/>
      <c r="DD6" s="395"/>
      <c r="DE6" s="395"/>
      <c r="DF6" s="395"/>
      <c r="DG6" s="395"/>
      <c r="DH6" s="395"/>
      <c r="DI6" s="395"/>
      <c r="DJ6" s="395"/>
      <c r="DK6" s="395"/>
      <c r="DL6" s="395"/>
      <c r="DM6" s="395"/>
      <c r="DN6" s="395"/>
      <c r="DO6" s="395"/>
      <c r="DP6" s="395"/>
      <c r="DQ6" s="395"/>
      <c r="DR6" s="395"/>
      <c r="DT6" s="392" t="s">
        <v>157</v>
      </c>
      <c r="DU6" s="393"/>
      <c r="DV6" s="393"/>
      <c r="DW6" s="393"/>
      <c r="DX6" s="393"/>
      <c r="DY6" s="393"/>
      <c r="DZ6" s="393"/>
      <c r="EA6" s="393"/>
      <c r="EB6" s="393"/>
      <c r="EC6" s="393"/>
      <c r="ED6" s="393"/>
      <c r="EE6" s="393"/>
      <c r="EF6" s="393"/>
      <c r="EG6" s="393"/>
      <c r="EH6" s="393"/>
      <c r="EI6" s="393"/>
      <c r="EJ6" s="394"/>
    </row>
    <row r="7" spans="1:140" ht="27.75" customHeight="1" x14ac:dyDescent="0.25">
      <c r="A7" s="515"/>
      <c r="B7" s="80" t="s">
        <v>158</v>
      </c>
      <c r="C7" s="81" t="s">
        <v>159</v>
      </c>
      <c r="D7" s="81" t="s">
        <v>160</v>
      </c>
      <c r="E7" s="82" t="s">
        <v>161</v>
      </c>
      <c r="F7" s="82" t="s">
        <v>162</v>
      </c>
      <c r="G7" s="82" t="s">
        <v>163</v>
      </c>
      <c r="H7" s="82" t="s">
        <v>164</v>
      </c>
      <c r="I7" s="82" t="s">
        <v>165</v>
      </c>
      <c r="J7" s="82" t="s">
        <v>166</v>
      </c>
      <c r="K7" s="82" t="s">
        <v>21</v>
      </c>
      <c r="L7" s="82" t="s">
        <v>167</v>
      </c>
      <c r="M7" s="82" t="s">
        <v>168</v>
      </c>
      <c r="N7" s="82" t="s">
        <v>22</v>
      </c>
      <c r="O7" s="82" t="s">
        <v>23</v>
      </c>
      <c r="P7" s="82" t="s">
        <v>24</v>
      </c>
      <c r="Q7" s="82" t="s">
        <v>169</v>
      </c>
      <c r="R7" s="82" t="s">
        <v>170</v>
      </c>
      <c r="S7" s="82" t="s">
        <v>171</v>
      </c>
      <c r="T7" s="82" t="s">
        <v>172</v>
      </c>
      <c r="U7" s="82" t="s">
        <v>173</v>
      </c>
      <c r="V7" s="82" t="s">
        <v>174</v>
      </c>
      <c r="W7" s="82" t="s">
        <v>175</v>
      </c>
      <c r="X7" s="82" t="s">
        <v>176</v>
      </c>
      <c r="Y7" s="82" t="s">
        <v>177</v>
      </c>
      <c r="Z7" s="82" t="s">
        <v>178</v>
      </c>
      <c r="AA7" s="82" t="s">
        <v>179</v>
      </c>
      <c r="AB7" s="82" t="s">
        <v>180</v>
      </c>
      <c r="AC7" s="82" t="s">
        <v>181</v>
      </c>
      <c r="AD7" s="82" t="s">
        <v>182</v>
      </c>
      <c r="AE7" s="82" t="s">
        <v>183</v>
      </c>
      <c r="AF7" s="82" t="s">
        <v>184</v>
      </c>
      <c r="AG7" s="82" t="s">
        <v>185</v>
      </c>
      <c r="AH7" s="82" t="s">
        <v>186</v>
      </c>
      <c r="AI7" s="82" t="s">
        <v>187</v>
      </c>
      <c r="AJ7" s="82" t="s">
        <v>188</v>
      </c>
      <c r="AK7" s="82" t="s">
        <v>189</v>
      </c>
      <c r="AL7" s="82" t="s">
        <v>190</v>
      </c>
      <c r="AM7" s="82" t="s">
        <v>191</v>
      </c>
      <c r="AN7" s="82" t="s">
        <v>192</v>
      </c>
      <c r="AO7" s="82" t="s">
        <v>193</v>
      </c>
      <c r="AP7" s="82" t="s">
        <v>194</v>
      </c>
      <c r="AQ7" s="82" t="s">
        <v>195</v>
      </c>
      <c r="AR7" s="82" t="s">
        <v>196</v>
      </c>
      <c r="AS7" s="80" t="s">
        <v>197</v>
      </c>
      <c r="AT7" s="80" t="s">
        <v>198</v>
      </c>
      <c r="AU7" s="80" t="s">
        <v>199</v>
      </c>
      <c r="AV7" s="80" t="s">
        <v>200</v>
      </c>
      <c r="AW7" s="80" t="s">
        <v>201</v>
      </c>
      <c r="AX7" s="83" t="s">
        <v>202</v>
      </c>
      <c r="AY7" s="84" t="s">
        <v>203</v>
      </c>
      <c r="AZ7" s="85" t="s">
        <v>204</v>
      </c>
      <c r="BA7" s="85" t="s">
        <v>205</v>
      </c>
      <c r="BB7" s="86" t="s">
        <v>206</v>
      </c>
      <c r="BC7" s="85" t="s">
        <v>207</v>
      </c>
      <c r="BD7" s="85" t="s">
        <v>208</v>
      </c>
      <c r="BE7" s="85" t="s">
        <v>209</v>
      </c>
      <c r="BF7" s="85" t="s">
        <v>210</v>
      </c>
      <c r="BG7" s="85" t="s">
        <v>211</v>
      </c>
      <c r="BH7" s="85" t="s">
        <v>212</v>
      </c>
      <c r="BI7" s="85" t="s">
        <v>213</v>
      </c>
      <c r="BJ7" s="85" t="s">
        <v>214</v>
      </c>
      <c r="BK7" s="85" t="s">
        <v>215</v>
      </c>
      <c r="BL7" s="85" t="s">
        <v>216</v>
      </c>
      <c r="BM7" s="85" t="s">
        <v>217</v>
      </c>
      <c r="BN7" s="85" t="s">
        <v>218</v>
      </c>
      <c r="BO7" s="85" t="s">
        <v>219</v>
      </c>
      <c r="BP7" s="85" t="s">
        <v>220</v>
      </c>
      <c r="BQ7" s="85" t="s">
        <v>221</v>
      </c>
      <c r="BR7" s="85" t="s">
        <v>222</v>
      </c>
      <c r="BS7" s="85" t="s">
        <v>223</v>
      </c>
      <c r="BT7" s="85" t="s">
        <v>224</v>
      </c>
      <c r="BU7" s="85" t="s">
        <v>225</v>
      </c>
      <c r="BV7" s="85" t="s">
        <v>226</v>
      </c>
      <c r="BW7" s="85" t="s">
        <v>227</v>
      </c>
      <c r="BX7" s="85" t="s">
        <v>228</v>
      </c>
      <c r="BY7" s="85" t="s">
        <v>229</v>
      </c>
      <c r="BZ7" s="85" t="s">
        <v>230</v>
      </c>
      <c r="CA7" s="85" t="s">
        <v>231</v>
      </c>
      <c r="CB7" s="85" t="s">
        <v>232</v>
      </c>
      <c r="CC7" s="85" t="s">
        <v>233</v>
      </c>
      <c r="CD7" s="85" t="s">
        <v>234</v>
      </c>
      <c r="CE7" s="85" t="s">
        <v>235</v>
      </c>
      <c r="CF7" s="85" t="s">
        <v>236</v>
      </c>
      <c r="CG7" s="87" t="s">
        <v>237</v>
      </c>
      <c r="CH7" s="87" t="s">
        <v>238</v>
      </c>
      <c r="CI7" s="88" t="s">
        <v>239</v>
      </c>
      <c r="CJ7" s="87" t="s">
        <v>240</v>
      </c>
      <c r="CK7" s="87" t="s">
        <v>241</v>
      </c>
      <c r="CL7" s="88" t="s">
        <v>242</v>
      </c>
      <c r="CM7" s="89" t="s">
        <v>243</v>
      </c>
      <c r="CN7" s="87" t="s">
        <v>244</v>
      </c>
      <c r="CO7" s="88" t="s">
        <v>245</v>
      </c>
      <c r="CP7" s="89" t="s">
        <v>246</v>
      </c>
      <c r="CQ7" s="87" t="s">
        <v>247</v>
      </c>
      <c r="CR7" s="87" t="s">
        <v>248</v>
      </c>
      <c r="CS7" s="90" t="s">
        <v>20</v>
      </c>
      <c r="CT7" s="90" t="s">
        <v>249</v>
      </c>
      <c r="CU7" s="90" t="s">
        <v>250</v>
      </c>
      <c r="CV7" s="80" t="s">
        <v>251</v>
      </c>
      <c r="CW7" s="515"/>
      <c r="CY7" t="s">
        <v>252</v>
      </c>
      <c r="CZ7" t="s">
        <v>253</v>
      </c>
      <c r="DB7" s="396" t="s">
        <v>9</v>
      </c>
      <c r="DC7" s="397">
        <v>1</v>
      </c>
      <c r="DD7" s="396">
        <v>2</v>
      </c>
      <c r="DE7" s="396">
        <v>3</v>
      </c>
      <c r="DF7" s="396">
        <v>4</v>
      </c>
      <c r="DG7" s="396">
        <v>5</v>
      </c>
      <c r="DH7" s="396">
        <v>6</v>
      </c>
      <c r="DI7" s="396">
        <v>7</v>
      </c>
      <c r="DJ7" s="396">
        <v>8</v>
      </c>
      <c r="DK7" s="396">
        <v>9</v>
      </c>
      <c r="DL7" s="396">
        <v>10</v>
      </c>
      <c r="DM7" s="396">
        <v>11</v>
      </c>
      <c r="DN7" s="396">
        <v>12</v>
      </c>
      <c r="DO7" s="396">
        <v>13</v>
      </c>
      <c r="DP7" s="396">
        <v>14</v>
      </c>
      <c r="DQ7" s="396">
        <v>15</v>
      </c>
      <c r="DR7" s="396">
        <v>16</v>
      </c>
      <c r="DT7" s="396" t="s">
        <v>9</v>
      </c>
      <c r="DU7" s="397">
        <v>1</v>
      </c>
      <c r="DV7" s="396">
        <v>2</v>
      </c>
      <c r="DW7" s="396">
        <v>3</v>
      </c>
      <c r="DX7" s="396">
        <v>4</v>
      </c>
      <c r="DY7" s="396">
        <v>5</v>
      </c>
      <c r="DZ7" s="396">
        <v>6</v>
      </c>
      <c r="EA7" s="396">
        <v>7</v>
      </c>
      <c r="EB7" s="396">
        <v>8</v>
      </c>
      <c r="EC7" s="396">
        <v>9</v>
      </c>
      <c r="ED7" s="396">
        <v>10</v>
      </c>
      <c r="EE7" s="396">
        <v>11</v>
      </c>
      <c r="EF7" s="396">
        <v>12</v>
      </c>
      <c r="EG7" s="396">
        <v>13</v>
      </c>
      <c r="EH7" s="396">
        <v>14</v>
      </c>
      <c r="EI7" s="396">
        <v>15</v>
      </c>
      <c r="EJ7" s="396">
        <v>16</v>
      </c>
    </row>
    <row r="8" spans="1:140" ht="20.100000000000001" customHeight="1" x14ac:dyDescent="0.35">
      <c r="A8" s="515"/>
      <c r="B8" s="91">
        <f>IF(BASE01[[#This Row],[COD]]&lt;&gt;"",B7+1,"")</f>
        <v>1</v>
      </c>
      <c r="C8" s="533" t="s">
        <v>29</v>
      </c>
      <c r="D8" s="92" t="str">
        <f t="array" ref="D8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8" s="143">
        <v>6</v>
      </c>
      <c r="F8" s="145">
        <v>1</v>
      </c>
      <c r="G8" s="145">
        <v>8</v>
      </c>
      <c r="H8" s="145"/>
      <c r="I8" s="534">
        <f t="shared" ref="I8:I39" si="0">SUM(IF(E8=E$5,4,0),IF(E8&amp;F8=E$5&amp;F$5,1,0),
IF(AND(E8=E$5,F$6&gt;=$D$115),1,0),
IF(AND(F8=E$5,F$6&gt;=$D$115),1,0),
IF(AND(G8=E$5,F$6&gt;=$D$115),1,0),
IF(E8&amp;H8=I$5,1,0),
IF(F8=E$5,2,0),
IF(G8=E$5,1,0),
IF(OR(E8&amp;F8&amp;G8=E$5&amp;F$5&amp;G$5,E8&amp;F8&amp;G8=E$5&amp;G$5&amp;F$5,E8&amp;F8&amp;G8=F$5&amp;E$5&amp;G$5,E8&amp;F8&amp;G8=F$5&amp;G$5&amp;E$5,E8&amp;F8&amp;G8=G$5&amp;E$5&amp;F$5,E8&amp;F8&amp;G8=G$5&amp;F$5&amp;E$5),2,0),IF(AND(E8=E$5,F$6&gt;=$D$129),1,0),IF(AND(F8=E$5,F$6&gt;=$D$129),1,0),IF(AND(G8=E$5,F$6&gt;=$D$129),1,0),IF(E8&amp;H8=H$5,4,0),IF(AND(E8=E$5,F$6&lt;=$D$104),-0.5,0),IF(AND(F8=E$5,F$6&lt;=$D$104),-0.5,0),IF(AND(G8=E$5,F$6&lt;=$D$104),-0.5,0))</f>
        <v>1</v>
      </c>
      <c r="J8" s="143">
        <v>8</v>
      </c>
      <c r="K8" s="145">
        <v>3</v>
      </c>
      <c r="L8" s="145">
        <v>5</v>
      </c>
      <c r="M8" s="145"/>
      <c r="N8" s="534">
        <f t="shared" ref="N8:N39" si="1">SUM(IF(J8=J$5,4,0),IF(J8&amp;K8=J$5&amp;K$5,1,0),
IF(AND(J8=J$5,K$6&gt;=$D$115),1,0),
IF(AND(K8=J$5,K$6&gt;=$D$115),1,0),
IF(AND(L8=J$5,K$6&gt;=$D$115),1,0),
IF(J8&amp;M8=N$5,1,0),
IF(K8=J$5,2,0),
IF(L8=J$5,1,0),
IF(OR(J8&amp;K8&amp;L8=J$5&amp;K$5&amp;L$5,J8&amp;K8&amp;L8=J$5&amp;L$5&amp;K$5,J8&amp;K8&amp;L8=K$5&amp;J$5&amp;L$5,J8&amp;K8&amp;L8=K$5&amp;L$5&amp;J$5,J8&amp;K8&amp;L8=L$5&amp;J$5&amp;K$5,J8&amp;K8&amp;L8=L$5&amp;K$5&amp;J$5),2,0),IF(AND(J8=J$5,K$6&gt;=$D$129),1,0),IF(AND(K8=J$5,K$6&gt;=$D$129),1,0),IF(AND(L8=J$5,K$6&gt;=$D$129),1,0),IF(J8&amp;M8=M$5,4,0),IF(AND(J8=J$5,K$6&lt;=$D$104),-0.5,0),IF(AND(K8=J$5,K$6&lt;=$D$104),-0.5,0),IF(AND(L8=J$5,K$6&lt;=$D$104),-0.5,0))</f>
        <v>4</v>
      </c>
      <c r="O8" s="143">
        <v>2</v>
      </c>
      <c r="P8" s="145">
        <v>1</v>
      </c>
      <c r="Q8" s="145">
        <v>6</v>
      </c>
      <c r="R8" s="145"/>
      <c r="S8" s="534">
        <f t="shared" ref="S8:S39" si="2">SUM(IF(O8=O$5,4,0),IF(O8&amp;P8=O$5&amp;P$5,1,0),
IF(AND(O8=O$5,P$6&gt;=$D$115),1,0),
IF(AND(P8=O$5,P$6&gt;=$D$115),1,0),
IF(AND(Q8=O$5,P$6&gt;=$D$115),1,0),
IF(O8&amp;R8=S$5,1,0),
IF(P8=O$5,2,0),
IF(Q8=O$5,1,0),
IF(OR(O8&amp;P8&amp;Q8=O$5&amp;P$5&amp;Q$5,O8&amp;P8&amp;Q8=O$5&amp;Q$5&amp;P$5,O8&amp;P8&amp;Q8=P$5&amp;O$5&amp;Q$5,O8&amp;P8&amp;Q8=P$5&amp;Q$5&amp;O$5,O8&amp;P8&amp;Q8=Q$5&amp;O$5&amp;P$5,O8&amp;P8&amp;Q8=Q$5&amp;P$5&amp;O$5),2,0),IF(AND(O8=O$5,P$6&gt;=$D$129),1,0),IF(AND(P8=O$5,P$6&gt;=$D$129),1,0),IF(AND(Q8=O$5,P$6&gt;=$D$129),1,0),IF(O8&amp;R8=R$5,4,0),IF(AND(O8=O$5,P$6&lt;=$D$104),-0.5,0),IF(AND(P8=O$5,P$6&lt;=$D$104),-0.5,0),IF(AND(Q8=O$5,P$6&lt;=$D$104),-0.5,0))</f>
        <v>1</v>
      </c>
      <c r="T8" s="143">
        <v>6</v>
      </c>
      <c r="U8" s="145">
        <v>2</v>
      </c>
      <c r="V8" s="145">
        <v>8</v>
      </c>
      <c r="W8" s="145" t="s">
        <v>254</v>
      </c>
      <c r="X8" s="534">
        <f t="shared" ref="X8:X39" si="3">SUM(IF(T8=T$5,4,0),IF(T8&amp;U8=T$5&amp;U$5,1,0),
IF(AND(T8=T$5,U$6&gt;=$D$115),1,0),
IF(AND(U8=T$5,U$6&gt;=$D$115),1,0),
IF(AND(V8=T$5,U$6&gt;=$D$115),1,0),
IF(T8&amp;W8=X$5,1,0),
IF(U8=T$5,2,0),
IF(V8=T$5,1,0),
IF(OR(T8&amp;U8&amp;V8=T$5&amp;U$5&amp;V$5,T8&amp;U8&amp;V8=T$5&amp;V$5&amp;U$5,T8&amp;U8&amp;V8=U$5&amp;T$5&amp;V$5,T8&amp;U8&amp;V8=U$5&amp;V$5&amp;T$5,T8&amp;U8&amp;V8=V$5&amp;T$5&amp;U$5,T8&amp;U8&amp;V8=V$5&amp;U$5&amp;T$5),2,0),IF(AND(T8=T$5,U$6&gt;=$D$129),1,0),IF(AND(U8=T$5,U$6&gt;=$D$129),1,0),IF(AND(V8=T$5,U$6&gt;=$D$129),1,0),IF(T8&amp;W8=W$5,4,0),IF(AND(T8=T$5,U$6&lt;=$D$104),-0.5,0),IF(AND(U8=T$5,U$6&lt;=$D$104),-0.5,0),IF(AND(V8=T$5,U$6&lt;=$D$104),-0.5,0))</f>
        <v>4.5</v>
      </c>
      <c r="Y8" s="143">
        <v>5</v>
      </c>
      <c r="Z8" s="145">
        <v>3</v>
      </c>
      <c r="AA8" s="145">
        <v>10</v>
      </c>
      <c r="AB8" s="145"/>
      <c r="AC8" s="534">
        <f t="shared" ref="AC8:AC39" si="4">SUM(IF(Y8=Y$5,4,0),IF(Y8&amp;Z8=Y$5&amp;Z$5,1,0),
IF(AND(Y8=Y$5,Z$6&gt;=$D$115),1,0),
IF(AND(Z8=Y$5,Z$6&gt;=$D$115),1,0),
IF(AND(AA8=Y$5,Z$6&gt;=$D$115),1,0),
IF(Y8&amp;AB8=AC$5,1,0),
IF(Z8=Y$5,2,0),
IF(AA8=Y$5,1,0),
IF(OR(Y8&amp;Z8&amp;AA8=Y$5&amp;Z$5&amp;AA$5,Y8&amp;Z8&amp;AA8=Y$5&amp;AA$5&amp;Z$5,Y8&amp;Z8&amp;AA8=Z$5&amp;Y$5&amp;AA$5,Y8&amp;Z8&amp;AA8=Z$5&amp;AA$5&amp;Y$5,Y8&amp;Z8&amp;AA8=AA$5&amp;Y$5&amp;Z$5,Y8&amp;Z8&amp;AA8=AA$5&amp;Z$5&amp;Y$5),2,0),IF(AND(Y8=Y$5,Z$6&gt;=$D$129),1,0),IF(AND(Z8=Y$5,Z$6&gt;=$D$129),1,0),IF(AND(AA8=Y$5,Z$6&gt;=$D$129),1,0),IF(Y8&amp;AB8=AB$5,4,0),IF(AND(Y8=Y$5,Z$6&lt;=$D$104),-0.5,0),IF(AND(Z8=Y$5,Z$6&lt;=$D$104),-0.5,0),IF(AND(AA8=Y$5,Z$6&lt;=$D$104),-0.5,0))</f>
        <v>3.5</v>
      </c>
      <c r="AD8" s="143">
        <v>5</v>
      </c>
      <c r="AE8" s="145">
        <v>7</v>
      </c>
      <c r="AF8" s="145">
        <v>2</v>
      </c>
      <c r="AG8" s="145"/>
      <c r="AH8" s="534">
        <f t="shared" ref="AH8:AH39" si="5">SUM(IF(AD8=AD$5,4,0),IF(AD8&amp;AE8=AD$5&amp;AE$5,1,0),
IF(AND(AD8=AD$5,AE$6&gt;=$D$115),1,0),
IF(AND(AE8=AD$5,AE$6&gt;=$D$115),1,0),
IF(AND(AF8=AD$5,AE$6&gt;=$D$115),1,0),
IF(AD8&amp;AG8=AH$5,1,0),
IF(AE8=AD$5,2,0),
IF(AF8=AD$5,1,0),
IF(OR(AD8&amp;AE8&amp;AF8=AD$5&amp;AE$5&amp;AF$5,AD8&amp;AE8&amp;AF8=AD$5&amp;AF$5&amp;AE$5,AD8&amp;AE8&amp;AF8=AE$5&amp;AD$5&amp;AF$5,AD8&amp;AE8&amp;AF8=AE$5&amp;AF$5&amp;AD$5,AD8&amp;AE8&amp;AF8=AF$5&amp;AD$5&amp;AE$5,AD8&amp;AE8&amp;AF8=AF$5&amp;AE$5&amp;AD$5),2,0),IF(AND(AD8=AD$5,AE$6&gt;=$D$129),1,0),IF(AND(AE8=AD$5,AE$6&gt;=$D$129),1,0),IF(AND(AF8=AD$5,AE$6&gt;=$D$129),1,0),IF(AD8&amp;AG8=AG$5,4,0),IF(AND(AD8=AD$5,AE$6&lt;=$D$104),-0.5,0),IF(AND(AE8=AD$5,AE$6&lt;=$D$104),-0.5,0),IF(AND(AF8=AD$5,AE$6&lt;=$D$104),-0.5,0))</f>
        <v>3</v>
      </c>
      <c r="AI8" s="143">
        <v>3</v>
      </c>
      <c r="AJ8" s="145">
        <v>1</v>
      </c>
      <c r="AK8" s="145">
        <v>4</v>
      </c>
      <c r="AL8" s="145"/>
      <c r="AM8" s="534">
        <f t="shared" ref="AM8:AM39" si="6">SUM(IF(AI8=AI$5,4,0),IF(AI8&amp;AJ8=AI$5&amp;AJ$5,1,0),
IF(AND(AI8=AI$5,AJ$6&gt;=$D$115),1,0),
IF(AND(AJ8=AI$5,AJ$6&gt;=$D$115),1,0),
IF(AND(AK8=AI$5,AJ$6&gt;=$D$115),1,0),
IF(AI8&amp;AL8=AM$5,1,0),
IF(AJ8=AI$5,2,0),
IF(AK8=AI$5,1,0),
IF(OR(AI8&amp;AJ8&amp;AK8=AI$5&amp;AJ$5&amp;AK$5,AI8&amp;AJ8&amp;AK8=AI$5&amp;AK$5&amp;AJ$5,AI8&amp;AJ8&amp;AK8=AJ$5&amp;AI$5&amp;AK$5,AI8&amp;AJ8&amp;AK8=AJ$5&amp;AK$5&amp;AI$5,AI8&amp;AJ8&amp;AK8=AK$5&amp;AI$5&amp;AJ$5,AI8&amp;AJ8&amp;AK8=AK$5&amp;AJ$5&amp;AI$5),2,0),IF(AND(AI8=AI$5,AJ$6&gt;=$D$129),1,0),IF(AND(AJ8=AI$5,AJ$6&gt;=$D$129),1,0),IF(AND(AK8=AI$5,AJ$6&gt;=$D$129),1,0),IF(AI8&amp;AL8=AL$5,4,0),IF(AND(AI8=AI$5,AJ$6&lt;=$D$104),-0.5,0),IF(AND(AJ8=AI$5,AJ$6&lt;=$D$104),-0.5,0),IF(AND(AK8=AI$5,AJ$6&lt;=$D$104),-0.5,0))</f>
        <v>1</v>
      </c>
      <c r="AN8" s="143">
        <v>8</v>
      </c>
      <c r="AO8" s="145">
        <v>9</v>
      </c>
      <c r="AP8" s="145">
        <v>7</v>
      </c>
      <c r="AQ8" s="145"/>
      <c r="AR8" s="534">
        <f t="shared" ref="AR8:AR39" si="7">SUM(IF(AN8=AN$5,4,0),IF(AN8&amp;AO8=AN$5&amp;AO$5,1,0),
IF(AND(AN8=AN$5,AO$6&gt;=$D$115),1,0),
IF(AND(AO8=AN$5,AO$6&gt;=$D$115),1,0),
IF(AND(AP8=AN$5,AO$6&gt;=$D$115),1,0),
IF(AN8&amp;AQ8=AR$5,1,0),
IF(AO8=AN$5,2,0),
IF(AP8=AN$5,1,0),
IF(OR(AN8&amp;AO8&amp;AP8=AN$5&amp;AO$5&amp;AP$5,AN8&amp;AO8&amp;AP8=AN$5&amp;AP$5&amp;AO$5,AN8&amp;AO8&amp;AP8=AO$5&amp;AN$5&amp;AP$5,AN8&amp;AO8&amp;AP8=AO$5&amp;AP$5&amp;AN$5,AN8&amp;AO8&amp;AP8=AP$5&amp;AN$5&amp;AO$5,AN8&amp;AO8&amp;AP8=AP$5&amp;AO$5&amp;AN$5),2,0),IF(AND(AN8=AN$5,AO$6&gt;=$D$129),1,0),IF(AND(AO8=AN$5,AO$6&gt;=$D$129),1,0),IF(AND(AP8=AN$5,AO$6&gt;=$D$129),1,0),IF(AN8&amp;AQ8=AQ$5,4,0),IF(AND(AN8=AN$5,AO$6&lt;=$D$104),-0.5,0),IF(AND(AO8=AN$5,AO$6&lt;=$D$104),-0.5,0),IF(AND(AP8=AN$5,AO$6&lt;=$D$104),-0.5,0))</f>
        <v>0</v>
      </c>
      <c r="AS8" s="143">
        <v>1</v>
      </c>
      <c r="AT8" s="145"/>
      <c r="AU8" s="145"/>
      <c r="AV8" s="145" t="s">
        <v>255</v>
      </c>
      <c r="AW8" s="534">
        <f t="shared" ref="AW8:AW39" si="8">SUM(IF(AS8=AS$5,4,0),IF(AS8&amp;AT8=AS$5&amp;AT$5,1,0),
IF(AND(AS8=AS$5,AT$6&gt;=$D$115),1,0),
IF(AND(AT8=AS$5,AT$6&gt;=$D$115),1,0),
IF(AND(AU8=AS$5,AT$6&gt;=$D$115),1,0),
IF(AS8&amp;AV8=AW$5,1,0),
IF(AT8=AS$5,2,0),
IF(AU8=AS$5,1,0),
IF(OR(AS8&amp;AT8&amp;AU8=AS$5&amp;AT$5&amp;AU$5,AS8&amp;AT8&amp;AU8=AS$5&amp;AU$5&amp;AT$5,AS8&amp;AT8&amp;AU8=AT$5&amp;AS$5&amp;AU$5,AS8&amp;AT8&amp;AU8=AT$5&amp;AU$5&amp;AS$5,AS8&amp;AT8&amp;AU8=AU$5&amp;AS$5&amp;AT$5,AS8&amp;AT8&amp;AU8=AU$5&amp;AT$5&amp;AS$5),2,0),IF(AND(AS8=AS$5,AT$6&gt;=$D$129),1,0),IF(AND(AT8=AS$5,AT$6&gt;=$D$129),1,0),IF(AND(AU8=AS$5,AT$6&gt;=$D$129),1,0),IF(AS8&amp;AV8=AV$5,4,0),IF(AND(AS8=AS$5,AT$6&lt;=$D$104),-0.5,0),IF(AND(AT8=AS$5,AT$6&lt;=$D$104),-0.5,0),IF(AND(AU8=AS$5,AT$6&lt;=$D$104),-0.5,0))</f>
        <v>0</v>
      </c>
      <c r="AX8" s="143">
        <v>9</v>
      </c>
      <c r="AY8" s="145">
        <v>1</v>
      </c>
      <c r="AZ8" s="145">
        <v>8</v>
      </c>
      <c r="BA8" s="145"/>
      <c r="BB8" s="534">
        <f t="shared" ref="BB8:BB39" si="9">SUM(IF(AX8=AX$5,4,0),IF(AX8&amp;AY8=AX$5&amp;AY$5,1,0),
IF(AND(AX8=AX$5,AY$6&gt;=$D$115),1,0),
IF(AND(AY8=AX$5,AY$6&gt;=$D$115),1,0),
IF(AND(AZ8=AX$5,AY$6&gt;=$D$115),1,0),
IF(AX8&amp;BA8=BB$5,1,0),
IF(AY8=AX$5,2,0),
IF(AZ8=AX$5,1,0),
IF(OR(AX8&amp;AY8&amp;AZ8=AX$5&amp;AY$5&amp;AZ$5,AX8&amp;AY8&amp;AZ8=AX$5&amp;AZ$5&amp;AY$5,AX8&amp;AY8&amp;AZ8=AY$5&amp;AX$5&amp;AZ$5,AX8&amp;AY8&amp;AZ8=AY$5&amp;AZ$5&amp;AX$5,AX8&amp;AY8&amp;AZ8=AZ$5&amp;AX$5&amp;AY$5,AX8&amp;AY8&amp;AZ8=AZ$5&amp;AY$5&amp;AX$5),2,0),IF(AND(AX8=AX$5,AY$6&gt;=$D$129),1,0),IF(AND(AY8=AX$5,AY$6&gt;=$D$129),1,0),IF(AND(AZ8=AX$5,AY$6&gt;=$D$129),1,0),IF(AX8&amp;BA8=BA$5,4,0),IF(AND(AX8=AX$5,AY$6&lt;=$D$104),-0.5,0),IF(AND(AY8=AX$5,AY$6&lt;=$D$104),-0.5,0),IF(AND(AZ8=AX$5,AY$6&lt;=$D$104),-0.5,0))</f>
        <v>2</v>
      </c>
      <c r="BC8" s="143">
        <v>4</v>
      </c>
      <c r="BD8" s="145">
        <v>6</v>
      </c>
      <c r="BE8" s="145">
        <v>2</v>
      </c>
      <c r="BF8" s="145"/>
      <c r="BG8" s="534">
        <f t="shared" ref="BG8:BG39" si="10">SUM(IF(BC8=BC$5,4,0),IF(BC8&amp;BD8=BC$5&amp;BD$5,1,0),
IF(AND(BC8=BC$5,BD$6&gt;=$D$115),1,0),
IF(AND(BD8=BC$5,BD$6&gt;=$D$115),1,0),
IF(AND(BE8=BC$5,BD$6&gt;=$D$115),1,0),
IF(BC8&amp;BF8=BG$5,1,0),
IF(BD8=BC$5,2,0),
IF(BE8=BC$5,1,0),
IF(OR(BC8&amp;BD8&amp;BE8=BC$5&amp;BD$5&amp;BE$5,BC8&amp;BD8&amp;BE8=BC$5&amp;BE$5&amp;BD$5,BC8&amp;BD8&amp;BE8=BD$5&amp;BC$5&amp;BE$5,BC8&amp;BD8&amp;BE8=BD$5&amp;BE$5&amp;BC$5,BC8&amp;BD8&amp;BE8=BE$5&amp;BC$5&amp;BD$5,BC8&amp;BD8&amp;BE8=BE$5&amp;BD$5&amp;BC$5),2,0),IF(AND(BC8=BC$5,BD$6&gt;=$D$129),1,0),IF(AND(BD8=BC$5,BD$6&gt;=$D$129),1,0),IF(AND(BE8=BC$5,BD$6&gt;=$D$129),1,0),IF(BC8&amp;BF8=BF$5,4,0),IF(AND(BC8=BC$5,BD$6&lt;=$D$104),-0.5,0),IF(AND(BD8=BC$5,BD$6&lt;=$D$104),-0.5,0),IF(AND(BE8=BC$5,BD$6&lt;=$D$104),-0.5,0))</f>
        <v>4</v>
      </c>
      <c r="BH8" s="143">
        <v>5</v>
      </c>
      <c r="BI8" s="145">
        <v>1</v>
      </c>
      <c r="BJ8" s="145">
        <v>2</v>
      </c>
      <c r="BK8" s="145" t="s">
        <v>254</v>
      </c>
      <c r="BL8" s="534">
        <f t="shared" ref="BL8:BL39" si="11">SUM(IF(BH8=BH$5,4,0),IF(BH8&amp;BI8=BH$5&amp;BI$5,1,0),
IF(AND(BH8=BH$5,BI$6&gt;=$D$115),1,0),
IF(AND(BI8=BH$5,BI$6&gt;=$D$115),1,0),
IF(AND(BJ8=BH$5,BI$6&gt;=$D$115),1,0),
IF(BH8&amp;BK8=BL$5,1,0),
IF(BI8=BH$5,2,0),
IF(BJ8=BH$5,1,0),
IF(OR(BH8&amp;BI8&amp;BJ8=BH$5&amp;BI$5&amp;BJ$5,BH8&amp;BI8&amp;BJ8=BH$5&amp;BJ$5&amp;BI$5,BH8&amp;BI8&amp;BJ8=BI$5&amp;BH$5&amp;BJ$5,BH8&amp;BI8&amp;BJ8=BI$5&amp;BJ$5&amp;BH$5,BH8&amp;BI8&amp;BJ8=BJ$5&amp;BH$5&amp;BI$5,BH8&amp;BI8&amp;BJ8=BJ$5&amp;BI$5&amp;BH$5),2,0),IF(AND(BH8=BH$5,BI$6&gt;=$D$129),1,0),IF(AND(BI8=BH$5,BI$6&gt;=$D$129),1,0),IF(AND(BJ8=BH$5,BI$6&gt;=$D$129),1,0),IF(BH8&amp;BK8=BK$5,4,0),IF(AND(BH8=BH$5,BI$6&lt;=$D$104),-0.5,0),IF(AND(BI8=BH$5,BI$6&lt;=$D$104),-0.5,0),IF(AND(BJ8=BH$5,BI$6&lt;=$D$104),-0.5,0))</f>
        <v>2</v>
      </c>
      <c r="BM8" s="143">
        <v>1</v>
      </c>
      <c r="BN8" s="145">
        <v>3</v>
      </c>
      <c r="BO8" s="145">
        <v>12</v>
      </c>
      <c r="BP8" s="145"/>
      <c r="BQ8" s="534">
        <f t="shared" ref="BQ8:BQ39" si="12">SUM(IF(BM8=BM$5,4,0),IF(BM8&amp;BN8=BM$5&amp;BN$5,1,0),
IF(AND(BM8=BM$5,BN$6&gt;=$D$115),1,0),
IF(AND(BN8=BM$5,BN$6&gt;=$D$115),1,0),
IF(AND(BO8=BM$5,BN$6&gt;=$D$115),1,0),
IF(BM8&amp;BP8=BQ$5,1,0),
IF(BN8=BM$5,2,0),
IF(BO8=BM$5,1,0),
IF(OR(BM8&amp;BN8&amp;BO8=BM$5&amp;BN$5&amp;BO$5,BM8&amp;BN8&amp;BO8=BM$5&amp;BO$5&amp;BN$5,BM8&amp;BN8&amp;BO8=BN$5&amp;BM$5&amp;BO$5,BM8&amp;BN8&amp;BO8=BN$5&amp;BO$5&amp;BM$5,BM8&amp;BN8&amp;BO8=BO$5&amp;BM$5&amp;BN$5,BM8&amp;BN8&amp;BO8=BO$5&amp;BN$5&amp;BM$5),2,0),IF(AND(BM8=BM$5,BN$6&gt;=$D$129),1,0),IF(AND(BN8=BM$5,BN$6&gt;=$D$129),1,0),IF(AND(BO8=BM$5,BN$6&gt;=$D$129),1,0),IF(BM8&amp;BP8=BP$5,4,0),IF(AND(BM8=BM$5,BN$6&lt;=$D$104),-0.5,0),IF(AND(BN8=BM$5,BN$6&lt;=$D$104),-0.5,0),IF(AND(BO8=BM$5,BN$6&lt;=$D$104),-0.5,0))</f>
        <v>2</v>
      </c>
      <c r="BR8" s="143"/>
      <c r="BS8" s="145"/>
      <c r="BT8" s="145"/>
      <c r="BU8" s="145"/>
      <c r="BV8" s="534">
        <f t="shared" ref="BV8:BV39" si="13">SUM(IF(BR8=BR$5,4,0),IF(BR8&amp;BS8=BR$5&amp;BS$5,1,0),
IF(AND(BR8=BR$5,BS$6&gt;=$D$115),1,0),
IF(AND(BS8=BR$5,BS$6&gt;=$D$115),1,0),
IF(AND(BT8=BR$5,BS$6&gt;=$D$115),1,0),
IF(BR8&amp;BU8=BV$5,1,0),
IF(BS8=BR$5,2,0),
IF(BT8=BR$5,1,0),
IF(OR(BR8&amp;BS8&amp;BT8=BR$5&amp;BS$5&amp;BT$5,BR8&amp;BS8&amp;BT8=BR$5&amp;BT$5&amp;BS$5,BR8&amp;BS8&amp;BT8=BS$5&amp;BR$5&amp;BT$5,BR8&amp;BS8&amp;BT8=BS$5&amp;BT$5&amp;BR$5,BR8&amp;BS8&amp;BT8=BT$5&amp;BR$5&amp;BS$5,BR8&amp;BS8&amp;BT8=BT$5&amp;BS$5&amp;BR$5),2,0),IF(AND(BR8=BR$5,BS$6&gt;=$D$129),1,0),IF(AND(BS8=BR$5,BS$6&gt;=$D$129),1,0),IF(AND(BT8=BR$5,BS$6&gt;=$D$129),1,0),IF(BR8&amp;BU8=BU$5,4,0),IF(AND(BR8=BR$5,BS$6&lt;=$D$104),-0.5,0),IF(AND(BS8=BR$5,BS$6&lt;=$D$104),-0.5,0),IF(AND(BT8=BR$5,BS$6&lt;=$D$104),-0.5,0))</f>
        <v>0</v>
      </c>
      <c r="BW8" s="143"/>
      <c r="BX8" s="145"/>
      <c r="BY8" s="145"/>
      <c r="BZ8" s="145"/>
      <c r="CA8" s="534">
        <f t="shared" ref="CA8:CA39" si="14">SUM(IF(BW8=BW$5,4,0),IF(BW8&amp;BX8=BW$5&amp;BX$5,1,0),
IF(AND(BW8=BW$5,BX$6&gt;=$D$115),1,0),
IF(AND(BX8=BW$5,BX$6&gt;=$D$115),1,0),
IF(AND(BY8=BW$5,BX$6&gt;=$D$115),1,0),
IF(BW8&amp;BZ8=CA$5,1,0),
IF(BX8=BW$5,2,0),
IF(BY8=BW$5,1,0),
IF(OR(BW8&amp;BX8&amp;BY8=BW$5&amp;BX$5&amp;BY$5,BW8&amp;BX8&amp;BY8=BW$5&amp;BY$5&amp;BX$5,BW8&amp;BX8&amp;BY8=BX$5&amp;BW$5&amp;BY$5,BW8&amp;BX8&amp;BY8=BX$5&amp;BY$5&amp;BW$5,BW8&amp;BX8&amp;BY8=BY$5&amp;BW$5&amp;BX$5,BW8&amp;BX8&amp;BY8=BY$5&amp;BX$5&amp;BW$5),2,0),IF(AND(BW8=BW$5,BX$6&gt;=$D$129),1,0),IF(AND(BX8=BW$5,BX$6&gt;=$D$129),1,0),IF(AND(BY8=BW$5,BX$6&gt;=$D$129),1,0),IF(BW8&amp;BZ8=BZ$5,4,0),IF(AND(BW8=BW$5,BX$6&lt;=$D$104),-0.5,0),IF(AND(BX8=BW$5,BX$6&lt;=$D$104),-0.5,0),IF(AND(BY8=BW$5,BX$6&lt;=$D$104),-0.5,0))</f>
        <v>0</v>
      </c>
      <c r="CB8" s="143"/>
      <c r="CC8" s="145"/>
      <c r="CD8" s="145"/>
      <c r="CE8" s="145"/>
      <c r="CF8" s="534">
        <f t="shared" ref="CF8:CF39" si="15">SUM(IF(CB8=CB$5,4,0),IF(CB8&amp;CC8=CB$5&amp;CC$5,1,0),
IF(AND(CB8=CB$5,CC$6&gt;=$D$115),1,0),
IF(AND(CC8=CB$5,CC$6&gt;=$D$115),1,0),
IF(AND(CD8=CB$5,CC$6&gt;=$D$115),1,0),
IF(CB8&amp;CE8=CF$5,1,0),
IF(CC8=CB$5,2,0),
IF(CD8=CB$5,1,0),
IF(OR(CB8&amp;CC8&amp;CD8=CB$5&amp;CC$5&amp;CD$5,CB8&amp;CC8&amp;CD8=CB$5&amp;CD$5&amp;CC$5,CB8&amp;CC8&amp;CD8=CC$5&amp;CB$5&amp;CD$5,CB8&amp;CC8&amp;CD8=CC$5&amp;CD$5&amp;CB$5,CB8&amp;CC8&amp;CD8=CD$5&amp;CB$5&amp;CC$5,CB8&amp;CC8&amp;CD8=CD$5&amp;CC$5&amp;CB$5),2,0),IF(AND(CB8=CB$5,CC$6&gt;=$D$129),1,0),IF(AND(CC8=CB$5,CC$6&gt;=$D$129),1,0),IF(AND(CD8=CB$5,CC$6&gt;=$D$129),1,0),IF(CB8&amp;CE8=CE$5,4,0),IF(AND(CB8=CB$5,CC$6&lt;=$D$104),-0.5,0),IF(AND(CC8=CB$5,CC$6&lt;=$D$104),-0.5,0),IF(AND(CD8=CB$5,CC$6&lt;=$D$104),-0.5,0))</f>
        <v>0</v>
      </c>
      <c r="CG8" s="162">
        <f>IF(BASE01[[#This Row],[1]]="",0,$B$4)</f>
        <v>13</v>
      </c>
      <c r="CH8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3</v>
      </c>
      <c r="CI8" s="164">
        <f>IF(BASE01[[#This Row],[Columna14]]=0,0,(CH8/CG8))</f>
        <v>0.23076923076923078</v>
      </c>
      <c r="CJ8" s="163">
        <f>IF(BASE01[[#This Row],[1]]="",0,$B$4)</f>
        <v>13</v>
      </c>
      <c r="CK8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6</v>
      </c>
      <c r="CL8" s="164">
        <f>IF(BASE01[[#This Row],[Columna14]]=0,0,(CK8/CJ8))</f>
        <v>0.46153846153846156</v>
      </c>
      <c r="CM8" s="162">
        <f>IF(BASE01[[#This Row],[1]]="",0,$B$4)</f>
        <v>13</v>
      </c>
      <c r="CN8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11</v>
      </c>
      <c r="CO8" s="164">
        <f>IF(BASE01[[#This Row],[Columna14]]=0,0,(CN8/CM8))</f>
        <v>0.84615384615384615</v>
      </c>
      <c r="CP8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8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Row],[Columna25]],$AX$5,BA8,"SF")+COUNTIFS(BASE01[[#This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1</v>
      </c>
      <c r="CR8" s="164">
        <f>IF(BASE01[[#This Row],[Columna14]]=0,0,(CQ8/CP8))</f>
        <v>0.33333333333333331</v>
      </c>
      <c r="CS8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28</v>
      </c>
      <c r="CT8" s="93"/>
      <c r="CU8" s="536">
        <f t="shared" ref="CU8:CU39" si="16">SUM(CS8,CT8)</f>
        <v>28</v>
      </c>
      <c r="CV8" s="94">
        <f>IF(BASE01[[#This Row],[TIPO]]="PREMIO",$O$3,"0,00")</f>
        <v>1000</v>
      </c>
      <c r="CW8" s="515"/>
      <c r="CY8" s="388">
        <v>1</v>
      </c>
      <c r="CZ8" s="349">
        <f>F$6</f>
        <v>259.27999999999997</v>
      </c>
      <c r="DB8" s="537" t="str">
        <f>BASE01[[#This Row],[COD]]</f>
        <v>COD 01</v>
      </c>
      <c r="DC8" s="390" t="str">
        <f t="array" ref="DC8">IFERROR(IF(AND(INDEX($E$8:$CE$57, MATCH($C8, $C$8:$C$57, 0), (COLUMNS($DC8:DC8)-1)*5 + 1) = INDEX($E$5:$CE$5, 1, (COLUMNS($DC8:DC8)-1)*5 + 1), INDEX($E$8:$CE$57, MATCH($C8, $C$8:$C$57, 0), (COLUMNS($DC8:DC8)-1)*5 + 4) = "F"), INDEX($CZ$8:$CZ$23, COLUMNS($DC8:DC8)), "0"), "")</f>
        <v>0</v>
      </c>
      <c r="DD8" s="390" t="str">
        <f t="array" ref="DD8">IFERROR(IF(AND(INDEX($E$8:$CE$57, MATCH($C8, $C$8:$C$57, 0), (COLUMNS($DC8:DD8)-1)*5 + 1) = INDEX($E$5:$CE$5, 1, (COLUMNS($DC8:DD8)-1)*5 + 1), INDEX($E$8:$CE$57, MATCH($C8, $C$8:$C$57, 0), (COLUMNS($DC8:DD8)-1)*5 + 4) = "F"), INDEX($CZ$8:$CZ$23, COLUMNS($DC8:DD8)), "0"), "")</f>
        <v>0</v>
      </c>
      <c r="DE8" s="390" t="str">
        <f t="array" ref="DE8">IFERROR(IF(AND(INDEX($E$8:$CE$57, MATCH($C8, $C$8:$C$57, 0), (COLUMNS($DC8:DE8)-1)*5 + 1) = INDEX($E$5:$CE$5, 1, (COLUMNS($DC8:DE8)-1)*5 + 1), INDEX($E$8:$CE$57, MATCH($C8, $C$8:$C$57, 0), (COLUMNS($DC8:DE8)-1)*5 + 4) = "F"), INDEX($CZ$8:$CZ$23, COLUMNS($DC8:DE8)), "0"), "")</f>
        <v>0</v>
      </c>
      <c r="DF8" s="390">
        <f t="array" ref="DF8">IFERROR(IF(AND(INDEX($E$8:$CE$57, MATCH($C8, $C$8:$C$57, 0), (COLUMNS($DC8:DF8)-1)*5 + 1) = INDEX($E$5:$CE$5, 1, (COLUMNS($DC8:DF8)-1)*5 + 1), INDEX($E$8:$CE$57, MATCH($C8, $C$8:$C$57, 0), (COLUMNS($DC8:DF8)-1)*5 + 4) = "F"), INDEX($CZ$8:$CZ$23, COLUMNS($DC8:DF8)), "0"), "")</f>
        <v>110</v>
      </c>
      <c r="DG8" s="390" t="str">
        <f t="array" ref="DG8">IFERROR(IF(AND(INDEX($E$8:$CE$57, MATCH($C8, $C$8:$C$57, 0), (COLUMNS($DC8:DG8)-1)*5 + 1) = INDEX($E$5:$CE$5, 1, (COLUMNS($DC8:DG8)-1)*5 + 1), INDEX($E$8:$CE$57, MATCH($C8, $C$8:$C$57, 0), (COLUMNS($DC8:DG8)-1)*5 + 4) = "F"), INDEX($CZ$8:$CZ$23, COLUMNS($DC8:DG8)), "0"), "")</f>
        <v>0</v>
      </c>
      <c r="DH8" s="390" t="str">
        <f t="array" ref="DH8">IFERROR(IF(AND(INDEX($E$8:$CE$57, MATCH($C8, $C$8:$C$57, 0), (COLUMNS($DC8:DH8)-1)*5 + 1) = INDEX($E$5:$CE$5, 1, (COLUMNS($DC8:DH8)-1)*5 + 1), INDEX($E$8:$CE$57, MATCH($C8, $C$8:$C$57, 0), (COLUMNS($DC8:DH8)-1)*5 + 4) = "F"), INDEX($CZ$8:$CZ$23, COLUMNS($DC8:DH8)), "0"), "")</f>
        <v>0</v>
      </c>
      <c r="DI8" s="390" t="str">
        <f t="array" ref="DI8">IFERROR(IF(AND(INDEX($E$8:$CE$57, MATCH($C8, $C$8:$C$57, 0), (COLUMNS($DC8:DI8)-1)*5 + 1) = INDEX($E$5:$CE$5, 1, (COLUMNS($DC8:DI8)-1)*5 + 1), INDEX($E$8:$CE$57, MATCH($C8, $C$8:$C$57, 0), (COLUMNS($DC8:DI8)-1)*5 + 4) = "F"), INDEX($CZ$8:$CZ$23, COLUMNS($DC8:DI8)), "0"), "")</f>
        <v>0</v>
      </c>
      <c r="DJ8" s="390" t="str">
        <f t="array" ref="DJ8">IFERROR(IF(AND(INDEX($E$8:$CE$57, MATCH($C8, $C$8:$C$57, 0), (COLUMNS($DC8:DJ8)-1)*5 + 1) = INDEX($E$5:$CE$5, 1, (COLUMNS($DC8:DJ8)-1)*5 + 1), INDEX($E$8:$CE$57, MATCH($C8, $C$8:$C$57, 0), (COLUMNS($DC8:DJ8)-1)*5 + 4) = "F"), INDEX($CZ$8:$CZ$23, COLUMNS($DC8:DJ8)), "0"), "")</f>
        <v>0</v>
      </c>
      <c r="DK8" s="390" t="str">
        <f t="array" ref="DK8">IFERROR(IF(AND(INDEX($E$8:$CE$57, MATCH($C8, $C$8:$C$57, 0), (COLUMNS($DC8:DK8)-1)*5 + 1) = INDEX($E$5:$CE$5, 1, (COLUMNS($DC8:DK8)-1)*5 + 1), INDEX($E$8:$CE$57, MATCH($C8, $C$8:$C$57, 0), (COLUMNS($DC8:DK8)-1)*5 + 4) = "F"), INDEX($CZ$8:$CZ$23, COLUMNS($DC8:DK8)), "0"), "")</f>
        <v>0</v>
      </c>
      <c r="DL8" s="390" t="str">
        <f t="array" ref="DL8">IFERROR(IF(AND(INDEX($E$8:$CE$57, MATCH($C8, $C$8:$C$57, 0), (COLUMNS($DC8:DL8)-1)*5 + 1) = INDEX($E$5:$CE$5, 1, (COLUMNS($DC8:DL8)-1)*5 + 1), INDEX($E$8:$CE$57, MATCH($C8, $C$8:$C$57, 0), (COLUMNS($DC8:DL8)-1)*5 + 4) = "F"), INDEX($CZ$8:$CZ$23, COLUMNS($DC8:DL8)), "0"), "")</f>
        <v>0</v>
      </c>
      <c r="DM8" s="390" t="str">
        <f t="array" ref="DM8">IFERROR(IF(AND(INDEX($E$8:$CE$57, MATCH($C8, $C$8:$C$57, 0), (COLUMNS($DC8:DM8)-1)*5 + 1) = INDEX($E$5:$CE$5, 1, (COLUMNS($DC8:DM8)-1)*5 + 1), INDEX($E$8:$CE$57, MATCH($C8, $C$8:$C$57, 0), (COLUMNS($DC8:DM8)-1)*5 + 4) = "F"), INDEX($CZ$8:$CZ$23, COLUMNS($DC8:DM8)), "0"), "")</f>
        <v>0</v>
      </c>
      <c r="DN8" s="390" t="str">
        <f t="array" ref="DN8">IFERROR(IF(AND(INDEX($E$8:$CE$57, MATCH($C8, $C$8:$C$57, 0), (COLUMNS($DC8:DN8)-1)*5 + 1) = INDEX($E$5:$CE$5, 1, (COLUMNS($DC8:DN8)-1)*5 + 1), INDEX($E$8:$CE$57, MATCH($C8, $C$8:$C$57, 0), (COLUMNS($DC8:DN8)-1)*5 + 4) = "F"), INDEX($CZ$8:$CZ$23, COLUMNS($DC8:DN8)), "0"), "")</f>
        <v>0</v>
      </c>
      <c r="DO8" s="390" t="str">
        <f t="array" ref="DO8">IFERROR(IF(AND(INDEX($E$8:$CE$57, MATCH($C8, $C$8:$C$57, 0), (COLUMNS($DC8:DO8)-1)*5 + 1) = INDEX($E$5:$CE$5, 1, (COLUMNS($DC8:DO8)-1)*5 + 1), INDEX($E$8:$CE$57, MATCH($C8, $C$8:$C$57, 0), (COLUMNS($DC8:DO8)-1)*5 + 4) = "F"), INDEX($CZ$8:$CZ$23, COLUMNS($DC8:DO8)), "0"), "")</f>
        <v>0</v>
      </c>
      <c r="DP8" s="390" t="str">
        <f t="array" ref="DP8">IFERROR(IF(AND(INDEX($E$8:$CE$57, MATCH($C8, $C$8:$C$57, 0), (COLUMNS($DC8:DP8)-1)*5 + 1) = INDEX($E$5:$CE$5, 1, (COLUMNS($DC8:DP8)-1)*5 + 1), INDEX($E$8:$CE$57, MATCH($C8, $C$8:$C$57, 0), (COLUMNS($DC8:DP8)-1)*5 + 4) = "F"), INDEX($CZ$8:$CZ$23, COLUMNS($DC8:DP8)), "0"), "")</f>
        <v>0</v>
      </c>
      <c r="DQ8" s="390" t="str">
        <f t="array" ref="DQ8">IFERROR(IF(AND(INDEX($E$8:$CE$57, MATCH($C8, $C$8:$C$57, 0), (COLUMNS($DC8:DQ8)-1)*5 + 1) = INDEX($E$5:$CE$5, 1, (COLUMNS($DC8:DQ8)-1)*5 + 1), INDEX($E$8:$CE$57, MATCH($C8, $C$8:$C$57, 0), (COLUMNS($DC8:DQ8)-1)*5 + 4) = "F"), INDEX($CZ$8:$CZ$23, COLUMNS($DC8:DQ8)), "0"), "")</f>
        <v>0</v>
      </c>
      <c r="DR8" s="390" t="str">
        <f t="array" ref="DR8">IFERROR(IF(AND(INDEX($E$8:$CE$57, MATCH($C8, $C$8:$C$57, 0), (COLUMNS($DC8:DR8)-1)*5 + 1) = INDEX($E$5:$CE$5, 1, (COLUMNS($DC8:DR8)-1)*5 + 1), INDEX($E$8:$CE$57, MATCH($C8, $C$8:$C$57, 0), (COLUMNS($DC8:DR8)-1)*5 + 4) = "F"), INDEX($CZ$8:$CZ$23, COLUMNS($DC8:DR8)), "0"), "")</f>
        <v>0</v>
      </c>
      <c r="DT8" s="537" t="str">
        <f>BASE01[[#This Row],[COD]]</f>
        <v>COD 01</v>
      </c>
      <c r="DU8" s="390" t="str">
        <f t="array" ref="DU8">IFERROR(IF(AND(INDEX($E$8:$CE$57, MATCH($C8, $C$8:$C$57, 0), (COLUMNS($DU8:DU8)-1)*5 + 1) = INDEX($E$5:$CE$5, 1, (COLUMNS($DU8:DU8)-1)*5 + 1), INDEX($E$8:$CE$57, MATCH($C8, $C$8:$C$57, 0), (COLUMNS($DU8:DU8)-1)*5 + 4) = "SF"), INDEX($CZ$8:$CZ$23, COLUMNS($DU8:DU8)), "0"), "")</f>
        <v>0</v>
      </c>
      <c r="DV8" s="390" t="str">
        <f t="array" ref="DV8">IFERROR(IF(AND(INDEX($E$8:$CE$57, MATCH($C8, $C$8:$C$57, 0), (COLUMNS($DU8:DV8)-1)*5 + 1) = INDEX($E$5:$CE$5, 1, (COLUMNS($DU8:DV8)-1)*5 + 1), INDEX($E$8:$CE$57, MATCH($C8, $C$8:$C$57, 0), (COLUMNS($DU8:DV8)-1)*5 + 4) = "SF"), INDEX($CZ$8:$CZ$23, COLUMNS($DU8:DV8)), "0"), "")</f>
        <v>0</v>
      </c>
      <c r="DW8" s="390" t="str">
        <f t="array" ref="DW8">IFERROR(IF(AND(INDEX($E$8:$CE$57, MATCH($C8, $C$8:$C$57, 0), (COLUMNS($DU8:DW8)-1)*5 + 1) = INDEX($E$5:$CE$5, 1, (COLUMNS($DU8:DW8)-1)*5 + 1), INDEX($E$8:$CE$57, MATCH($C8, $C$8:$C$57, 0), (COLUMNS($DU8:DW8)-1)*5 + 4) = "SF"), INDEX($CZ$8:$CZ$23, COLUMNS($DU8:DW8)), "0"), "")</f>
        <v>0</v>
      </c>
      <c r="DX8" s="390" t="str">
        <f t="array" ref="DX8">IFERROR(IF(AND(INDEX($E$8:$CE$57, MATCH($C8, $C$8:$C$57, 0), (COLUMNS($DU8:DX8)-1)*5 + 1) = INDEX($E$5:$CE$5, 1, (COLUMNS($DU8:DX8)-1)*5 + 1), INDEX($E$8:$CE$57, MATCH($C8, $C$8:$C$57, 0), (COLUMNS($DU8:DX8)-1)*5 + 4) = "SF"), INDEX($CZ$8:$CZ$23, COLUMNS($DU8:DX8)), "0"), "")</f>
        <v>0</v>
      </c>
      <c r="DY8" s="390" t="str">
        <f t="array" ref="DY8">IFERROR(IF(AND(INDEX($E$8:$CE$57, MATCH($C8, $C$8:$C$57, 0), (COLUMNS($DU8:DY8)-1)*5 + 1) = INDEX($E$5:$CE$5, 1, (COLUMNS($DU8:DY8)-1)*5 + 1), INDEX($E$8:$CE$57, MATCH($C8, $C$8:$C$57, 0), (COLUMNS($DU8:DY8)-1)*5 + 4) = "SF"), INDEX($CZ$8:$CZ$23, COLUMNS($DU8:DY8)), "0"), "")</f>
        <v>0</v>
      </c>
      <c r="DZ8" s="390" t="str">
        <f t="array" ref="DZ8">IFERROR(IF(AND(INDEX($E$8:$CE$57, MATCH($C8, $C$8:$C$57, 0), (COLUMNS($DU8:DZ8)-1)*5 + 1) = INDEX($E$5:$CE$5, 1, (COLUMNS($DU8:DZ8)-1)*5 + 1), INDEX($E$8:$CE$57, MATCH($C8, $C$8:$C$57, 0), (COLUMNS($DU8:DZ8)-1)*5 + 4) = "SF"), INDEX($CZ$8:$CZ$23, COLUMNS($DU8:DZ8)), "0"), "")</f>
        <v>0</v>
      </c>
      <c r="EA8" s="390" t="str">
        <f t="array" ref="EA8">IFERROR(IF(AND(INDEX($E$8:$CE$57, MATCH($C8, $C$8:$C$57, 0), (COLUMNS($DU8:EA8)-1)*5 + 1) = INDEX($E$5:$CE$5, 1, (COLUMNS($DU8:EA8)-1)*5 + 1), INDEX($E$8:$CE$57, MATCH($C8, $C$8:$C$57, 0), (COLUMNS($DU8:EA8)-1)*5 + 4) = "SF"), INDEX($CZ$8:$CZ$23, COLUMNS($DU8:EA8)), "0"), "")</f>
        <v>0</v>
      </c>
      <c r="EB8" s="390" t="str">
        <f t="array" ref="EB8">IFERROR(IF(AND(INDEX($E$8:$CE$57, MATCH($C8, $C$8:$C$57, 0), (COLUMNS($DU8:EB8)-1)*5 + 1) = INDEX($E$5:$CE$5, 1, (COLUMNS($DU8:EB8)-1)*5 + 1), INDEX($E$8:$CE$57, MATCH($C8, $C$8:$C$57, 0), (COLUMNS($DU8:EB8)-1)*5 + 4) = "SF"), INDEX($CZ$8:$CZ$23, COLUMNS($DU8:EB8)), "0"), "")</f>
        <v>0</v>
      </c>
      <c r="EC8" s="390" t="str">
        <f t="array" ref="EC8">IFERROR(IF(AND(INDEX($E$8:$CE$57, MATCH($C8, $C$8:$C$57, 0), (COLUMNS($DU8:EC8)-1)*5 + 1) = INDEX($E$5:$CE$5, 1, (COLUMNS($DU8:EC8)-1)*5 + 1), INDEX($E$8:$CE$57, MATCH($C8, $C$8:$C$57, 0), (COLUMNS($DU8:EC8)-1)*5 + 4) = "SF"), INDEX($CZ$8:$CZ$23, COLUMNS($DU8:EC8)), "0"), "")</f>
        <v>0</v>
      </c>
      <c r="ED8" s="390" t="str">
        <f t="array" ref="ED8">IFERROR(IF(AND(INDEX($E$8:$CE$57, MATCH($C8, $C$8:$C$57, 0), (COLUMNS($DU8:ED8)-1)*5 + 1) = INDEX($E$5:$CE$5, 1, (COLUMNS($DU8:ED8)-1)*5 + 1), INDEX($E$8:$CE$57, MATCH($C8, $C$8:$C$57, 0), (COLUMNS($DU8:ED8)-1)*5 + 4) = "SF"), INDEX($CZ$8:$CZ$23, COLUMNS($DU8:ED8)), "0"), "")</f>
        <v>0</v>
      </c>
      <c r="EE8" s="390" t="str">
        <f t="array" ref="EE8">IFERROR(IF(AND(INDEX($E$8:$CE$57, MATCH($C8, $C$8:$C$57, 0), (COLUMNS($DU8:EE8)-1)*5 + 1) = INDEX($E$5:$CE$5, 1, (COLUMNS($DU8:EE8)-1)*5 + 1), INDEX($E$8:$CE$57, MATCH($C8, $C$8:$C$57, 0), (COLUMNS($DU8:EE8)-1)*5 + 4) = "SF"), INDEX($CZ$8:$CZ$23, COLUMNS($DU8:EE8)), "0"), "")</f>
        <v>0</v>
      </c>
      <c r="EF8" s="390" t="str">
        <f t="array" ref="EF8">IFERROR(IF(AND(INDEX($E$8:$CE$57, MATCH($C8, $C$8:$C$57, 0), (COLUMNS($DU8:EF8)-1)*5 + 1) = INDEX($E$5:$CE$5, 1, (COLUMNS($DU8:EF8)-1)*5 + 1), INDEX($E$8:$CE$57, MATCH($C8, $C$8:$C$57, 0), (COLUMNS($DU8:EF8)-1)*5 + 4) = "SF"), INDEX($CZ$8:$CZ$23, COLUMNS($DU8:EF8)), "0"), "")</f>
        <v>0</v>
      </c>
      <c r="EG8" s="390" t="str">
        <f t="array" ref="EG8">IFERROR(IF(AND(INDEX($E$8:$CE$57, MATCH($C8, $C$8:$C$57, 0), (COLUMNS($DU8:EG8)-1)*5 + 1) = INDEX($E$5:$CE$5, 1, (COLUMNS($DU8:EG8)-1)*5 + 1), INDEX($E$8:$CE$57, MATCH($C8, $C$8:$C$57, 0), (COLUMNS($DU8:EG8)-1)*5 + 4) = "SF"), INDEX($CZ$8:$CZ$23, COLUMNS($DU8:EG8)), "0"), "")</f>
        <v>0</v>
      </c>
      <c r="EH8" s="390" t="str">
        <f t="array" ref="EH8">IFERROR(IF(AND(INDEX($E$8:$CE$57, MATCH($C8, $C$8:$C$57, 0), (COLUMNS($DU8:EH8)-1)*5 + 1) = INDEX($E$5:$CE$5, 1, (COLUMNS($DU8:EH8)-1)*5 + 1), INDEX($E$8:$CE$57, MATCH($C8, $C$8:$C$57, 0), (COLUMNS($DU8:EH8)-1)*5 + 4) = "SF"), INDEX($CZ$8:$CZ$23, COLUMNS($DU8:EH8)), "0"), "")</f>
        <v>0</v>
      </c>
      <c r="EI8" s="390" t="str">
        <f t="array" ref="EI8">IFERROR(IF(AND(INDEX($E$8:$CE$57, MATCH($C8, $C$8:$C$57, 0), (COLUMNS($DU8:EI8)-1)*5 + 1) = INDEX($E$5:$CE$5, 1, (COLUMNS($DU8:EI8)-1)*5 + 1), INDEX($E$8:$CE$57, MATCH($C8, $C$8:$C$57, 0), (COLUMNS($DU8:EI8)-1)*5 + 4) = "SF"), INDEX($CZ$8:$CZ$23, COLUMNS($DU8:EI8)), "0"), "")</f>
        <v>0</v>
      </c>
      <c r="EJ8" s="390" t="str">
        <f t="array" ref="EJ8">IFERROR(IF(AND(INDEX($E$8:$CE$57, MATCH($C8, $C$8:$C$57, 0), (COLUMNS($DU8:EJ8)-1)*5 + 1) = INDEX($E$5:$CE$5, 1, (COLUMNS($DU8:EJ8)-1)*5 + 1), INDEX($E$8:$CE$57, MATCH($C8, $C$8:$C$57, 0), (COLUMNS($DU8:EJ8)-1)*5 + 4) = "SF"), INDEX($CZ$8:$CZ$23, COLUMNS($DU8:EJ8)), "0"), "")</f>
        <v>0</v>
      </c>
    </row>
    <row r="9" spans="1:140" ht="20.100000000000001" customHeight="1" x14ac:dyDescent="0.35">
      <c r="A9" s="515"/>
      <c r="B9" s="91">
        <f>IF(BASE01[[#This Row],[COD]]&lt;&gt;"",B8+1,"")</f>
        <v>2</v>
      </c>
      <c r="C9" s="533" t="s">
        <v>33</v>
      </c>
      <c r="D9" s="92" t="str">
        <f t="array" ref="D9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9" s="143">
        <v>8</v>
      </c>
      <c r="F9" s="145">
        <v>6</v>
      </c>
      <c r="G9" s="145">
        <v>1</v>
      </c>
      <c r="H9" s="145"/>
      <c r="I9" s="534">
        <f t="shared" si="0"/>
        <v>5</v>
      </c>
      <c r="J9" s="143">
        <v>3</v>
      </c>
      <c r="K9" s="145">
        <v>8</v>
      </c>
      <c r="L9" s="145">
        <v>5</v>
      </c>
      <c r="M9" s="145"/>
      <c r="N9" s="534">
        <f t="shared" si="1"/>
        <v>7</v>
      </c>
      <c r="O9" s="143">
        <v>6</v>
      </c>
      <c r="P9" s="145">
        <v>8</v>
      </c>
      <c r="Q9" s="145">
        <v>3</v>
      </c>
      <c r="R9" s="145"/>
      <c r="S9" s="534">
        <f t="shared" si="2"/>
        <v>5</v>
      </c>
      <c r="T9" s="143">
        <v>6</v>
      </c>
      <c r="U9" s="145">
        <v>8</v>
      </c>
      <c r="V9" s="145">
        <v>4</v>
      </c>
      <c r="W9" s="145" t="s">
        <v>254</v>
      </c>
      <c r="X9" s="534">
        <f t="shared" si="3"/>
        <v>4.5</v>
      </c>
      <c r="Y9" s="143">
        <v>5</v>
      </c>
      <c r="Z9" s="145"/>
      <c r="AA9" s="145"/>
      <c r="AB9" s="145" t="s">
        <v>255</v>
      </c>
      <c r="AC9" s="534">
        <f t="shared" si="4"/>
        <v>7.5</v>
      </c>
      <c r="AD9" s="143">
        <v>7</v>
      </c>
      <c r="AE9" s="145">
        <v>2</v>
      </c>
      <c r="AF9" s="145">
        <v>5</v>
      </c>
      <c r="AG9" s="145"/>
      <c r="AH9" s="534">
        <f t="shared" si="5"/>
        <v>4</v>
      </c>
      <c r="AI9" s="143">
        <v>3</v>
      </c>
      <c r="AJ9" s="145">
        <v>7</v>
      </c>
      <c r="AK9" s="145">
        <v>4</v>
      </c>
      <c r="AL9" s="145"/>
      <c r="AM9" s="534">
        <f t="shared" si="6"/>
        <v>1</v>
      </c>
      <c r="AN9" s="143">
        <v>9</v>
      </c>
      <c r="AO9" s="145">
        <v>11</v>
      </c>
      <c r="AP9" s="145">
        <v>12</v>
      </c>
      <c r="AQ9" s="145"/>
      <c r="AR9" s="534">
        <f t="shared" si="7"/>
        <v>0</v>
      </c>
      <c r="AS9" s="143">
        <v>6</v>
      </c>
      <c r="AT9" s="145">
        <v>1</v>
      </c>
      <c r="AU9" s="145">
        <v>7</v>
      </c>
      <c r="AV9" s="145"/>
      <c r="AW9" s="534">
        <f t="shared" si="8"/>
        <v>0</v>
      </c>
      <c r="AX9" s="143">
        <v>8</v>
      </c>
      <c r="AY9" s="145">
        <v>9</v>
      </c>
      <c r="AZ9" s="145">
        <v>1</v>
      </c>
      <c r="BA9" s="145"/>
      <c r="BB9" s="534">
        <f t="shared" si="9"/>
        <v>1</v>
      </c>
      <c r="BC9" s="143">
        <v>4</v>
      </c>
      <c r="BD9" s="145">
        <v>2</v>
      </c>
      <c r="BE9" s="145">
        <v>8</v>
      </c>
      <c r="BF9" s="145"/>
      <c r="BG9" s="534">
        <f t="shared" si="10"/>
        <v>5</v>
      </c>
      <c r="BH9" s="143">
        <v>1</v>
      </c>
      <c r="BI9" s="145">
        <v>6</v>
      </c>
      <c r="BJ9" s="145">
        <v>5</v>
      </c>
      <c r="BK9" s="145"/>
      <c r="BL9" s="534">
        <f t="shared" si="11"/>
        <v>0</v>
      </c>
      <c r="BM9" s="143">
        <v>1</v>
      </c>
      <c r="BN9" s="145">
        <v>12</v>
      </c>
      <c r="BO9" s="145">
        <v>2</v>
      </c>
      <c r="BP9" s="145" t="s">
        <v>254</v>
      </c>
      <c r="BQ9" s="534">
        <f t="shared" si="12"/>
        <v>0</v>
      </c>
      <c r="BR9" s="143"/>
      <c r="BS9" s="145"/>
      <c r="BT9" s="145"/>
      <c r="BU9" s="145"/>
      <c r="BV9" s="534">
        <f t="shared" si="13"/>
        <v>0</v>
      </c>
      <c r="BW9" s="143"/>
      <c r="BX9" s="145"/>
      <c r="BY9" s="145"/>
      <c r="BZ9" s="145"/>
      <c r="CA9" s="534">
        <f t="shared" si="14"/>
        <v>0</v>
      </c>
      <c r="CB9" s="143"/>
      <c r="CC9" s="145"/>
      <c r="CD9" s="145"/>
      <c r="CE9" s="145"/>
      <c r="CF9" s="534">
        <f t="shared" si="15"/>
        <v>0</v>
      </c>
      <c r="CG9" s="162">
        <f>IF(BASE01[[#This Row],[1]]="",0,$B$4)</f>
        <v>13</v>
      </c>
      <c r="CH9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6</v>
      </c>
      <c r="CI9" s="164">
        <f>IF(BASE01[[#This Row],[Columna14]]=0,0,(CH9/CG9))</f>
        <v>0.46153846153846156</v>
      </c>
      <c r="CJ9" s="163">
        <f>IF(BASE01[[#This Row],[1]]="",0,$B$4)</f>
        <v>13</v>
      </c>
      <c r="CK9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7</v>
      </c>
      <c r="CL9" s="164">
        <f>IF(BASE01[[#This Row],[Columna14]]=0,0,(CK9/CJ9))</f>
        <v>0.53846153846153844</v>
      </c>
      <c r="CM9" s="162">
        <f>IF(BASE01[[#This Row],[1]]="",0,$B$4)</f>
        <v>13</v>
      </c>
      <c r="CN9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9</v>
      </c>
      <c r="CO9" s="164">
        <f>IF(BASE01[[#This Row],[Columna14]]=0,0,(CN9/CM9))</f>
        <v>0.69230769230769229</v>
      </c>
      <c r="CP9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9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Row],[Columna25]],$AX$5,BA9,"SF")+COUNTIFS(BASE01[[#This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9" s="164">
        <f>IF(BASE01[[#This Row],[Columna14]]=0,0,(CQ9/CP9))</f>
        <v>0.66666666666666663</v>
      </c>
      <c r="CS9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40</v>
      </c>
      <c r="CT9" s="93"/>
      <c r="CU9" s="536">
        <f t="shared" si="16"/>
        <v>40</v>
      </c>
      <c r="CV9" s="94">
        <f>IF(BASE01[[#This Row],[TIPO]]="PREMIO",$O$3,"0,00")</f>
        <v>1000</v>
      </c>
      <c r="CW9" s="515"/>
      <c r="CY9" s="388">
        <v>2</v>
      </c>
      <c r="CZ9" s="349">
        <f>K$6</f>
        <v>211.39</v>
      </c>
      <c r="DB9" s="537" t="str">
        <f>BASE01[[#This Row],[COD]]</f>
        <v>COD 02</v>
      </c>
      <c r="DC9" s="390" t="str">
        <f t="array" ref="DC9">IFERROR(IF(AND(INDEX($E$8:$CE$57, MATCH($C9, $C$8:$C$57, 0), (COLUMNS($DC9:DC9)-1)*5 + 1) = INDEX($E$5:$CE$5, 1, (COLUMNS($DC9:DC9)-1)*5 + 1), INDEX($E$8:$CE$57, MATCH($C9, $C$8:$C$57, 0), (COLUMNS($DC9:DC9)-1)*5 + 4) = "F"), INDEX($CZ$8:$CZ$23, COLUMNS($DC9:DC9)), "0"), "")</f>
        <v>0</v>
      </c>
      <c r="DD9" s="390" t="str">
        <f t="array" ref="DD9">IFERROR(IF(AND(INDEX($E$8:$CE$57, MATCH($C9, $C$8:$C$57, 0), (COLUMNS($DC9:DD9)-1)*5 + 1) = INDEX($E$5:$CE$5, 1, (COLUMNS($DC9:DD9)-1)*5 + 1), INDEX($E$8:$CE$57, MATCH($C9, $C$8:$C$57, 0), (COLUMNS($DC9:DD9)-1)*5 + 4) = "F"), INDEX($CZ$8:$CZ$23, COLUMNS($DC9:DD9)), "0"), "")</f>
        <v>0</v>
      </c>
      <c r="DE9" s="390" t="str">
        <f t="array" ref="DE9">IFERROR(IF(AND(INDEX($E$8:$CE$57, MATCH($C9, $C$8:$C$57, 0), (COLUMNS($DC9:DE9)-1)*5 + 1) = INDEX($E$5:$CE$5, 1, (COLUMNS($DC9:DE9)-1)*5 + 1), INDEX($E$8:$CE$57, MATCH($C9, $C$8:$C$57, 0), (COLUMNS($DC9:DE9)-1)*5 + 4) = "F"), INDEX($CZ$8:$CZ$23, COLUMNS($DC9:DE9)), "0"), "")</f>
        <v>0</v>
      </c>
      <c r="DF9" s="390">
        <f t="array" ref="DF9">IFERROR(IF(AND(INDEX($E$8:$CE$57, MATCH($C9, $C$8:$C$57, 0), (COLUMNS($DC9:DF9)-1)*5 + 1) = INDEX($E$5:$CE$5, 1, (COLUMNS($DC9:DF9)-1)*5 + 1), INDEX($E$8:$CE$57, MATCH($C9, $C$8:$C$57, 0), (COLUMNS($DC9:DF9)-1)*5 + 4) = "F"), INDEX($CZ$8:$CZ$23, COLUMNS($DC9:DF9)), "0"), "")</f>
        <v>110</v>
      </c>
      <c r="DG9" s="390" t="str">
        <f t="array" ref="DG9">IFERROR(IF(AND(INDEX($E$8:$CE$57, MATCH($C9, $C$8:$C$57, 0), (COLUMNS($DC9:DG9)-1)*5 + 1) = INDEX($E$5:$CE$5, 1, (COLUMNS($DC9:DG9)-1)*5 + 1), INDEX($E$8:$CE$57, MATCH($C9, $C$8:$C$57, 0), (COLUMNS($DC9:DG9)-1)*5 + 4) = "F"), INDEX($CZ$8:$CZ$23, COLUMNS($DC9:DG9)), "0"), "")</f>
        <v>0</v>
      </c>
      <c r="DH9" s="390" t="str">
        <f t="array" ref="DH9">IFERROR(IF(AND(INDEX($E$8:$CE$57, MATCH($C9, $C$8:$C$57, 0), (COLUMNS($DC9:DH9)-1)*5 + 1) = INDEX($E$5:$CE$5, 1, (COLUMNS($DC9:DH9)-1)*5 + 1), INDEX($E$8:$CE$57, MATCH($C9, $C$8:$C$57, 0), (COLUMNS($DC9:DH9)-1)*5 + 4) = "F"), INDEX($CZ$8:$CZ$23, COLUMNS($DC9:DH9)), "0"), "")</f>
        <v>0</v>
      </c>
      <c r="DI9" s="390" t="str">
        <f t="array" ref="DI9">IFERROR(IF(AND(INDEX($E$8:$CE$57, MATCH($C9, $C$8:$C$57, 0), (COLUMNS($DC9:DI9)-1)*5 + 1) = INDEX($E$5:$CE$5, 1, (COLUMNS($DC9:DI9)-1)*5 + 1), INDEX($E$8:$CE$57, MATCH($C9, $C$8:$C$57, 0), (COLUMNS($DC9:DI9)-1)*5 + 4) = "F"), INDEX($CZ$8:$CZ$23, COLUMNS($DC9:DI9)), "0"), "")</f>
        <v>0</v>
      </c>
      <c r="DJ9" s="390" t="str">
        <f t="array" ref="DJ9">IFERROR(IF(AND(INDEX($E$8:$CE$57, MATCH($C9, $C$8:$C$57, 0), (COLUMNS($DC9:DJ9)-1)*5 + 1) = INDEX($E$5:$CE$5, 1, (COLUMNS($DC9:DJ9)-1)*5 + 1), INDEX($E$8:$CE$57, MATCH($C9, $C$8:$C$57, 0), (COLUMNS($DC9:DJ9)-1)*5 + 4) = "F"), INDEX($CZ$8:$CZ$23, COLUMNS($DC9:DJ9)), "0"), "")</f>
        <v>0</v>
      </c>
      <c r="DK9" s="390" t="str">
        <f t="array" ref="DK9">IFERROR(IF(AND(INDEX($E$8:$CE$57, MATCH($C9, $C$8:$C$57, 0), (COLUMNS($DC9:DK9)-1)*5 + 1) = INDEX($E$5:$CE$5, 1, (COLUMNS($DC9:DK9)-1)*5 + 1), INDEX($E$8:$CE$57, MATCH($C9, $C$8:$C$57, 0), (COLUMNS($DC9:DK9)-1)*5 + 4) = "F"), INDEX($CZ$8:$CZ$23, COLUMNS($DC9:DK9)), "0"), "")</f>
        <v>0</v>
      </c>
      <c r="DL9" s="390" t="str">
        <f t="array" ref="DL9">IFERROR(IF(AND(INDEX($E$8:$CE$57, MATCH($C9, $C$8:$C$57, 0), (COLUMNS($DC9:DL9)-1)*5 + 1) = INDEX($E$5:$CE$5, 1, (COLUMNS($DC9:DL9)-1)*5 + 1), INDEX($E$8:$CE$57, MATCH($C9, $C$8:$C$57, 0), (COLUMNS($DC9:DL9)-1)*5 + 4) = "F"), INDEX($CZ$8:$CZ$23, COLUMNS($DC9:DL9)), "0"), "")</f>
        <v>0</v>
      </c>
      <c r="DM9" s="390" t="str">
        <f t="array" ref="DM9">IFERROR(IF(AND(INDEX($E$8:$CE$57, MATCH($C9, $C$8:$C$57, 0), (COLUMNS($DC9:DM9)-1)*5 + 1) = INDEX($E$5:$CE$5, 1, (COLUMNS($DC9:DM9)-1)*5 + 1), INDEX($E$8:$CE$57, MATCH($C9, $C$8:$C$57, 0), (COLUMNS($DC9:DM9)-1)*5 + 4) = "F"), INDEX($CZ$8:$CZ$23, COLUMNS($DC9:DM9)), "0"), "")</f>
        <v>0</v>
      </c>
      <c r="DN9" s="390" t="str">
        <f t="array" ref="DN9">IFERROR(IF(AND(INDEX($E$8:$CE$57, MATCH($C9, $C$8:$C$57, 0), (COLUMNS($DC9:DN9)-1)*5 + 1) = INDEX($E$5:$CE$5, 1, (COLUMNS($DC9:DN9)-1)*5 + 1), INDEX($E$8:$CE$57, MATCH($C9, $C$8:$C$57, 0), (COLUMNS($DC9:DN9)-1)*5 + 4) = "F"), INDEX($CZ$8:$CZ$23, COLUMNS($DC9:DN9)), "0"), "")</f>
        <v>0</v>
      </c>
      <c r="DO9" s="390" t="str">
        <f t="array" ref="DO9">IFERROR(IF(AND(INDEX($E$8:$CE$57, MATCH($C9, $C$8:$C$57, 0), (COLUMNS($DC9:DO9)-1)*5 + 1) = INDEX($E$5:$CE$5, 1, (COLUMNS($DC9:DO9)-1)*5 + 1), INDEX($E$8:$CE$57, MATCH($C9, $C$8:$C$57, 0), (COLUMNS($DC9:DO9)-1)*5 + 4) = "F"), INDEX($CZ$8:$CZ$23, COLUMNS($DC9:DO9)), "0"), "")</f>
        <v>0</v>
      </c>
      <c r="DP9" s="390" t="str">
        <f t="array" ref="DP9">IFERROR(IF(AND(INDEX($E$8:$CE$57, MATCH($C9, $C$8:$C$57, 0), (COLUMNS($DC9:DP9)-1)*5 + 1) = INDEX($E$5:$CE$5, 1, (COLUMNS($DC9:DP9)-1)*5 + 1), INDEX($E$8:$CE$57, MATCH($C9, $C$8:$C$57, 0), (COLUMNS($DC9:DP9)-1)*5 + 4) = "F"), INDEX($CZ$8:$CZ$23, COLUMNS($DC9:DP9)), "0"), "")</f>
        <v>0</v>
      </c>
      <c r="DQ9" s="390" t="str">
        <f t="array" ref="DQ9">IFERROR(IF(AND(INDEX($E$8:$CE$57, MATCH($C9, $C$8:$C$57, 0), (COLUMNS($DC9:DQ9)-1)*5 + 1) = INDEX($E$5:$CE$5, 1, (COLUMNS($DC9:DQ9)-1)*5 + 1), INDEX($E$8:$CE$57, MATCH($C9, $C$8:$C$57, 0), (COLUMNS($DC9:DQ9)-1)*5 + 4) = "F"), INDEX($CZ$8:$CZ$23, COLUMNS($DC9:DQ9)), "0"), "")</f>
        <v>0</v>
      </c>
      <c r="DR9" s="390" t="str">
        <f t="array" ref="DR9">IFERROR(IF(AND(INDEX($E$8:$CE$57, MATCH($C9, $C$8:$C$57, 0), (COLUMNS($DC9:DR9)-1)*5 + 1) = INDEX($E$5:$CE$5, 1, (COLUMNS($DC9:DR9)-1)*5 + 1), INDEX($E$8:$CE$57, MATCH($C9, $C$8:$C$57, 0), (COLUMNS($DC9:DR9)-1)*5 + 4) = "F"), INDEX($CZ$8:$CZ$23, COLUMNS($DC9:DR9)), "0"), "")</f>
        <v>0</v>
      </c>
      <c r="DT9" s="537" t="str">
        <f>BASE01[[#This Row],[COD]]</f>
        <v>COD 02</v>
      </c>
      <c r="DU9" s="390" t="str">
        <f t="array" ref="DU9">IFERROR(IF(AND(INDEX($E$8:$CE$57, MATCH($C9, $C$8:$C$57, 0), (COLUMNS($DU9:DU9)-1)*5 + 1) = INDEX($E$5:$CE$5, 1, (COLUMNS($DU9:DU9)-1)*5 + 1), INDEX($E$8:$CE$57, MATCH($C9, $C$8:$C$57, 0), (COLUMNS($DU9:DU9)-1)*5 + 4) = "SF"), INDEX($CZ$8:$CZ$23, COLUMNS($DU9:DU9)), "0"), "")</f>
        <v>0</v>
      </c>
      <c r="DV9" s="390" t="str">
        <f t="array" ref="DV9">IFERROR(IF(AND(INDEX($E$8:$CE$57, MATCH($C9, $C$8:$C$57, 0), (COLUMNS($DU9:DV9)-1)*5 + 1) = INDEX($E$5:$CE$5, 1, (COLUMNS($DU9:DV9)-1)*5 + 1), INDEX($E$8:$CE$57, MATCH($C9, $C$8:$C$57, 0), (COLUMNS($DU9:DV9)-1)*5 + 4) = "SF"), INDEX($CZ$8:$CZ$23, COLUMNS($DU9:DV9)), "0"), "")</f>
        <v>0</v>
      </c>
      <c r="DW9" s="390" t="str">
        <f t="array" ref="DW9">IFERROR(IF(AND(INDEX($E$8:$CE$57, MATCH($C9, $C$8:$C$57, 0), (COLUMNS($DU9:DW9)-1)*5 + 1) = INDEX($E$5:$CE$5, 1, (COLUMNS($DU9:DW9)-1)*5 + 1), INDEX($E$8:$CE$57, MATCH($C9, $C$8:$C$57, 0), (COLUMNS($DU9:DW9)-1)*5 + 4) = "SF"), INDEX($CZ$8:$CZ$23, COLUMNS($DU9:DW9)), "0"), "")</f>
        <v>0</v>
      </c>
      <c r="DX9" s="390" t="str">
        <f t="array" ref="DX9">IFERROR(IF(AND(INDEX($E$8:$CE$57, MATCH($C9, $C$8:$C$57, 0), (COLUMNS($DU9:DX9)-1)*5 + 1) = INDEX($E$5:$CE$5, 1, (COLUMNS($DU9:DX9)-1)*5 + 1), INDEX($E$8:$CE$57, MATCH($C9, $C$8:$C$57, 0), (COLUMNS($DU9:DX9)-1)*5 + 4) = "SF"), INDEX($CZ$8:$CZ$23, COLUMNS($DU9:DX9)), "0"), "")</f>
        <v>0</v>
      </c>
      <c r="DY9" s="390">
        <f t="array" ref="DY9">IFERROR(IF(AND(INDEX($E$8:$CE$57, MATCH($C9, $C$8:$C$57, 0), (COLUMNS($DU9:DY9)-1)*5 + 1) = INDEX($E$5:$CE$5, 1, (COLUMNS($DU9:DY9)-1)*5 + 1), INDEX($E$8:$CE$57, MATCH($C9, $C$8:$C$57, 0), (COLUMNS($DU9:DY9)-1)*5 + 4) = "SF"), INDEX($CZ$8:$CZ$23, COLUMNS($DU9:DY9)), "0"), "")</f>
        <v>110</v>
      </c>
      <c r="DZ9" s="390" t="str">
        <f t="array" ref="DZ9">IFERROR(IF(AND(INDEX($E$8:$CE$57, MATCH($C9, $C$8:$C$57, 0), (COLUMNS($DU9:DZ9)-1)*5 + 1) = INDEX($E$5:$CE$5, 1, (COLUMNS($DU9:DZ9)-1)*5 + 1), INDEX($E$8:$CE$57, MATCH($C9, $C$8:$C$57, 0), (COLUMNS($DU9:DZ9)-1)*5 + 4) = "SF"), INDEX($CZ$8:$CZ$23, COLUMNS($DU9:DZ9)), "0"), "")</f>
        <v>0</v>
      </c>
      <c r="EA9" s="390" t="str">
        <f t="array" ref="EA9">IFERROR(IF(AND(INDEX($E$8:$CE$57, MATCH($C9, $C$8:$C$57, 0), (COLUMNS($DU9:EA9)-1)*5 + 1) = INDEX($E$5:$CE$5, 1, (COLUMNS($DU9:EA9)-1)*5 + 1), INDEX($E$8:$CE$57, MATCH($C9, $C$8:$C$57, 0), (COLUMNS($DU9:EA9)-1)*5 + 4) = "SF"), INDEX($CZ$8:$CZ$23, COLUMNS($DU9:EA9)), "0"), "")</f>
        <v>0</v>
      </c>
      <c r="EB9" s="390" t="str">
        <f t="array" ref="EB9">IFERROR(IF(AND(INDEX($E$8:$CE$57, MATCH($C9, $C$8:$C$57, 0), (COLUMNS($DU9:EB9)-1)*5 + 1) = INDEX($E$5:$CE$5, 1, (COLUMNS($DU9:EB9)-1)*5 + 1), INDEX($E$8:$CE$57, MATCH($C9, $C$8:$C$57, 0), (COLUMNS($DU9:EB9)-1)*5 + 4) = "SF"), INDEX($CZ$8:$CZ$23, COLUMNS($DU9:EB9)), "0"), "")</f>
        <v>0</v>
      </c>
      <c r="EC9" s="390" t="str">
        <f t="array" ref="EC9">IFERROR(IF(AND(INDEX($E$8:$CE$57, MATCH($C9, $C$8:$C$57, 0), (COLUMNS($DU9:EC9)-1)*5 + 1) = INDEX($E$5:$CE$5, 1, (COLUMNS($DU9:EC9)-1)*5 + 1), INDEX($E$8:$CE$57, MATCH($C9, $C$8:$C$57, 0), (COLUMNS($DU9:EC9)-1)*5 + 4) = "SF"), INDEX($CZ$8:$CZ$23, COLUMNS($DU9:EC9)), "0"), "")</f>
        <v>0</v>
      </c>
      <c r="ED9" s="390" t="str">
        <f t="array" ref="ED9">IFERROR(IF(AND(INDEX($E$8:$CE$57, MATCH($C9, $C$8:$C$57, 0), (COLUMNS($DU9:ED9)-1)*5 + 1) = INDEX($E$5:$CE$5, 1, (COLUMNS($DU9:ED9)-1)*5 + 1), INDEX($E$8:$CE$57, MATCH($C9, $C$8:$C$57, 0), (COLUMNS($DU9:ED9)-1)*5 + 4) = "SF"), INDEX($CZ$8:$CZ$23, COLUMNS($DU9:ED9)), "0"), "")</f>
        <v>0</v>
      </c>
      <c r="EE9" s="390" t="str">
        <f t="array" ref="EE9">IFERROR(IF(AND(INDEX($E$8:$CE$57, MATCH($C9, $C$8:$C$57, 0), (COLUMNS($DU9:EE9)-1)*5 + 1) = INDEX($E$5:$CE$5, 1, (COLUMNS($DU9:EE9)-1)*5 + 1), INDEX($E$8:$CE$57, MATCH($C9, $C$8:$C$57, 0), (COLUMNS($DU9:EE9)-1)*5 + 4) = "SF"), INDEX($CZ$8:$CZ$23, COLUMNS($DU9:EE9)), "0"), "")</f>
        <v>0</v>
      </c>
      <c r="EF9" s="390" t="str">
        <f t="array" ref="EF9">IFERROR(IF(AND(INDEX($E$8:$CE$57, MATCH($C9, $C$8:$C$57, 0), (COLUMNS($DU9:EF9)-1)*5 + 1) = INDEX($E$5:$CE$5, 1, (COLUMNS($DU9:EF9)-1)*5 + 1), INDEX($E$8:$CE$57, MATCH($C9, $C$8:$C$57, 0), (COLUMNS($DU9:EF9)-1)*5 + 4) = "SF"), INDEX($CZ$8:$CZ$23, COLUMNS($DU9:EF9)), "0"), "")</f>
        <v>0</v>
      </c>
      <c r="EG9" s="390" t="str">
        <f t="array" ref="EG9">IFERROR(IF(AND(INDEX($E$8:$CE$57, MATCH($C9, $C$8:$C$57, 0), (COLUMNS($DU9:EG9)-1)*5 + 1) = INDEX($E$5:$CE$5, 1, (COLUMNS($DU9:EG9)-1)*5 + 1), INDEX($E$8:$CE$57, MATCH($C9, $C$8:$C$57, 0), (COLUMNS($DU9:EG9)-1)*5 + 4) = "SF"), INDEX($CZ$8:$CZ$23, COLUMNS($DU9:EG9)), "0"), "")</f>
        <v>0</v>
      </c>
      <c r="EH9" s="390" t="str">
        <f t="array" ref="EH9">IFERROR(IF(AND(INDEX($E$8:$CE$57, MATCH($C9, $C$8:$C$57, 0), (COLUMNS($DU9:EH9)-1)*5 + 1) = INDEX($E$5:$CE$5, 1, (COLUMNS($DU9:EH9)-1)*5 + 1), INDEX($E$8:$CE$57, MATCH($C9, $C$8:$C$57, 0), (COLUMNS($DU9:EH9)-1)*5 + 4) = "SF"), INDEX($CZ$8:$CZ$23, COLUMNS($DU9:EH9)), "0"), "")</f>
        <v>0</v>
      </c>
      <c r="EI9" s="390" t="str">
        <f t="array" ref="EI9">IFERROR(IF(AND(INDEX($E$8:$CE$57, MATCH($C9, $C$8:$C$57, 0), (COLUMNS($DU9:EI9)-1)*5 + 1) = INDEX($E$5:$CE$5, 1, (COLUMNS($DU9:EI9)-1)*5 + 1), INDEX($E$8:$CE$57, MATCH($C9, $C$8:$C$57, 0), (COLUMNS($DU9:EI9)-1)*5 + 4) = "SF"), INDEX($CZ$8:$CZ$23, COLUMNS($DU9:EI9)), "0"), "")</f>
        <v>0</v>
      </c>
      <c r="EJ9" s="390" t="str">
        <f t="array" ref="EJ9">IFERROR(IF(AND(INDEX($E$8:$CE$57, MATCH($C9, $C$8:$C$57, 0), (COLUMNS($DU9:EJ9)-1)*5 + 1) = INDEX($E$5:$CE$5, 1, (COLUMNS($DU9:EJ9)-1)*5 + 1), INDEX($E$8:$CE$57, MATCH($C9, $C$8:$C$57, 0), (COLUMNS($DU9:EJ9)-1)*5 + 4) = "SF"), INDEX($CZ$8:$CZ$23, COLUMNS($DU9:EJ9)), "0"), "")</f>
        <v>0</v>
      </c>
    </row>
    <row r="10" spans="1:140" ht="20.100000000000001" customHeight="1" x14ac:dyDescent="0.35">
      <c r="A10" s="515"/>
      <c r="B10" s="91">
        <f>IF(BASE01[[#This Row],[COD]]&lt;&gt;"",B9+1,"")</f>
        <v>3</v>
      </c>
      <c r="C10" s="533" t="s">
        <v>35</v>
      </c>
      <c r="D10" s="92" t="str">
        <f t="array" ref="D10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10" s="143">
        <v>6</v>
      </c>
      <c r="F10" s="144">
        <v>1</v>
      </c>
      <c r="G10" s="144">
        <v>8</v>
      </c>
      <c r="H10" s="144"/>
      <c r="I10" s="534">
        <f t="shared" si="0"/>
        <v>1</v>
      </c>
      <c r="J10" s="143">
        <v>7</v>
      </c>
      <c r="K10" s="144">
        <v>8</v>
      </c>
      <c r="L10" s="144">
        <v>3</v>
      </c>
      <c r="M10" s="144"/>
      <c r="N10" s="534">
        <f t="shared" si="1"/>
        <v>1</v>
      </c>
      <c r="O10" s="143">
        <v>8</v>
      </c>
      <c r="P10" s="144">
        <v>6</v>
      </c>
      <c r="Q10" s="144">
        <v>3</v>
      </c>
      <c r="R10" s="144"/>
      <c r="S10" s="534">
        <f t="shared" si="2"/>
        <v>2</v>
      </c>
      <c r="T10" s="143">
        <v>6</v>
      </c>
      <c r="U10" s="144">
        <v>7</v>
      </c>
      <c r="V10" s="144">
        <v>4</v>
      </c>
      <c r="W10" s="144"/>
      <c r="X10" s="534">
        <f t="shared" si="3"/>
        <v>3.5</v>
      </c>
      <c r="Y10" s="143">
        <v>5</v>
      </c>
      <c r="Z10" s="144"/>
      <c r="AA10" s="144"/>
      <c r="AB10" s="144" t="s">
        <v>255</v>
      </c>
      <c r="AC10" s="534">
        <f t="shared" si="4"/>
        <v>7.5</v>
      </c>
      <c r="AD10" s="143">
        <v>2</v>
      </c>
      <c r="AE10" s="144">
        <v>5</v>
      </c>
      <c r="AF10" s="144">
        <v>4</v>
      </c>
      <c r="AG10" s="144"/>
      <c r="AH10" s="534">
        <f t="shared" si="5"/>
        <v>5</v>
      </c>
      <c r="AI10" s="143">
        <v>7</v>
      </c>
      <c r="AJ10" s="144">
        <v>4</v>
      </c>
      <c r="AK10" s="144">
        <v>3</v>
      </c>
      <c r="AL10" s="144" t="s">
        <v>254</v>
      </c>
      <c r="AM10" s="534">
        <f t="shared" si="6"/>
        <v>2</v>
      </c>
      <c r="AN10" s="143">
        <v>11</v>
      </c>
      <c r="AO10" s="144">
        <v>8</v>
      </c>
      <c r="AP10" s="144">
        <v>5</v>
      </c>
      <c r="AQ10" s="144"/>
      <c r="AR10" s="534">
        <f t="shared" si="7"/>
        <v>2</v>
      </c>
      <c r="AS10" s="143">
        <v>1</v>
      </c>
      <c r="AT10" s="144">
        <v>2</v>
      </c>
      <c r="AU10" s="144">
        <v>3</v>
      </c>
      <c r="AV10" s="144"/>
      <c r="AW10" s="534">
        <f t="shared" si="8"/>
        <v>0</v>
      </c>
      <c r="AX10" s="143">
        <v>9</v>
      </c>
      <c r="AY10" s="144">
        <v>3</v>
      </c>
      <c r="AZ10" s="144">
        <v>1</v>
      </c>
      <c r="BA10" s="144"/>
      <c r="BB10" s="534">
        <f t="shared" si="9"/>
        <v>1</v>
      </c>
      <c r="BC10" s="143">
        <v>4</v>
      </c>
      <c r="BD10" s="144">
        <v>8</v>
      </c>
      <c r="BE10" s="144">
        <v>2</v>
      </c>
      <c r="BF10" s="144" t="s">
        <v>254</v>
      </c>
      <c r="BG10" s="534">
        <f t="shared" si="10"/>
        <v>5</v>
      </c>
      <c r="BH10" s="143">
        <v>5</v>
      </c>
      <c r="BI10" s="144">
        <v>6</v>
      </c>
      <c r="BJ10" s="144">
        <v>1</v>
      </c>
      <c r="BK10" s="144"/>
      <c r="BL10" s="534">
        <f t="shared" si="11"/>
        <v>0</v>
      </c>
      <c r="BM10" s="143">
        <v>1</v>
      </c>
      <c r="BN10" s="144">
        <v>12</v>
      </c>
      <c r="BO10" s="144">
        <v>4</v>
      </c>
      <c r="BP10" s="144"/>
      <c r="BQ10" s="534">
        <f t="shared" si="12"/>
        <v>0</v>
      </c>
      <c r="BR10" s="143"/>
      <c r="BS10" s="144"/>
      <c r="BT10" s="144"/>
      <c r="BU10" s="144"/>
      <c r="BV10" s="534">
        <f t="shared" si="13"/>
        <v>0</v>
      </c>
      <c r="BW10" s="143"/>
      <c r="BX10" s="144"/>
      <c r="BY10" s="144"/>
      <c r="BZ10" s="144"/>
      <c r="CA10" s="534">
        <f t="shared" si="14"/>
        <v>0</v>
      </c>
      <c r="CB10" s="143"/>
      <c r="CC10" s="144"/>
      <c r="CD10" s="144"/>
      <c r="CE10" s="144"/>
      <c r="CF10" s="534">
        <f t="shared" si="15"/>
        <v>0</v>
      </c>
      <c r="CG10" s="162">
        <f>IF(BASE01[[#This Row],[1]]="",0,$B$4)</f>
        <v>13</v>
      </c>
      <c r="CH10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4</v>
      </c>
      <c r="CI10" s="164">
        <f>IF(BASE01[[#This Row],[Columna14]]=0,0,(CH10/CG10))</f>
        <v>0.30769230769230771</v>
      </c>
      <c r="CJ10" s="163">
        <f>IF(BASE01[[#This Row],[1]]="",0,$B$4)</f>
        <v>13</v>
      </c>
      <c r="CK10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6</v>
      </c>
      <c r="CL10" s="164">
        <f>IF(BASE01[[#This Row],[Columna14]]=0,0,(CK10/CJ10))</f>
        <v>0.46153846153846156</v>
      </c>
      <c r="CM10" s="162">
        <f>IF(BASE01[[#This Row],[1]]="",0,$B$4)</f>
        <v>13</v>
      </c>
      <c r="CN10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10</v>
      </c>
      <c r="CO10" s="164">
        <f>IF(BASE01[[#This Row],[Columna14]]=0,0,(CN10/CM10))</f>
        <v>0.76923076923076927</v>
      </c>
      <c r="CP10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10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Row],[Columna25]],$AX$5,BA10,"SF")+COUNTIFS(BASE01[[#This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10" s="164">
        <f>IF(BASE01[[#This Row],[Columna14]]=0,0,(CQ10/CP10))</f>
        <v>0.66666666666666663</v>
      </c>
      <c r="CS10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30</v>
      </c>
      <c r="CT10" s="93"/>
      <c r="CU10" s="536">
        <f t="shared" si="16"/>
        <v>30</v>
      </c>
      <c r="CV10" s="94">
        <f>IF(BASE01[[#This Row],[TIPO]]="PREMIO",$O$3,"0,00")</f>
        <v>1000</v>
      </c>
      <c r="CW10" s="515"/>
      <c r="CY10" s="388">
        <v>3</v>
      </c>
      <c r="CZ10" s="349">
        <f>P$6</f>
        <v>298.11</v>
      </c>
      <c r="DB10" s="537" t="str">
        <f>BASE01[[#This Row],[COD]]</f>
        <v>COD 03</v>
      </c>
      <c r="DC10" s="390" t="str">
        <f t="array" ref="DC10">IFERROR(IF(AND(INDEX($E$8:$CE$57, MATCH($C10, $C$8:$C$57, 0), (COLUMNS($DC10:DC10)-1)*5 + 1) = INDEX($E$5:$CE$5, 1, (COLUMNS($DC10:DC10)-1)*5 + 1), INDEX($E$8:$CE$57, MATCH($C10, $C$8:$C$57, 0), (COLUMNS($DC10:DC10)-1)*5 + 4) = "F"), INDEX($CZ$8:$CZ$23, COLUMNS($DC10:DC10)), "0"), "")</f>
        <v>0</v>
      </c>
      <c r="DD10" s="390" t="str">
        <f t="array" ref="DD10">IFERROR(IF(AND(INDEX($E$8:$CE$57, MATCH($C10, $C$8:$C$57, 0), (COLUMNS($DC10:DD10)-1)*5 + 1) = INDEX($E$5:$CE$5, 1, (COLUMNS($DC10:DD10)-1)*5 + 1), INDEX($E$8:$CE$57, MATCH($C10, $C$8:$C$57, 0), (COLUMNS($DC10:DD10)-1)*5 + 4) = "F"), INDEX($CZ$8:$CZ$23, COLUMNS($DC10:DD10)), "0"), "")</f>
        <v>0</v>
      </c>
      <c r="DE10" s="390" t="str">
        <f t="array" ref="DE10">IFERROR(IF(AND(INDEX($E$8:$CE$57, MATCH($C10, $C$8:$C$57, 0), (COLUMNS($DC10:DE10)-1)*5 + 1) = INDEX($E$5:$CE$5, 1, (COLUMNS($DC10:DE10)-1)*5 + 1), INDEX($E$8:$CE$57, MATCH($C10, $C$8:$C$57, 0), (COLUMNS($DC10:DE10)-1)*5 + 4) = "F"), INDEX($CZ$8:$CZ$23, COLUMNS($DC10:DE10)), "0"), "")</f>
        <v>0</v>
      </c>
      <c r="DF10" s="390" t="str">
        <f t="array" ref="DF10">IFERROR(IF(AND(INDEX($E$8:$CE$57, MATCH($C10, $C$8:$C$57, 0), (COLUMNS($DC10:DF10)-1)*5 + 1) = INDEX($E$5:$CE$5, 1, (COLUMNS($DC10:DF10)-1)*5 + 1), INDEX($E$8:$CE$57, MATCH($C10, $C$8:$C$57, 0), (COLUMNS($DC10:DF10)-1)*5 + 4) = "F"), INDEX($CZ$8:$CZ$23, COLUMNS($DC10:DF10)), "0"), "")</f>
        <v>0</v>
      </c>
      <c r="DG10" s="390" t="str">
        <f t="array" ref="DG10">IFERROR(IF(AND(INDEX($E$8:$CE$57, MATCH($C10, $C$8:$C$57, 0), (COLUMNS($DC10:DG10)-1)*5 + 1) = INDEX($E$5:$CE$5, 1, (COLUMNS($DC10:DG10)-1)*5 + 1), INDEX($E$8:$CE$57, MATCH($C10, $C$8:$C$57, 0), (COLUMNS($DC10:DG10)-1)*5 + 4) = "F"), INDEX($CZ$8:$CZ$23, COLUMNS($DC10:DG10)), "0"), "")</f>
        <v>0</v>
      </c>
      <c r="DH10" s="390" t="str">
        <f t="array" ref="DH10">IFERROR(IF(AND(INDEX($E$8:$CE$57, MATCH($C10, $C$8:$C$57, 0), (COLUMNS($DC10:DH10)-1)*5 + 1) = INDEX($E$5:$CE$5, 1, (COLUMNS($DC10:DH10)-1)*5 + 1), INDEX($E$8:$CE$57, MATCH($C10, $C$8:$C$57, 0), (COLUMNS($DC10:DH10)-1)*5 + 4) = "F"), INDEX($CZ$8:$CZ$23, COLUMNS($DC10:DH10)), "0"), "")</f>
        <v>0</v>
      </c>
      <c r="DI10" s="390" t="str">
        <f t="array" ref="DI10">IFERROR(IF(AND(INDEX($E$8:$CE$57, MATCH($C10, $C$8:$C$57, 0), (COLUMNS($DC10:DI10)-1)*5 + 1) = INDEX($E$5:$CE$5, 1, (COLUMNS($DC10:DI10)-1)*5 + 1), INDEX($E$8:$CE$57, MATCH($C10, $C$8:$C$57, 0), (COLUMNS($DC10:DI10)-1)*5 + 4) = "F"), INDEX($CZ$8:$CZ$23, COLUMNS($DC10:DI10)), "0"), "")</f>
        <v>0</v>
      </c>
      <c r="DJ10" s="390" t="str">
        <f t="array" ref="DJ10">IFERROR(IF(AND(INDEX($E$8:$CE$57, MATCH($C10, $C$8:$C$57, 0), (COLUMNS($DC10:DJ10)-1)*5 + 1) = INDEX($E$5:$CE$5, 1, (COLUMNS($DC10:DJ10)-1)*5 + 1), INDEX($E$8:$CE$57, MATCH($C10, $C$8:$C$57, 0), (COLUMNS($DC10:DJ10)-1)*5 + 4) = "F"), INDEX($CZ$8:$CZ$23, COLUMNS($DC10:DJ10)), "0"), "")</f>
        <v>0</v>
      </c>
      <c r="DK10" s="390" t="str">
        <f t="array" ref="DK10">IFERROR(IF(AND(INDEX($E$8:$CE$57, MATCH($C10, $C$8:$C$57, 0), (COLUMNS($DC10:DK10)-1)*5 + 1) = INDEX($E$5:$CE$5, 1, (COLUMNS($DC10:DK10)-1)*5 + 1), INDEX($E$8:$CE$57, MATCH($C10, $C$8:$C$57, 0), (COLUMNS($DC10:DK10)-1)*5 + 4) = "F"), INDEX($CZ$8:$CZ$23, COLUMNS($DC10:DK10)), "0"), "")</f>
        <v>0</v>
      </c>
      <c r="DL10" s="390" t="str">
        <f t="array" ref="DL10">IFERROR(IF(AND(INDEX($E$8:$CE$57, MATCH($C10, $C$8:$C$57, 0), (COLUMNS($DC10:DL10)-1)*5 + 1) = INDEX($E$5:$CE$5, 1, (COLUMNS($DC10:DL10)-1)*5 + 1), INDEX($E$8:$CE$57, MATCH($C10, $C$8:$C$57, 0), (COLUMNS($DC10:DL10)-1)*5 + 4) = "F"), INDEX($CZ$8:$CZ$23, COLUMNS($DC10:DL10)), "0"), "")</f>
        <v>0</v>
      </c>
      <c r="DM10" s="390">
        <f t="array" ref="DM10">IFERROR(IF(AND(INDEX($E$8:$CE$57, MATCH($C10, $C$8:$C$57, 0), (COLUMNS($DC10:DM10)-1)*5 + 1) = INDEX($E$5:$CE$5, 1, (COLUMNS($DC10:DM10)-1)*5 + 1), INDEX($E$8:$CE$57, MATCH($C10, $C$8:$C$57, 0), (COLUMNS($DC10:DM10)-1)*5 + 4) = "F"), INDEX($CZ$8:$CZ$23, COLUMNS($DC10:DM10)), "0"), "")</f>
        <v>184.94</v>
      </c>
      <c r="DN10" s="390" t="str">
        <f t="array" ref="DN10">IFERROR(IF(AND(INDEX($E$8:$CE$57, MATCH($C10, $C$8:$C$57, 0), (COLUMNS($DC10:DN10)-1)*5 + 1) = INDEX($E$5:$CE$5, 1, (COLUMNS($DC10:DN10)-1)*5 + 1), INDEX($E$8:$CE$57, MATCH($C10, $C$8:$C$57, 0), (COLUMNS($DC10:DN10)-1)*5 + 4) = "F"), INDEX($CZ$8:$CZ$23, COLUMNS($DC10:DN10)), "0"), "")</f>
        <v>0</v>
      </c>
      <c r="DO10" s="390" t="str">
        <f t="array" ref="DO10">IFERROR(IF(AND(INDEX($E$8:$CE$57, MATCH($C10, $C$8:$C$57, 0), (COLUMNS($DC10:DO10)-1)*5 + 1) = INDEX($E$5:$CE$5, 1, (COLUMNS($DC10:DO10)-1)*5 + 1), INDEX($E$8:$CE$57, MATCH($C10, $C$8:$C$57, 0), (COLUMNS($DC10:DO10)-1)*5 + 4) = "F"), INDEX($CZ$8:$CZ$23, COLUMNS($DC10:DO10)), "0"), "")</f>
        <v>0</v>
      </c>
      <c r="DP10" s="390" t="str">
        <f t="array" ref="DP10">IFERROR(IF(AND(INDEX($E$8:$CE$57, MATCH($C10, $C$8:$C$57, 0), (COLUMNS($DC10:DP10)-1)*5 + 1) = INDEX($E$5:$CE$5, 1, (COLUMNS($DC10:DP10)-1)*5 + 1), INDEX($E$8:$CE$57, MATCH($C10, $C$8:$C$57, 0), (COLUMNS($DC10:DP10)-1)*5 + 4) = "F"), INDEX($CZ$8:$CZ$23, COLUMNS($DC10:DP10)), "0"), "")</f>
        <v>0</v>
      </c>
      <c r="DQ10" s="390" t="str">
        <f t="array" ref="DQ10">IFERROR(IF(AND(INDEX($E$8:$CE$57, MATCH($C10, $C$8:$C$57, 0), (COLUMNS($DC10:DQ10)-1)*5 + 1) = INDEX($E$5:$CE$5, 1, (COLUMNS($DC10:DQ10)-1)*5 + 1), INDEX($E$8:$CE$57, MATCH($C10, $C$8:$C$57, 0), (COLUMNS($DC10:DQ10)-1)*5 + 4) = "F"), INDEX($CZ$8:$CZ$23, COLUMNS($DC10:DQ10)), "0"), "")</f>
        <v>0</v>
      </c>
      <c r="DR10" s="390" t="str">
        <f t="array" ref="DR10">IFERROR(IF(AND(INDEX($E$8:$CE$57, MATCH($C10, $C$8:$C$57, 0), (COLUMNS($DC10:DR10)-1)*5 + 1) = INDEX($E$5:$CE$5, 1, (COLUMNS($DC10:DR10)-1)*5 + 1), INDEX($E$8:$CE$57, MATCH($C10, $C$8:$C$57, 0), (COLUMNS($DC10:DR10)-1)*5 + 4) = "F"), INDEX($CZ$8:$CZ$23, COLUMNS($DC10:DR10)), "0"), "")</f>
        <v>0</v>
      </c>
      <c r="DT10" s="537" t="str">
        <f>BASE01[[#This Row],[COD]]</f>
        <v>COD 03</v>
      </c>
      <c r="DU10" s="390" t="str">
        <f t="array" ref="DU10">IFERROR(IF(AND(INDEX($E$8:$CE$57, MATCH($C10, $C$8:$C$57, 0), (COLUMNS($DU10:DU10)-1)*5 + 1) = INDEX($E$5:$CE$5, 1, (COLUMNS($DU10:DU10)-1)*5 + 1), INDEX($E$8:$CE$57, MATCH($C10, $C$8:$C$57, 0), (COLUMNS($DU10:DU10)-1)*5 + 4) = "SF"), INDEX($CZ$8:$CZ$23, COLUMNS($DU10:DU10)), "0"), "")</f>
        <v>0</v>
      </c>
      <c r="DV10" s="390" t="str">
        <f t="array" ref="DV10">IFERROR(IF(AND(INDEX($E$8:$CE$57, MATCH($C10, $C$8:$C$57, 0), (COLUMNS($DU10:DV10)-1)*5 + 1) = INDEX($E$5:$CE$5, 1, (COLUMNS($DU10:DV10)-1)*5 + 1), INDEX($E$8:$CE$57, MATCH($C10, $C$8:$C$57, 0), (COLUMNS($DU10:DV10)-1)*5 + 4) = "SF"), INDEX($CZ$8:$CZ$23, COLUMNS($DU10:DV10)), "0"), "")</f>
        <v>0</v>
      </c>
      <c r="DW10" s="390" t="str">
        <f t="array" ref="DW10">IFERROR(IF(AND(INDEX($E$8:$CE$57, MATCH($C10, $C$8:$C$57, 0), (COLUMNS($DU10:DW10)-1)*5 + 1) = INDEX($E$5:$CE$5, 1, (COLUMNS($DU10:DW10)-1)*5 + 1), INDEX($E$8:$CE$57, MATCH($C10, $C$8:$C$57, 0), (COLUMNS($DU10:DW10)-1)*5 + 4) = "SF"), INDEX($CZ$8:$CZ$23, COLUMNS($DU10:DW10)), "0"), "")</f>
        <v>0</v>
      </c>
      <c r="DX10" s="390" t="str">
        <f t="array" ref="DX10">IFERROR(IF(AND(INDEX($E$8:$CE$57, MATCH($C10, $C$8:$C$57, 0), (COLUMNS($DU10:DX10)-1)*5 + 1) = INDEX($E$5:$CE$5, 1, (COLUMNS($DU10:DX10)-1)*5 + 1), INDEX($E$8:$CE$57, MATCH($C10, $C$8:$C$57, 0), (COLUMNS($DU10:DX10)-1)*5 + 4) = "SF"), INDEX($CZ$8:$CZ$23, COLUMNS($DU10:DX10)), "0"), "")</f>
        <v>0</v>
      </c>
      <c r="DY10" s="390">
        <f t="array" ref="DY10">IFERROR(IF(AND(INDEX($E$8:$CE$57, MATCH($C10, $C$8:$C$57, 0), (COLUMNS($DU10:DY10)-1)*5 + 1) = INDEX($E$5:$CE$5, 1, (COLUMNS($DU10:DY10)-1)*5 + 1), INDEX($E$8:$CE$57, MATCH($C10, $C$8:$C$57, 0), (COLUMNS($DU10:DY10)-1)*5 + 4) = "SF"), INDEX($CZ$8:$CZ$23, COLUMNS($DU10:DY10)), "0"), "")</f>
        <v>110</v>
      </c>
      <c r="DZ10" s="390" t="str">
        <f t="array" ref="DZ10">IFERROR(IF(AND(INDEX($E$8:$CE$57, MATCH($C10, $C$8:$C$57, 0), (COLUMNS($DU10:DZ10)-1)*5 + 1) = INDEX($E$5:$CE$5, 1, (COLUMNS($DU10:DZ10)-1)*5 + 1), INDEX($E$8:$CE$57, MATCH($C10, $C$8:$C$57, 0), (COLUMNS($DU10:DZ10)-1)*5 + 4) = "SF"), INDEX($CZ$8:$CZ$23, COLUMNS($DU10:DZ10)), "0"), "")</f>
        <v>0</v>
      </c>
      <c r="EA10" s="390" t="str">
        <f t="array" ref="EA10">IFERROR(IF(AND(INDEX($E$8:$CE$57, MATCH($C10, $C$8:$C$57, 0), (COLUMNS($DU10:EA10)-1)*5 + 1) = INDEX($E$5:$CE$5, 1, (COLUMNS($DU10:EA10)-1)*5 + 1), INDEX($E$8:$CE$57, MATCH($C10, $C$8:$C$57, 0), (COLUMNS($DU10:EA10)-1)*5 + 4) = "SF"), INDEX($CZ$8:$CZ$23, COLUMNS($DU10:EA10)), "0"), "")</f>
        <v>0</v>
      </c>
      <c r="EB10" s="390" t="str">
        <f t="array" ref="EB10">IFERROR(IF(AND(INDEX($E$8:$CE$57, MATCH($C10, $C$8:$C$57, 0), (COLUMNS($DU10:EB10)-1)*5 + 1) = INDEX($E$5:$CE$5, 1, (COLUMNS($DU10:EB10)-1)*5 + 1), INDEX($E$8:$CE$57, MATCH($C10, $C$8:$C$57, 0), (COLUMNS($DU10:EB10)-1)*5 + 4) = "SF"), INDEX($CZ$8:$CZ$23, COLUMNS($DU10:EB10)), "0"), "")</f>
        <v>0</v>
      </c>
      <c r="EC10" s="390" t="str">
        <f t="array" ref="EC10">IFERROR(IF(AND(INDEX($E$8:$CE$57, MATCH($C10, $C$8:$C$57, 0), (COLUMNS($DU10:EC10)-1)*5 + 1) = INDEX($E$5:$CE$5, 1, (COLUMNS($DU10:EC10)-1)*5 + 1), INDEX($E$8:$CE$57, MATCH($C10, $C$8:$C$57, 0), (COLUMNS($DU10:EC10)-1)*5 + 4) = "SF"), INDEX($CZ$8:$CZ$23, COLUMNS($DU10:EC10)), "0"), "")</f>
        <v>0</v>
      </c>
      <c r="ED10" s="390" t="str">
        <f t="array" ref="ED10">IFERROR(IF(AND(INDEX($E$8:$CE$57, MATCH($C10, $C$8:$C$57, 0), (COLUMNS($DU10:ED10)-1)*5 + 1) = INDEX($E$5:$CE$5, 1, (COLUMNS($DU10:ED10)-1)*5 + 1), INDEX($E$8:$CE$57, MATCH($C10, $C$8:$C$57, 0), (COLUMNS($DU10:ED10)-1)*5 + 4) = "SF"), INDEX($CZ$8:$CZ$23, COLUMNS($DU10:ED10)), "0"), "")</f>
        <v>0</v>
      </c>
      <c r="EE10" s="390" t="str">
        <f t="array" ref="EE10">IFERROR(IF(AND(INDEX($E$8:$CE$57, MATCH($C10, $C$8:$C$57, 0), (COLUMNS($DU10:EE10)-1)*5 + 1) = INDEX($E$5:$CE$5, 1, (COLUMNS($DU10:EE10)-1)*5 + 1), INDEX($E$8:$CE$57, MATCH($C10, $C$8:$C$57, 0), (COLUMNS($DU10:EE10)-1)*5 + 4) = "SF"), INDEX($CZ$8:$CZ$23, COLUMNS($DU10:EE10)), "0"), "")</f>
        <v>0</v>
      </c>
      <c r="EF10" s="390" t="str">
        <f t="array" ref="EF10">IFERROR(IF(AND(INDEX($E$8:$CE$57, MATCH($C10, $C$8:$C$57, 0), (COLUMNS($DU10:EF10)-1)*5 + 1) = INDEX($E$5:$CE$5, 1, (COLUMNS($DU10:EF10)-1)*5 + 1), INDEX($E$8:$CE$57, MATCH($C10, $C$8:$C$57, 0), (COLUMNS($DU10:EF10)-1)*5 + 4) = "SF"), INDEX($CZ$8:$CZ$23, COLUMNS($DU10:EF10)), "0"), "")</f>
        <v>0</v>
      </c>
      <c r="EG10" s="390" t="str">
        <f t="array" ref="EG10">IFERROR(IF(AND(INDEX($E$8:$CE$57, MATCH($C10, $C$8:$C$57, 0), (COLUMNS($DU10:EG10)-1)*5 + 1) = INDEX($E$5:$CE$5, 1, (COLUMNS($DU10:EG10)-1)*5 + 1), INDEX($E$8:$CE$57, MATCH($C10, $C$8:$C$57, 0), (COLUMNS($DU10:EG10)-1)*5 + 4) = "SF"), INDEX($CZ$8:$CZ$23, COLUMNS($DU10:EG10)), "0"), "")</f>
        <v>0</v>
      </c>
      <c r="EH10" s="390" t="str">
        <f t="array" ref="EH10">IFERROR(IF(AND(INDEX($E$8:$CE$57, MATCH($C10, $C$8:$C$57, 0), (COLUMNS($DU10:EH10)-1)*5 + 1) = INDEX($E$5:$CE$5, 1, (COLUMNS($DU10:EH10)-1)*5 + 1), INDEX($E$8:$CE$57, MATCH($C10, $C$8:$C$57, 0), (COLUMNS($DU10:EH10)-1)*5 + 4) = "SF"), INDEX($CZ$8:$CZ$23, COLUMNS($DU10:EH10)), "0"), "")</f>
        <v>0</v>
      </c>
      <c r="EI10" s="390" t="str">
        <f t="array" ref="EI10">IFERROR(IF(AND(INDEX($E$8:$CE$57, MATCH($C10, $C$8:$C$57, 0), (COLUMNS($DU10:EI10)-1)*5 + 1) = INDEX($E$5:$CE$5, 1, (COLUMNS($DU10:EI10)-1)*5 + 1), INDEX($E$8:$CE$57, MATCH($C10, $C$8:$C$57, 0), (COLUMNS($DU10:EI10)-1)*5 + 4) = "SF"), INDEX($CZ$8:$CZ$23, COLUMNS($DU10:EI10)), "0"), "")</f>
        <v>0</v>
      </c>
      <c r="EJ10" s="390" t="str">
        <f t="array" ref="EJ10">IFERROR(IF(AND(INDEX($E$8:$CE$57, MATCH($C10, $C$8:$C$57, 0), (COLUMNS($DU10:EJ10)-1)*5 + 1) = INDEX($E$5:$CE$5, 1, (COLUMNS($DU10:EJ10)-1)*5 + 1), INDEX($E$8:$CE$57, MATCH($C10, $C$8:$C$57, 0), (COLUMNS($DU10:EJ10)-1)*5 + 4) = "SF"), INDEX($CZ$8:$CZ$23, COLUMNS($DU10:EJ10)), "0"), "")</f>
        <v>0</v>
      </c>
    </row>
    <row r="11" spans="1:140" ht="20.100000000000001" customHeight="1" x14ac:dyDescent="0.35">
      <c r="A11" s="515"/>
      <c r="B11" s="91">
        <f>IF(BASE01[[#This Row],[COD]]&lt;&gt;"",B10+1,"")</f>
        <v>4</v>
      </c>
      <c r="C11" s="533" t="s">
        <v>37</v>
      </c>
      <c r="D11" s="92" t="str">
        <f t="array" ref="D11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11" s="143">
        <v>1</v>
      </c>
      <c r="F11" s="145">
        <v>6</v>
      </c>
      <c r="G11" s="145">
        <v>2</v>
      </c>
      <c r="H11" s="145" t="s">
        <v>254</v>
      </c>
      <c r="I11" s="534">
        <f t="shared" si="0"/>
        <v>0</v>
      </c>
      <c r="J11" s="143">
        <v>3</v>
      </c>
      <c r="K11" s="145">
        <v>1</v>
      </c>
      <c r="L11" s="145">
        <v>8</v>
      </c>
      <c r="M11" s="145"/>
      <c r="N11" s="534">
        <f t="shared" si="1"/>
        <v>4</v>
      </c>
      <c r="O11" s="143">
        <v>3</v>
      </c>
      <c r="P11" s="145">
        <v>8</v>
      </c>
      <c r="Q11" s="145">
        <v>2</v>
      </c>
      <c r="R11" s="145"/>
      <c r="S11" s="534">
        <f t="shared" si="2"/>
        <v>0</v>
      </c>
      <c r="T11" s="143">
        <v>6</v>
      </c>
      <c r="U11" s="145">
        <v>9</v>
      </c>
      <c r="V11" s="145">
        <v>4</v>
      </c>
      <c r="W11" s="145"/>
      <c r="X11" s="534">
        <f t="shared" si="3"/>
        <v>4.5</v>
      </c>
      <c r="Y11" s="143">
        <v>5</v>
      </c>
      <c r="Z11" s="145"/>
      <c r="AA11" s="145"/>
      <c r="AB11" s="145" t="s">
        <v>255</v>
      </c>
      <c r="AC11" s="534">
        <f t="shared" si="4"/>
        <v>7.5</v>
      </c>
      <c r="AD11" s="143">
        <v>7</v>
      </c>
      <c r="AE11" s="145">
        <v>5</v>
      </c>
      <c r="AF11" s="145">
        <v>9</v>
      </c>
      <c r="AG11" s="145"/>
      <c r="AH11" s="534">
        <f t="shared" si="5"/>
        <v>0</v>
      </c>
      <c r="AI11" s="143">
        <v>4</v>
      </c>
      <c r="AJ11" s="145">
        <v>3</v>
      </c>
      <c r="AK11" s="145">
        <v>7</v>
      </c>
      <c r="AL11" s="145"/>
      <c r="AM11" s="534">
        <f t="shared" si="6"/>
        <v>5</v>
      </c>
      <c r="AN11" s="143">
        <v>8</v>
      </c>
      <c r="AO11" s="145">
        <v>9</v>
      </c>
      <c r="AP11" s="145">
        <v>7</v>
      </c>
      <c r="AQ11" s="145"/>
      <c r="AR11" s="534">
        <f t="shared" si="7"/>
        <v>0</v>
      </c>
      <c r="AS11" s="143">
        <v>7</v>
      </c>
      <c r="AT11" s="145">
        <v>2</v>
      </c>
      <c r="AU11" s="145">
        <v>1</v>
      </c>
      <c r="AV11" s="145"/>
      <c r="AW11" s="534">
        <f t="shared" si="8"/>
        <v>0</v>
      </c>
      <c r="AX11" s="143">
        <v>9</v>
      </c>
      <c r="AY11" s="145">
        <v>4</v>
      </c>
      <c r="AZ11" s="145">
        <v>1</v>
      </c>
      <c r="BA11" s="145" t="s">
        <v>254</v>
      </c>
      <c r="BB11" s="534">
        <f t="shared" si="9"/>
        <v>1</v>
      </c>
      <c r="BC11" s="143">
        <v>4</v>
      </c>
      <c r="BD11" s="145">
        <v>2</v>
      </c>
      <c r="BE11" s="145">
        <v>3</v>
      </c>
      <c r="BF11" s="145"/>
      <c r="BG11" s="534">
        <f t="shared" si="10"/>
        <v>5</v>
      </c>
      <c r="BH11" s="143">
        <v>5</v>
      </c>
      <c r="BI11" s="145">
        <v>1</v>
      </c>
      <c r="BJ11" s="145">
        <v>6</v>
      </c>
      <c r="BK11" s="145"/>
      <c r="BL11" s="534">
        <f t="shared" si="11"/>
        <v>0</v>
      </c>
      <c r="BM11" s="143">
        <v>12</v>
      </c>
      <c r="BN11" s="145">
        <v>9</v>
      </c>
      <c r="BO11" s="145">
        <v>5</v>
      </c>
      <c r="BP11" s="145"/>
      <c r="BQ11" s="534">
        <f t="shared" si="12"/>
        <v>0</v>
      </c>
      <c r="BR11" s="143"/>
      <c r="BS11" s="145"/>
      <c r="BT11" s="145"/>
      <c r="BU11" s="145"/>
      <c r="BV11" s="534">
        <f t="shared" si="13"/>
        <v>0</v>
      </c>
      <c r="BW11" s="143"/>
      <c r="BX11" s="145"/>
      <c r="BY11" s="145"/>
      <c r="BZ11" s="145"/>
      <c r="CA11" s="534">
        <f t="shared" si="14"/>
        <v>0</v>
      </c>
      <c r="CB11" s="143"/>
      <c r="CC11" s="145"/>
      <c r="CD11" s="145"/>
      <c r="CE11" s="145"/>
      <c r="CF11" s="534">
        <f t="shared" si="15"/>
        <v>0</v>
      </c>
      <c r="CG11" s="162">
        <f>IF(BASE01[[#This Row],[1]]="",0,$B$4)</f>
        <v>13</v>
      </c>
      <c r="CH11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5</v>
      </c>
      <c r="CI11" s="164">
        <f>IF(BASE01[[#This Row],[Columna14]]=0,0,(CH11/CG11))</f>
        <v>0.38461538461538464</v>
      </c>
      <c r="CJ11" s="163">
        <f>IF(BASE01[[#This Row],[1]]="",0,$B$4)</f>
        <v>13</v>
      </c>
      <c r="CK11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5</v>
      </c>
      <c r="CL11" s="164">
        <f>IF(BASE01[[#This Row],[Columna14]]=0,0,(CK11/CJ11))</f>
        <v>0.38461538461538464</v>
      </c>
      <c r="CM11" s="162">
        <f>IF(BASE01[[#This Row],[1]]="",0,$B$4)</f>
        <v>13</v>
      </c>
      <c r="CN11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6</v>
      </c>
      <c r="CO11" s="164">
        <f>IF(BASE01[[#This Row],[Columna14]]=0,0,(CN11/CM11))</f>
        <v>0.46153846153846156</v>
      </c>
      <c r="CP11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11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Row],[Columna25]],$AX$5,BA11,"SF")+COUNTIFS(BASE01[[#This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1</v>
      </c>
      <c r="CR11" s="164">
        <f>IF(BASE01[[#This Row],[Columna14]]=0,0,(CQ11/CP11))</f>
        <v>0.33333333333333331</v>
      </c>
      <c r="CS11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27</v>
      </c>
      <c r="CT11" s="93"/>
      <c r="CU11" s="536">
        <f t="shared" si="16"/>
        <v>27</v>
      </c>
      <c r="CV11" s="94">
        <f>IF(BASE01[[#This Row],[TIPO]]="PREMIO",$O$3,"0,00")</f>
        <v>1000</v>
      </c>
      <c r="CW11" s="515"/>
      <c r="CY11" s="388">
        <v>4</v>
      </c>
      <c r="CZ11" s="349">
        <f>U$6</f>
        <v>110</v>
      </c>
      <c r="DB11" s="537" t="str">
        <f>BASE01[[#This Row],[COD]]</f>
        <v>COD 04</v>
      </c>
      <c r="DC11" s="390" t="str">
        <f t="array" ref="DC11">IFERROR(IF(AND(INDEX($E$8:$CE$57, MATCH($C11, $C$8:$C$57, 0), (COLUMNS($DC11:DC11)-1)*5 + 1) = INDEX($E$5:$CE$5, 1, (COLUMNS($DC11:DC11)-1)*5 + 1), INDEX($E$8:$CE$57, MATCH($C11, $C$8:$C$57, 0), (COLUMNS($DC11:DC11)-1)*5 + 4) = "F"), INDEX($CZ$8:$CZ$23, COLUMNS($DC11:DC11)), "0"), "")</f>
        <v>0</v>
      </c>
      <c r="DD11" s="390" t="str">
        <f t="array" ref="DD11">IFERROR(IF(AND(INDEX($E$8:$CE$57, MATCH($C11, $C$8:$C$57, 0), (COLUMNS($DC11:DD11)-1)*5 + 1) = INDEX($E$5:$CE$5, 1, (COLUMNS($DC11:DD11)-1)*5 + 1), INDEX($E$8:$CE$57, MATCH($C11, $C$8:$C$57, 0), (COLUMNS($DC11:DD11)-1)*5 + 4) = "F"), INDEX($CZ$8:$CZ$23, COLUMNS($DC11:DD11)), "0"), "")</f>
        <v>0</v>
      </c>
      <c r="DE11" s="390" t="str">
        <f t="array" ref="DE11">IFERROR(IF(AND(INDEX($E$8:$CE$57, MATCH($C11, $C$8:$C$57, 0), (COLUMNS($DC11:DE11)-1)*5 + 1) = INDEX($E$5:$CE$5, 1, (COLUMNS($DC11:DE11)-1)*5 + 1), INDEX($E$8:$CE$57, MATCH($C11, $C$8:$C$57, 0), (COLUMNS($DC11:DE11)-1)*5 + 4) = "F"), INDEX($CZ$8:$CZ$23, COLUMNS($DC11:DE11)), "0"), "")</f>
        <v>0</v>
      </c>
      <c r="DF11" s="390" t="str">
        <f t="array" ref="DF11">IFERROR(IF(AND(INDEX($E$8:$CE$57, MATCH($C11, $C$8:$C$57, 0), (COLUMNS($DC11:DF11)-1)*5 + 1) = INDEX($E$5:$CE$5, 1, (COLUMNS($DC11:DF11)-1)*5 + 1), INDEX($E$8:$CE$57, MATCH($C11, $C$8:$C$57, 0), (COLUMNS($DC11:DF11)-1)*5 + 4) = "F"), INDEX($CZ$8:$CZ$23, COLUMNS($DC11:DF11)), "0"), "")</f>
        <v>0</v>
      </c>
      <c r="DG11" s="390" t="str">
        <f t="array" ref="DG11">IFERROR(IF(AND(INDEX($E$8:$CE$57, MATCH($C11, $C$8:$C$57, 0), (COLUMNS($DC11:DG11)-1)*5 + 1) = INDEX($E$5:$CE$5, 1, (COLUMNS($DC11:DG11)-1)*5 + 1), INDEX($E$8:$CE$57, MATCH($C11, $C$8:$C$57, 0), (COLUMNS($DC11:DG11)-1)*5 + 4) = "F"), INDEX($CZ$8:$CZ$23, COLUMNS($DC11:DG11)), "0"), "")</f>
        <v>0</v>
      </c>
      <c r="DH11" s="390" t="str">
        <f t="array" ref="DH11">IFERROR(IF(AND(INDEX($E$8:$CE$57, MATCH($C11, $C$8:$C$57, 0), (COLUMNS($DC11:DH11)-1)*5 + 1) = INDEX($E$5:$CE$5, 1, (COLUMNS($DC11:DH11)-1)*5 + 1), INDEX($E$8:$CE$57, MATCH($C11, $C$8:$C$57, 0), (COLUMNS($DC11:DH11)-1)*5 + 4) = "F"), INDEX($CZ$8:$CZ$23, COLUMNS($DC11:DH11)), "0"), "")</f>
        <v>0</v>
      </c>
      <c r="DI11" s="390" t="str">
        <f t="array" ref="DI11">IFERROR(IF(AND(INDEX($E$8:$CE$57, MATCH($C11, $C$8:$C$57, 0), (COLUMNS($DC11:DI11)-1)*5 + 1) = INDEX($E$5:$CE$5, 1, (COLUMNS($DC11:DI11)-1)*5 + 1), INDEX($E$8:$CE$57, MATCH($C11, $C$8:$C$57, 0), (COLUMNS($DC11:DI11)-1)*5 + 4) = "F"), INDEX($CZ$8:$CZ$23, COLUMNS($DC11:DI11)), "0"), "")</f>
        <v>0</v>
      </c>
      <c r="DJ11" s="390" t="str">
        <f t="array" ref="DJ11">IFERROR(IF(AND(INDEX($E$8:$CE$57, MATCH($C11, $C$8:$C$57, 0), (COLUMNS($DC11:DJ11)-1)*5 + 1) = INDEX($E$5:$CE$5, 1, (COLUMNS($DC11:DJ11)-1)*5 + 1), INDEX($E$8:$CE$57, MATCH($C11, $C$8:$C$57, 0), (COLUMNS($DC11:DJ11)-1)*5 + 4) = "F"), INDEX($CZ$8:$CZ$23, COLUMNS($DC11:DJ11)), "0"), "")</f>
        <v>0</v>
      </c>
      <c r="DK11" s="390" t="str">
        <f t="array" ref="DK11">IFERROR(IF(AND(INDEX($E$8:$CE$57, MATCH($C11, $C$8:$C$57, 0), (COLUMNS($DC11:DK11)-1)*5 + 1) = INDEX($E$5:$CE$5, 1, (COLUMNS($DC11:DK11)-1)*5 + 1), INDEX($E$8:$CE$57, MATCH($C11, $C$8:$C$57, 0), (COLUMNS($DC11:DK11)-1)*5 + 4) = "F"), INDEX($CZ$8:$CZ$23, COLUMNS($DC11:DK11)), "0"), "")</f>
        <v>0</v>
      </c>
      <c r="DL11" s="390" t="str">
        <f t="array" ref="DL11">IFERROR(IF(AND(INDEX($E$8:$CE$57, MATCH($C11, $C$8:$C$57, 0), (COLUMNS($DC11:DL11)-1)*5 + 1) = INDEX($E$5:$CE$5, 1, (COLUMNS($DC11:DL11)-1)*5 + 1), INDEX($E$8:$CE$57, MATCH($C11, $C$8:$C$57, 0), (COLUMNS($DC11:DL11)-1)*5 + 4) = "F"), INDEX($CZ$8:$CZ$23, COLUMNS($DC11:DL11)), "0"), "")</f>
        <v>0</v>
      </c>
      <c r="DM11" s="390" t="str">
        <f t="array" ref="DM11">IFERROR(IF(AND(INDEX($E$8:$CE$57, MATCH($C11, $C$8:$C$57, 0), (COLUMNS($DC11:DM11)-1)*5 + 1) = INDEX($E$5:$CE$5, 1, (COLUMNS($DC11:DM11)-1)*5 + 1), INDEX($E$8:$CE$57, MATCH($C11, $C$8:$C$57, 0), (COLUMNS($DC11:DM11)-1)*5 + 4) = "F"), INDEX($CZ$8:$CZ$23, COLUMNS($DC11:DM11)), "0"), "")</f>
        <v>0</v>
      </c>
      <c r="DN11" s="390" t="str">
        <f t="array" ref="DN11">IFERROR(IF(AND(INDEX($E$8:$CE$57, MATCH($C11, $C$8:$C$57, 0), (COLUMNS($DC11:DN11)-1)*5 + 1) = INDEX($E$5:$CE$5, 1, (COLUMNS($DC11:DN11)-1)*5 + 1), INDEX($E$8:$CE$57, MATCH($C11, $C$8:$C$57, 0), (COLUMNS($DC11:DN11)-1)*5 + 4) = "F"), INDEX($CZ$8:$CZ$23, COLUMNS($DC11:DN11)), "0"), "")</f>
        <v>0</v>
      </c>
      <c r="DO11" s="390" t="str">
        <f t="array" ref="DO11">IFERROR(IF(AND(INDEX($E$8:$CE$57, MATCH($C11, $C$8:$C$57, 0), (COLUMNS($DC11:DO11)-1)*5 + 1) = INDEX($E$5:$CE$5, 1, (COLUMNS($DC11:DO11)-1)*5 + 1), INDEX($E$8:$CE$57, MATCH($C11, $C$8:$C$57, 0), (COLUMNS($DC11:DO11)-1)*5 + 4) = "F"), INDEX($CZ$8:$CZ$23, COLUMNS($DC11:DO11)), "0"), "")</f>
        <v>0</v>
      </c>
      <c r="DP11" s="390" t="str">
        <f t="array" ref="DP11">IFERROR(IF(AND(INDEX($E$8:$CE$57, MATCH($C11, $C$8:$C$57, 0), (COLUMNS($DC11:DP11)-1)*5 + 1) = INDEX($E$5:$CE$5, 1, (COLUMNS($DC11:DP11)-1)*5 + 1), INDEX($E$8:$CE$57, MATCH($C11, $C$8:$C$57, 0), (COLUMNS($DC11:DP11)-1)*5 + 4) = "F"), INDEX($CZ$8:$CZ$23, COLUMNS($DC11:DP11)), "0"), "")</f>
        <v>0</v>
      </c>
      <c r="DQ11" s="390" t="str">
        <f t="array" ref="DQ11">IFERROR(IF(AND(INDEX($E$8:$CE$57, MATCH($C11, $C$8:$C$57, 0), (COLUMNS($DC11:DQ11)-1)*5 + 1) = INDEX($E$5:$CE$5, 1, (COLUMNS($DC11:DQ11)-1)*5 + 1), INDEX($E$8:$CE$57, MATCH($C11, $C$8:$C$57, 0), (COLUMNS($DC11:DQ11)-1)*5 + 4) = "F"), INDEX($CZ$8:$CZ$23, COLUMNS($DC11:DQ11)), "0"), "")</f>
        <v>0</v>
      </c>
      <c r="DR11" s="390" t="str">
        <f t="array" ref="DR11">IFERROR(IF(AND(INDEX($E$8:$CE$57, MATCH($C11, $C$8:$C$57, 0), (COLUMNS($DC11:DR11)-1)*5 + 1) = INDEX($E$5:$CE$5, 1, (COLUMNS($DC11:DR11)-1)*5 + 1), INDEX($E$8:$CE$57, MATCH($C11, $C$8:$C$57, 0), (COLUMNS($DC11:DR11)-1)*5 + 4) = "F"), INDEX($CZ$8:$CZ$23, COLUMNS($DC11:DR11)), "0"), "")</f>
        <v>0</v>
      </c>
      <c r="DT11" s="537" t="str">
        <f>BASE01[[#This Row],[COD]]</f>
        <v>COD 04</v>
      </c>
      <c r="DU11" s="390" t="str">
        <f t="array" ref="DU11">IFERROR(IF(AND(INDEX($E$8:$CE$57, MATCH($C11, $C$8:$C$57, 0), (COLUMNS($DU11:DU11)-1)*5 + 1) = INDEX($E$5:$CE$5, 1, (COLUMNS($DU11:DU11)-1)*5 + 1), INDEX($E$8:$CE$57, MATCH($C11, $C$8:$C$57, 0), (COLUMNS($DU11:DU11)-1)*5 + 4) = "SF"), INDEX($CZ$8:$CZ$23, COLUMNS($DU11:DU11)), "0"), "")</f>
        <v>0</v>
      </c>
      <c r="DV11" s="390" t="str">
        <f t="array" ref="DV11">IFERROR(IF(AND(INDEX($E$8:$CE$57, MATCH($C11, $C$8:$C$57, 0), (COLUMNS($DU11:DV11)-1)*5 + 1) = INDEX($E$5:$CE$5, 1, (COLUMNS($DU11:DV11)-1)*5 + 1), INDEX($E$8:$CE$57, MATCH($C11, $C$8:$C$57, 0), (COLUMNS($DU11:DV11)-1)*5 + 4) = "SF"), INDEX($CZ$8:$CZ$23, COLUMNS($DU11:DV11)), "0"), "")</f>
        <v>0</v>
      </c>
      <c r="DW11" s="390" t="str">
        <f t="array" ref="DW11">IFERROR(IF(AND(INDEX($E$8:$CE$57, MATCH($C11, $C$8:$C$57, 0), (COLUMNS($DU11:DW11)-1)*5 + 1) = INDEX($E$5:$CE$5, 1, (COLUMNS($DU11:DW11)-1)*5 + 1), INDEX($E$8:$CE$57, MATCH($C11, $C$8:$C$57, 0), (COLUMNS($DU11:DW11)-1)*5 + 4) = "SF"), INDEX($CZ$8:$CZ$23, COLUMNS($DU11:DW11)), "0"), "")</f>
        <v>0</v>
      </c>
      <c r="DX11" s="390" t="str">
        <f t="array" ref="DX11">IFERROR(IF(AND(INDEX($E$8:$CE$57, MATCH($C11, $C$8:$C$57, 0), (COLUMNS($DU11:DX11)-1)*5 + 1) = INDEX($E$5:$CE$5, 1, (COLUMNS($DU11:DX11)-1)*5 + 1), INDEX($E$8:$CE$57, MATCH($C11, $C$8:$C$57, 0), (COLUMNS($DU11:DX11)-1)*5 + 4) = "SF"), INDEX($CZ$8:$CZ$23, COLUMNS($DU11:DX11)), "0"), "")</f>
        <v>0</v>
      </c>
      <c r="DY11" s="390">
        <f t="array" ref="DY11">IFERROR(IF(AND(INDEX($E$8:$CE$57, MATCH($C11, $C$8:$C$57, 0), (COLUMNS($DU11:DY11)-1)*5 + 1) = INDEX($E$5:$CE$5, 1, (COLUMNS($DU11:DY11)-1)*5 + 1), INDEX($E$8:$CE$57, MATCH($C11, $C$8:$C$57, 0), (COLUMNS($DU11:DY11)-1)*5 + 4) = "SF"), INDEX($CZ$8:$CZ$23, COLUMNS($DU11:DY11)), "0"), "")</f>
        <v>110</v>
      </c>
      <c r="DZ11" s="390" t="str">
        <f t="array" ref="DZ11">IFERROR(IF(AND(INDEX($E$8:$CE$57, MATCH($C11, $C$8:$C$57, 0), (COLUMNS($DU11:DZ11)-1)*5 + 1) = INDEX($E$5:$CE$5, 1, (COLUMNS($DU11:DZ11)-1)*5 + 1), INDEX($E$8:$CE$57, MATCH($C11, $C$8:$C$57, 0), (COLUMNS($DU11:DZ11)-1)*5 + 4) = "SF"), INDEX($CZ$8:$CZ$23, COLUMNS($DU11:DZ11)), "0"), "")</f>
        <v>0</v>
      </c>
      <c r="EA11" s="390" t="str">
        <f t="array" ref="EA11">IFERROR(IF(AND(INDEX($E$8:$CE$57, MATCH($C11, $C$8:$C$57, 0), (COLUMNS($DU11:EA11)-1)*5 + 1) = INDEX($E$5:$CE$5, 1, (COLUMNS($DU11:EA11)-1)*5 + 1), INDEX($E$8:$CE$57, MATCH($C11, $C$8:$C$57, 0), (COLUMNS($DU11:EA11)-1)*5 + 4) = "SF"), INDEX($CZ$8:$CZ$23, COLUMNS($DU11:EA11)), "0"), "")</f>
        <v>0</v>
      </c>
      <c r="EB11" s="390" t="str">
        <f t="array" ref="EB11">IFERROR(IF(AND(INDEX($E$8:$CE$57, MATCH($C11, $C$8:$C$57, 0), (COLUMNS($DU11:EB11)-1)*5 + 1) = INDEX($E$5:$CE$5, 1, (COLUMNS($DU11:EB11)-1)*5 + 1), INDEX($E$8:$CE$57, MATCH($C11, $C$8:$C$57, 0), (COLUMNS($DU11:EB11)-1)*5 + 4) = "SF"), INDEX($CZ$8:$CZ$23, COLUMNS($DU11:EB11)), "0"), "")</f>
        <v>0</v>
      </c>
      <c r="EC11" s="390" t="str">
        <f t="array" ref="EC11">IFERROR(IF(AND(INDEX($E$8:$CE$57, MATCH($C11, $C$8:$C$57, 0), (COLUMNS($DU11:EC11)-1)*5 + 1) = INDEX($E$5:$CE$5, 1, (COLUMNS($DU11:EC11)-1)*5 + 1), INDEX($E$8:$CE$57, MATCH($C11, $C$8:$C$57, 0), (COLUMNS($DU11:EC11)-1)*5 + 4) = "SF"), INDEX($CZ$8:$CZ$23, COLUMNS($DU11:EC11)), "0"), "")</f>
        <v>0</v>
      </c>
      <c r="ED11" s="390" t="str">
        <f t="array" ref="ED11">IFERROR(IF(AND(INDEX($E$8:$CE$57, MATCH($C11, $C$8:$C$57, 0), (COLUMNS($DU11:ED11)-1)*5 + 1) = INDEX($E$5:$CE$5, 1, (COLUMNS($DU11:ED11)-1)*5 + 1), INDEX($E$8:$CE$57, MATCH($C11, $C$8:$C$57, 0), (COLUMNS($DU11:ED11)-1)*5 + 4) = "SF"), INDEX($CZ$8:$CZ$23, COLUMNS($DU11:ED11)), "0"), "")</f>
        <v>0</v>
      </c>
      <c r="EE11" s="390" t="str">
        <f t="array" ref="EE11">IFERROR(IF(AND(INDEX($E$8:$CE$57, MATCH($C11, $C$8:$C$57, 0), (COLUMNS($DU11:EE11)-1)*5 + 1) = INDEX($E$5:$CE$5, 1, (COLUMNS($DU11:EE11)-1)*5 + 1), INDEX($E$8:$CE$57, MATCH($C11, $C$8:$C$57, 0), (COLUMNS($DU11:EE11)-1)*5 + 4) = "SF"), INDEX($CZ$8:$CZ$23, COLUMNS($DU11:EE11)), "0"), "")</f>
        <v>0</v>
      </c>
      <c r="EF11" s="390" t="str">
        <f t="array" ref="EF11">IFERROR(IF(AND(INDEX($E$8:$CE$57, MATCH($C11, $C$8:$C$57, 0), (COLUMNS($DU11:EF11)-1)*5 + 1) = INDEX($E$5:$CE$5, 1, (COLUMNS($DU11:EF11)-1)*5 + 1), INDEX($E$8:$CE$57, MATCH($C11, $C$8:$C$57, 0), (COLUMNS($DU11:EF11)-1)*5 + 4) = "SF"), INDEX($CZ$8:$CZ$23, COLUMNS($DU11:EF11)), "0"), "")</f>
        <v>0</v>
      </c>
      <c r="EG11" s="390" t="str">
        <f t="array" ref="EG11">IFERROR(IF(AND(INDEX($E$8:$CE$57, MATCH($C11, $C$8:$C$57, 0), (COLUMNS($DU11:EG11)-1)*5 + 1) = INDEX($E$5:$CE$5, 1, (COLUMNS($DU11:EG11)-1)*5 + 1), INDEX($E$8:$CE$57, MATCH($C11, $C$8:$C$57, 0), (COLUMNS($DU11:EG11)-1)*5 + 4) = "SF"), INDEX($CZ$8:$CZ$23, COLUMNS($DU11:EG11)), "0"), "")</f>
        <v>0</v>
      </c>
      <c r="EH11" s="390" t="str">
        <f t="array" ref="EH11">IFERROR(IF(AND(INDEX($E$8:$CE$57, MATCH($C11, $C$8:$C$57, 0), (COLUMNS($DU11:EH11)-1)*5 + 1) = INDEX($E$5:$CE$5, 1, (COLUMNS($DU11:EH11)-1)*5 + 1), INDEX($E$8:$CE$57, MATCH($C11, $C$8:$C$57, 0), (COLUMNS($DU11:EH11)-1)*5 + 4) = "SF"), INDEX($CZ$8:$CZ$23, COLUMNS($DU11:EH11)), "0"), "")</f>
        <v>0</v>
      </c>
      <c r="EI11" s="390" t="str">
        <f t="array" ref="EI11">IFERROR(IF(AND(INDEX($E$8:$CE$57, MATCH($C11, $C$8:$C$57, 0), (COLUMNS($DU11:EI11)-1)*5 + 1) = INDEX($E$5:$CE$5, 1, (COLUMNS($DU11:EI11)-1)*5 + 1), INDEX($E$8:$CE$57, MATCH($C11, $C$8:$C$57, 0), (COLUMNS($DU11:EI11)-1)*5 + 4) = "SF"), INDEX($CZ$8:$CZ$23, COLUMNS($DU11:EI11)), "0"), "")</f>
        <v>0</v>
      </c>
      <c r="EJ11" s="390" t="str">
        <f t="array" ref="EJ11">IFERROR(IF(AND(INDEX($E$8:$CE$57, MATCH($C11, $C$8:$C$57, 0), (COLUMNS($DU11:EJ11)-1)*5 + 1) = INDEX($E$5:$CE$5, 1, (COLUMNS($DU11:EJ11)-1)*5 + 1), INDEX($E$8:$CE$57, MATCH($C11, $C$8:$C$57, 0), (COLUMNS($DU11:EJ11)-1)*5 + 4) = "SF"), INDEX($CZ$8:$CZ$23, COLUMNS($DU11:EJ11)), "0"), "")</f>
        <v>0</v>
      </c>
    </row>
    <row r="12" spans="1:140" ht="20.100000000000001" customHeight="1" x14ac:dyDescent="0.35">
      <c r="A12" s="515"/>
      <c r="B12" s="91">
        <f>IF(BASE01[[#This Row],[COD]]&lt;&gt;"",B11+1,"")</f>
        <v>5</v>
      </c>
      <c r="C12" s="533" t="s">
        <v>40</v>
      </c>
      <c r="D12" s="92" t="str">
        <f t="array" ref="D12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12" s="143">
        <v>6</v>
      </c>
      <c r="F12" s="143">
        <v>1</v>
      </c>
      <c r="G12" s="143">
        <v>8</v>
      </c>
      <c r="H12" s="143"/>
      <c r="I12" s="534">
        <f t="shared" si="0"/>
        <v>1</v>
      </c>
      <c r="J12" s="143">
        <v>8</v>
      </c>
      <c r="K12" s="143">
        <v>3</v>
      </c>
      <c r="L12" s="143">
        <v>1</v>
      </c>
      <c r="M12" s="143"/>
      <c r="N12" s="534">
        <f t="shared" si="1"/>
        <v>2</v>
      </c>
      <c r="O12" s="143">
        <v>6</v>
      </c>
      <c r="P12" s="143">
        <v>3</v>
      </c>
      <c r="Q12" s="143">
        <v>2</v>
      </c>
      <c r="R12" s="143"/>
      <c r="S12" s="534">
        <f t="shared" si="2"/>
        <v>4</v>
      </c>
      <c r="T12" s="143">
        <v>6</v>
      </c>
      <c r="U12" s="143"/>
      <c r="V12" s="143"/>
      <c r="W12" s="143" t="s">
        <v>255</v>
      </c>
      <c r="X12" s="534">
        <f t="shared" si="3"/>
        <v>7.5</v>
      </c>
      <c r="Y12" s="143">
        <v>5</v>
      </c>
      <c r="Z12" s="143">
        <v>6</v>
      </c>
      <c r="AA12" s="143">
        <v>8</v>
      </c>
      <c r="AB12" s="143" t="s">
        <v>254</v>
      </c>
      <c r="AC12" s="534">
        <f t="shared" si="4"/>
        <v>6.5</v>
      </c>
      <c r="AD12" s="143">
        <v>2</v>
      </c>
      <c r="AE12" s="143">
        <v>7</v>
      </c>
      <c r="AF12" s="143">
        <v>5</v>
      </c>
      <c r="AG12" s="143"/>
      <c r="AH12" s="534">
        <f t="shared" si="5"/>
        <v>6</v>
      </c>
      <c r="AI12" s="143">
        <v>1</v>
      </c>
      <c r="AJ12" s="143">
        <v>7</v>
      </c>
      <c r="AK12" s="143">
        <v>4</v>
      </c>
      <c r="AL12" s="143"/>
      <c r="AM12" s="534">
        <f t="shared" si="6"/>
        <v>1</v>
      </c>
      <c r="AN12" s="143">
        <v>11</v>
      </c>
      <c r="AO12" s="143">
        <v>9</v>
      </c>
      <c r="AP12" s="143">
        <v>8</v>
      </c>
      <c r="AQ12" s="143"/>
      <c r="AR12" s="534">
        <f t="shared" si="7"/>
        <v>0</v>
      </c>
      <c r="AS12" s="143">
        <v>1</v>
      </c>
      <c r="AT12" s="143">
        <v>7</v>
      </c>
      <c r="AU12" s="143">
        <v>8</v>
      </c>
      <c r="AV12" s="143" t="s">
        <v>254</v>
      </c>
      <c r="AW12" s="534">
        <f t="shared" si="8"/>
        <v>0</v>
      </c>
      <c r="AX12" s="143">
        <v>9</v>
      </c>
      <c r="AY12" s="143">
        <v>1</v>
      </c>
      <c r="AZ12" s="143">
        <v>3</v>
      </c>
      <c r="BA12" s="143"/>
      <c r="BB12" s="534">
        <f t="shared" si="9"/>
        <v>2</v>
      </c>
      <c r="BC12" s="143">
        <v>4</v>
      </c>
      <c r="BD12" s="143">
        <v>2</v>
      </c>
      <c r="BE12" s="143">
        <v>6</v>
      </c>
      <c r="BF12" s="143"/>
      <c r="BG12" s="534">
        <f t="shared" si="10"/>
        <v>5</v>
      </c>
      <c r="BH12" s="143">
        <v>5</v>
      </c>
      <c r="BI12" s="143">
        <v>1</v>
      </c>
      <c r="BJ12" s="143">
        <v>3</v>
      </c>
      <c r="BK12" s="143"/>
      <c r="BL12" s="534">
        <f t="shared" si="11"/>
        <v>0</v>
      </c>
      <c r="BM12" s="143">
        <v>1</v>
      </c>
      <c r="BN12" s="143">
        <v>3</v>
      </c>
      <c r="BO12" s="143">
        <v>5</v>
      </c>
      <c r="BP12" s="143"/>
      <c r="BQ12" s="534">
        <f t="shared" si="12"/>
        <v>2</v>
      </c>
      <c r="BR12" s="143"/>
      <c r="BS12" s="143"/>
      <c r="BT12" s="143"/>
      <c r="BU12" s="143"/>
      <c r="BV12" s="534">
        <f t="shared" si="13"/>
        <v>0</v>
      </c>
      <c r="BW12" s="143"/>
      <c r="BX12" s="143"/>
      <c r="BY12" s="143"/>
      <c r="BZ12" s="143"/>
      <c r="CA12" s="534">
        <f t="shared" si="14"/>
        <v>0</v>
      </c>
      <c r="CB12" s="143"/>
      <c r="CC12" s="143"/>
      <c r="CD12" s="143"/>
      <c r="CE12" s="143"/>
      <c r="CF12" s="534">
        <f t="shared" si="15"/>
        <v>0</v>
      </c>
      <c r="CG12" s="162">
        <f>IF(BASE01[[#This Row],[1]]="",0,$B$4)</f>
        <v>13</v>
      </c>
      <c r="CH12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5</v>
      </c>
      <c r="CI12" s="164">
        <f>IF(BASE01[[#This Row],[Columna14]]=0,0,(CH12/CG12))</f>
        <v>0.38461538461538464</v>
      </c>
      <c r="CJ12" s="163">
        <f>IF(BASE01[[#This Row],[1]]="",0,$B$4)</f>
        <v>13</v>
      </c>
      <c r="CK12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8</v>
      </c>
      <c r="CL12" s="164">
        <f>IF(BASE01[[#This Row],[Columna14]]=0,0,(CK12/CJ12))</f>
        <v>0.61538461538461542</v>
      </c>
      <c r="CM12" s="162">
        <f>IF(BASE01[[#This Row],[1]]="",0,$B$4)</f>
        <v>13</v>
      </c>
      <c r="CN12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10</v>
      </c>
      <c r="CO12" s="164">
        <f>IF(BASE01[[#This Row],[Columna14]]=0,0,(CN12/CM12))</f>
        <v>0.76923076923076927</v>
      </c>
      <c r="CP12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12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Row],[Columna25]],$AX$5,BA12,"SF")+COUNTIFS(BASE01[[#This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12" s="164">
        <f>IF(BASE01[[#This Row],[Columna14]]=0,0,(CQ12/CP12))</f>
        <v>0.66666666666666663</v>
      </c>
      <c r="CS12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37</v>
      </c>
      <c r="CT12" s="93"/>
      <c r="CU12" s="536">
        <f t="shared" si="16"/>
        <v>37</v>
      </c>
      <c r="CV12" s="94">
        <f>IF(BASE01[[#This Row],[TIPO]]="PREMIO",$O$3,"0,00")</f>
        <v>1000</v>
      </c>
      <c r="CW12" s="515"/>
      <c r="CY12" s="388">
        <v>5</v>
      </c>
      <c r="CZ12" s="349">
        <f>Z$6</f>
        <v>110</v>
      </c>
      <c r="DB12" s="537" t="str">
        <f>BASE01[[#This Row],[COD]]</f>
        <v>COD 05</v>
      </c>
      <c r="DC12" s="390" t="str">
        <f t="array" ref="DC12">IFERROR(IF(AND(INDEX($E$8:$CE$57, MATCH($C12, $C$8:$C$57, 0), (COLUMNS($DC12:DC12)-1)*5 + 1) = INDEX($E$5:$CE$5, 1, (COLUMNS($DC12:DC12)-1)*5 + 1), INDEX($E$8:$CE$57, MATCH($C12, $C$8:$C$57, 0), (COLUMNS($DC12:DC12)-1)*5 + 4) = "F"), INDEX($CZ$8:$CZ$23, COLUMNS($DC12:DC12)), "0"), "")</f>
        <v>0</v>
      </c>
      <c r="DD12" s="390" t="str">
        <f t="array" ref="DD12">IFERROR(IF(AND(INDEX($E$8:$CE$57, MATCH($C12, $C$8:$C$57, 0), (COLUMNS($DC12:DD12)-1)*5 + 1) = INDEX($E$5:$CE$5, 1, (COLUMNS($DC12:DD12)-1)*5 + 1), INDEX($E$8:$CE$57, MATCH($C12, $C$8:$C$57, 0), (COLUMNS($DC12:DD12)-1)*5 + 4) = "F"), INDEX($CZ$8:$CZ$23, COLUMNS($DC12:DD12)), "0"), "")</f>
        <v>0</v>
      </c>
      <c r="DE12" s="390" t="str">
        <f t="array" ref="DE12">IFERROR(IF(AND(INDEX($E$8:$CE$57, MATCH($C12, $C$8:$C$57, 0), (COLUMNS($DC12:DE12)-1)*5 + 1) = INDEX($E$5:$CE$5, 1, (COLUMNS($DC12:DE12)-1)*5 + 1), INDEX($E$8:$CE$57, MATCH($C12, $C$8:$C$57, 0), (COLUMNS($DC12:DE12)-1)*5 + 4) = "F"), INDEX($CZ$8:$CZ$23, COLUMNS($DC12:DE12)), "0"), "")</f>
        <v>0</v>
      </c>
      <c r="DF12" s="390" t="str">
        <f t="array" ref="DF12">IFERROR(IF(AND(INDEX($E$8:$CE$57, MATCH($C12, $C$8:$C$57, 0), (COLUMNS($DC12:DF12)-1)*5 + 1) = INDEX($E$5:$CE$5, 1, (COLUMNS($DC12:DF12)-1)*5 + 1), INDEX($E$8:$CE$57, MATCH($C12, $C$8:$C$57, 0), (COLUMNS($DC12:DF12)-1)*5 + 4) = "F"), INDEX($CZ$8:$CZ$23, COLUMNS($DC12:DF12)), "0"), "")</f>
        <v>0</v>
      </c>
      <c r="DG12" s="390">
        <f t="array" ref="DG12">IFERROR(IF(AND(INDEX($E$8:$CE$57, MATCH($C12, $C$8:$C$57, 0), (COLUMNS($DC12:DG12)-1)*5 + 1) = INDEX($E$5:$CE$5, 1, (COLUMNS($DC12:DG12)-1)*5 + 1), INDEX($E$8:$CE$57, MATCH($C12, $C$8:$C$57, 0), (COLUMNS($DC12:DG12)-1)*5 + 4) = "F"), INDEX($CZ$8:$CZ$23, COLUMNS($DC12:DG12)), "0"), "")</f>
        <v>110</v>
      </c>
      <c r="DH12" s="390" t="str">
        <f t="array" ref="DH12">IFERROR(IF(AND(INDEX($E$8:$CE$57, MATCH($C12, $C$8:$C$57, 0), (COLUMNS($DC12:DH12)-1)*5 + 1) = INDEX($E$5:$CE$5, 1, (COLUMNS($DC12:DH12)-1)*5 + 1), INDEX($E$8:$CE$57, MATCH($C12, $C$8:$C$57, 0), (COLUMNS($DC12:DH12)-1)*5 + 4) = "F"), INDEX($CZ$8:$CZ$23, COLUMNS($DC12:DH12)), "0"), "")</f>
        <v>0</v>
      </c>
      <c r="DI12" s="390" t="str">
        <f t="array" ref="DI12">IFERROR(IF(AND(INDEX($E$8:$CE$57, MATCH($C12, $C$8:$C$57, 0), (COLUMNS($DC12:DI12)-1)*5 + 1) = INDEX($E$5:$CE$5, 1, (COLUMNS($DC12:DI12)-1)*5 + 1), INDEX($E$8:$CE$57, MATCH($C12, $C$8:$C$57, 0), (COLUMNS($DC12:DI12)-1)*5 + 4) = "F"), INDEX($CZ$8:$CZ$23, COLUMNS($DC12:DI12)), "0"), "")</f>
        <v>0</v>
      </c>
      <c r="DJ12" s="390" t="str">
        <f t="array" ref="DJ12">IFERROR(IF(AND(INDEX($E$8:$CE$57, MATCH($C12, $C$8:$C$57, 0), (COLUMNS($DC12:DJ12)-1)*5 + 1) = INDEX($E$5:$CE$5, 1, (COLUMNS($DC12:DJ12)-1)*5 + 1), INDEX($E$8:$CE$57, MATCH($C12, $C$8:$C$57, 0), (COLUMNS($DC12:DJ12)-1)*5 + 4) = "F"), INDEX($CZ$8:$CZ$23, COLUMNS($DC12:DJ12)), "0"), "")</f>
        <v>0</v>
      </c>
      <c r="DK12" s="390" t="str">
        <f t="array" ref="DK12">IFERROR(IF(AND(INDEX($E$8:$CE$57, MATCH($C12, $C$8:$C$57, 0), (COLUMNS($DC12:DK12)-1)*5 + 1) = INDEX($E$5:$CE$5, 1, (COLUMNS($DC12:DK12)-1)*5 + 1), INDEX($E$8:$CE$57, MATCH($C12, $C$8:$C$57, 0), (COLUMNS($DC12:DK12)-1)*5 + 4) = "F"), INDEX($CZ$8:$CZ$23, COLUMNS($DC12:DK12)), "0"), "")</f>
        <v>0</v>
      </c>
      <c r="DL12" s="390" t="str">
        <f t="array" ref="DL12">IFERROR(IF(AND(INDEX($E$8:$CE$57, MATCH($C12, $C$8:$C$57, 0), (COLUMNS($DC12:DL12)-1)*5 + 1) = INDEX($E$5:$CE$5, 1, (COLUMNS($DC12:DL12)-1)*5 + 1), INDEX($E$8:$CE$57, MATCH($C12, $C$8:$C$57, 0), (COLUMNS($DC12:DL12)-1)*5 + 4) = "F"), INDEX($CZ$8:$CZ$23, COLUMNS($DC12:DL12)), "0"), "")</f>
        <v>0</v>
      </c>
      <c r="DM12" s="390" t="str">
        <f t="array" ref="DM12">IFERROR(IF(AND(INDEX($E$8:$CE$57, MATCH($C12, $C$8:$C$57, 0), (COLUMNS($DC12:DM12)-1)*5 + 1) = INDEX($E$5:$CE$5, 1, (COLUMNS($DC12:DM12)-1)*5 + 1), INDEX($E$8:$CE$57, MATCH($C12, $C$8:$C$57, 0), (COLUMNS($DC12:DM12)-1)*5 + 4) = "F"), INDEX($CZ$8:$CZ$23, COLUMNS($DC12:DM12)), "0"), "")</f>
        <v>0</v>
      </c>
      <c r="DN12" s="390" t="str">
        <f t="array" ref="DN12">IFERROR(IF(AND(INDEX($E$8:$CE$57, MATCH($C12, $C$8:$C$57, 0), (COLUMNS($DC12:DN12)-1)*5 + 1) = INDEX($E$5:$CE$5, 1, (COLUMNS($DC12:DN12)-1)*5 + 1), INDEX($E$8:$CE$57, MATCH($C12, $C$8:$C$57, 0), (COLUMNS($DC12:DN12)-1)*5 + 4) = "F"), INDEX($CZ$8:$CZ$23, COLUMNS($DC12:DN12)), "0"), "")</f>
        <v>0</v>
      </c>
      <c r="DO12" s="390" t="str">
        <f t="array" ref="DO12">IFERROR(IF(AND(INDEX($E$8:$CE$57, MATCH($C12, $C$8:$C$57, 0), (COLUMNS($DC12:DO12)-1)*5 + 1) = INDEX($E$5:$CE$5, 1, (COLUMNS($DC12:DO12)-1)*5 + 1), INDEX($E$8:$CE$57, MATCH($C12, $C$8:$C$57, 0), (COLUMNS($DC12:DO12)-1)*5 + 4) = "F"), INDEX($CZ$8:$CZ$23, COLUMNS($DC12:DO12)), "0"), "")</f>
        <v>0</v>
      </c>
      <c r="DP12" s="390" t="str">
        <f t="array" ref="DP12">IFERROR(IF(AND(INDEX($E$8:$CE$57, MATCH($C12, $C$8:$C$57, 0), (COLUMNS($DC12:DP12)-1)*5 + 1) = INDEX($E$5:$CE$5, 1, (COLUMNS($DC12:DP12)-1)*5 + 1), INDEX($E$8:$CE$57, MATCH($C12, $C$8:$C$57, 0), (COLUMNS($DC12:DP12)-1)*5 + 4) = "F"), INDEX($CZ$8:$CZ$23, COLUMNS($DC12:DP12)), "0"), "")</f>
        <v>0</v>
      </c>
      <c r="DQ12" s="390" t="str">
        <f t="array" ref="DQ12">IFERROR(IF(AND(INDEX($E$8:$CE$57, MATCH($C12, $C$8:$C$57, 0), (COLUMNS($DC12:DQ12)-1)*5 + 1) = INDEX($E$5:$CE$5, 1, (COLUMNS($DC12:DQ12)-1)*5 + 1), INDEX($E$8:$CE$57, MATCH($C12, $C$8:$C$57, 0), (COLUMNS($DC12:DQ12)-1)*5 + 4) = "F"), INDEX($CZ$8:$CZ$23, COLUMNS($DC12:DQ12)), "0"), "")</f>
        <v>0</v>
      </c>
      <c r="DR12" s="390" t="str">
        <f t="array" ref="DR12">IFERROR(IF(AND(INDEX($E$8:$CE$57, MATCH($C12, $C$8:$C$57, 0), (COLUMNS($DC12:DR12)-1)*5 + 1) = INDEX($E$5:$CE$5, 1, (COLUMNS($DC12:DR12)-1)*5 + 1), INDEX($E$8:$CE$57, MATCH($C12, $C$8:$C$57, 0), (COLUMNS($DC12:DR12)-1)*5 + 4) = "F"), INDEX($CZ$8:$CZ$23, COLUMNS($DC12:DR12)), "0"), "")</f>
        <v>0</v>
      </c>
      <c r="DT12" s="537" t="str">
        <f>BASE01[[#This Row],[COD]]</f>
        <v>COD 05</v>
      </c>
      <c r="DU12" s="390" t="str">
        <f t="array" ref="DU12">IFERROR(IF(AND(INDEX($E$8:$CE$57, MATCH($C12, $C$8:$C$57, 0), (COLUMNS($DU12:DU12)-1)*5 + 1) = INDEX($E$5:$CE$5, 1, (COLUMNS($DU12:DU12)-1)*5 + 1), INDEX($E$8:$CE$57, MATCH($C12, $C$8:$C$57, 0), (COLUMNS($DU12:DU12)-1)*5 + 4) = "SF"), INDEX($CZ$8:$CZ$23, COLUMNS($DU12:DU12)), "0"), "")</f>
        <v>0</v>
      </c>
      <c r="DV12" s="390" t="str">
        <f t="array" ref="DV12">IFERROR(IF(AND(INDEX($E$8:$CE$57, MATCH($C12, $C$8:$C$57, 0), (COLUMNS($DU12:DV12)-1)*5 + 1) = INDEX($E$5:$CE$5, 1, (COLUMNS($DU12:DV12)-1)*5 + 1), INDEX($E$8:$CE$57, MATCH($C12, $C$8:$C$57, 0), (COLUMNS($DU12:DV12)-1)*5 + 4) = "SF"), INDEX($CZ$8:$CZ$23, COLUMNS($DU12:DV12)), "0"), "")</f>
        <v>0</v>
      </c>
      <c r="DW12" s="390" t="str">
        <f t="array" ref="DW12">IFERROR(IF(AND(INDEX($E$8:$CE$57, MATCH($C12, $C$8:$C$57, 0), (COLUMNS($DU12:DW12)-1)*5 + 1) = INDEX($E$5:$CE$5, 1, (COLUMNS($DU12:DW12)-1)*5 + 1), INDEX($E$8:$CE$57, MATCH($C12, $C$8:$C$57, 0), (COLUMNS($DU12:DW12)-1)*5 + 4) = "SF"), INDEX($CZ$8:$CZ$23, COLUMNS($DU12:DW12)), "0"), "")</f>
        <v>0</v>
      </c>
      <c r="DX12" s="390">
        <f t="array" ref="DX12">IFERROR(IF(AND(INDEX($E$8:$CE$57, MATCH($C12, $C$8:$C$57, 0), (COLUMNS($DU12:DX12)-1)*5 + 1) = INDEX($E$5:$CE$5, 1, (COLUMNS($DU12:DX12)-1)*5 + 1), INDEX($E$8:$CE$57, MATCH($C12, $C$8:$C$57, 0), (COLUMNS($DU12:DX12)-1)*5 + 4) = "SF"), INDEX($CZ$8:$CZ$23, COLUMNS($DU12:DX12)), "0"), "")</f>
        <v>110</v>
      </c>
      <c r="DY12" s="390" t="str">
        <f t="array" ref="DY12">IFERROR(IF(AND(INDEX($E$8:$CE$57, MATCH($C12, $C$8:$C$57, 0), (COLUMNS($DU12:DY12)-1)*5 + 1) = INDEX($E$5:$CE$5, 1, (COLUMNS($DU12:DY12)-1)*5 + 1), INDEX($E$8:$CE$57, MATCH($C12, $C$8:$C$57, 0), (COLUMNS($DU12:DY12)-1)*5 + 4) = "SF"), INDEX($CZ$8:$CZ$23, COLUMNS($DU12:DY12)), "0"), "")</f>
        <v>0</v>
      </c>
      <c r="DZ12" s="390" t="str">
        <f t="array" ref="DZ12">IFERROR(IF(AND(INDEX($E$8:$CE$57, MATCH($C12, $C$8:$C$57, 0), (COLUMNS($DU12:DZ12)-1)*5 + 1) = INDEX($E$5:$CE$5, 1, (COLUMNS($DU12:DZ12)-1)*5 + 1), INDEX($E$8:$CE$57, MATCH($C12, $C$8:$C$57, 0), (COLUMNS($DU12:DZ12)-1)*5 + 4) = "SF"), INDEX($CZ$8:$CZ$23, COLUMNS($DU12:DZ12)), "0"), "")</f>
        <v>0</v>
      </c>
      <c r="EA12" s="390" t="str">
        <f t="array" ref="EA12">IFERROR(IF(AND(INDEX($E$8:$CE$57, MATCH($C12, $C$8:$C$57, 0), (COLUMNS($DU12:EA12)-1)*5 + 1) = INDEX($E$5:$CE$5, 1, (COLUMNS($DU12:EA12)-1)*5 + 1), INDEX($E$8:$CE$57, MATCH($C12, $C$8:$C$57, 0), (COLUMNS($DU12:EA12)-1)*5 + 4) = "SF"), INDEX($CZ$8:$CZ$23, COLUMNS($DU12:EA12)), "0"), "")</f>
        <v>0</v>
      </c>
      <c r="EB12" s="390" t="str">
        <f t="array" ref="EB12">IFERROR(IF(AND(INDEX($E$8:$CE$57, MATCH($C12, $C$8:$C$57, 0), (COLUMNS($DU12:EB12)-1)*5 + 1) = INDEX($E$5:$CE$5, 1, (COLUMNS($DU12:EB12)-1)*5 + 1), INDEX($E$8:$CE$57, MATCH($C12, $C$8:$C$57, 0), (COLUMNS($DU12:EB12)-1)*5 + 4) = "SF"), INDEX($CZ$8:$CZ$23, COLUMNS($DU12:EB12)), "0"), "")</f>
        <v>0</v>
      </c>
      <c r="EC12" s="390" t="str">
        <f t="array" ref="EC12">IFERROR(IF(AND(INDEX($E$8:$CE$57, MATCH($C12, $C$8:$C$57, 0), (COLUMNS($DU12:EC12)-1)*5 + 1) = INDEX($E$5:$CE$5, 1, (COLUMNS($DU12:EC12)-1)*5 + 1), INDEX($E$8:$CE$57, MATCH($C12, $C$8:$C$57, 0), (COLUMNS($DU12:EC12)-1)*5 + 4) = "SF"), INDEX($CZ$8:$CZ$23, COLUMNS($DU12:EC12)), "0"), "")</f>
        <v>0</v>
      </c>
      <c r="ED12" s="390" t="str">
        <f t="array" ref="ED12">IFERROR(IF(AND(INDEX($E$8:$CE$57, MATCH($C12, $C$8:$C$57, 0), (COLUMNS($DU12:ED12)-1)*5 + 1) = INDEX($E$5:$CE$5, 1, (COLUMNS($DU12:ED12)-1)*5 + 1), INDEX($E$8:$CE$57, MATCH($C12, $C$8:$C$57, 0), (COLUMNS($DU12:ED12)-1)*5 + 4) = "SF"), INDEX($CZ$8:$CZ$23, COLUMNS($DU12:ED12)), "0"), "")</f>
        <v>0</v>
      </c>
      <c r="EE12" s="390" t="str">
        <f t="array" ref="EE12">IFERROR(IF(AND(INDEX($E$8:$CE$57, MATCH($C12, $C$8:$C$57, 0), (COLUMNS($DU12:EE12)-1)*5 + 1) = INDEX($E$5:$CE$5, 1, (COLUMNS($DU12:EE12)-1)*5 + 1), INDEX($E$8:$CE$57, MATCH($C12, $C$8:$C$57, 0), (COLUMNS($DU12:EE12)-1)*5 + 4) = "SF"), INDEX($CZ$8:$CZ$23, COLUMNS($DU12:EE12)), "0"), "")</f>
        <v>0</v>
      </c>
      <c r="EF12" s="390" t="str">
        <f t="array" ref="EF12">IFERROR(IF(AND(INDEX($E$8:$CE$57, MATCH($C12, $C$8:$C$57, 0), (COLUMNS($DU12:EF12)-1)*5 + 1) = INDEX($E$5:$CE$5, 1, (COLUMNS($DU12:EF12)-1)*5 + 1), INDEX($E$8:$CE$57, MATCH($C12, $C$8:$C$57, 0), (COLUMNS($DU12:EF12)-1)*5 + 4) = "SF"), INDEX($CZ$8:$CZ$23, COLUMNS($DU12:EF12)), "0"), "")</f>
        <v>0</v>
      </c>
      <c r="EG12" s="390" t="str">
        <f t="array" ref="EG12">IFERROR(IF(AND(INDEX($E$8:$CE$57, MATCH($C12, $C$8:$C$57, 0), (COLUMNS($DU12:EG12)-1)*5 + 1) = INDEX($E$5:$CE$5, 1, (COLUMNS($DU12:EG12)-1)*5 + 1), INDEX($E$8:$CE$57, MATCH($C12, $C$8:$C$57, 0), (COLUMNS($DU12:EG12)-1)*5 + 4) = "SF"), INDEX($CZ$8:$CZ$23, COLUMNS($DU12:EG12)), "0"), "")</f>
        <v>0</v>
      </c>
      <c r="EH12" s="390" t="str">
        <f t="array" ref="EH12">IFERROR(IF(AND(INDEX($E$8:$CE$57, MATCH($C12, $C$8:$C$57, 0), (COLUMNS($DU12:EH12)-1)*5 + 1) = INDEX($E$5:$CE$5, 1, (COLUMNS($DU12:EH12)-1)*5 + 1), INDEX($E$8:$CE$57, MATCH($C12, $C$8:$C$57, 0), (COLUMNS($DU12:EH12)-1)*5 + 4) = "SF"), INDEX($CZ$8:$CZ$23, COLUMNS($DU12:EH12)), "0"), "")</f>
        <v>0</v>
      </c>
      <c r="EI12" s="390" t="str">
        <f t="array" ref="EI12">IFERROR(IF(AND(INDEX($E$8:$CE$57, MATCH($C12, $C$8:$C$57, 0), (COLUMNS($DU12:EI12)-1)*5 + 1) = INDEX($E$5:$CE$5, 1, (COLUMNS($DU12:EI12)-1)*5 + 1), INDEX($E$8:$CE$57, MATCH($C12, $C$8:$C$57, 0), (COLUMNS($DU12:EI12)-1)*5 + 4) = "SF"), INDEX($CZ$8:$CZ$23, COLUMNS($DU12:EI12)), "0"), "")</f>
        <v>0</v>
      </c>
      <c r="EJ12" s="390" t="str">
        <f t="array" ref="EJ12">IFERROR(IF(AND(INDEX($E$8:$CE$57, MATCH($C12, $C$8:$C$57, 0), (COLUMNS($DU12:EJ12)-1)*5 + 1) = INDEX($E$5:$CE$5, 1, (COLUMNS($DU12:EJ12)-1)*5 + 1), INDEX($E$8:$CE$57, MATCH($C12, $C$8:$C$57, 0), (COLUMNS($DU12:EJ12)-1)*5 + 4) = "SF"), INDEX($CZ$8:$CZ$23, COLUMNS($DU12:EJ12)), "0"), "")</f>
        <v>0</v>
      </c>
    </row>
    <row r="13" spans="1:140" ht="19.5" customHeight="1" x14ac:dyDescent="0.35">
      <c r="A13" s="515"/>
      <c r="B13" s="91">
        <f>IF(BASE01[[#This Row],[COD]]&lt;&gt;"",B12+1,"")</f>
        <v>6</v>
      </c>
      <c r="C13" s="533" t="s">
        <v>42</v>
      </c>
      <c r="D13" s="92" t="str">
        <f t="array" ref="D13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13" s="143">
        <v>1</v>
      </c>
      <c r="F13" s="145">
        <v>2</v>
      </c>
      <c r="G13" s="145">
        <v>6</v>
      </c>
      <c r="H13" s="145"/>
      <c r="I13" s="534">
        <f t="shared" si="0"/>
        <v>0</v>
      </c>
      <c r="J13" s="143">
        <v>3</v>
      </c>
      <c r="K13" s="145">
        <v>8</v>
      </c>
      <c r="L13" s="145">
        <v>7</v>
      </c>
      <c r="M13" s="145"/>
      <c r="N13" s="534">
        <f t="shared" si="1"/>
        <v>5</v>
      </c>
      <c r="O13" s="143">
        <v>2</v>
      </c>
      <c r="P13" s="145">
        <v>3</v>
      </c>
      <c r="Q13" s="145">
        <v>5</v>
      </c>
      <c r="R13" s="145"/>
      <c r="S13" s="534">
        <f t="shared" si="2"/>
        <v>0</v>
      </c>
      <c r="T13" s="143">
        <v>6</v>
      </c>
      <c r="U13" s="145">
        <v>2</v>
      </c>
      <c r="V13" s="145">
        <v>8</v>
      </c>
      <c r="W13" s="145"/>
      <c r="X13" s="534">
        <f t="shared" si="3"/>
        <v>3.5</v>
      </c>
      <c r="Y13" s="143">
        <v>5</v>
      </c>
      <c r="Z13" s="145">
        <v>1</v>
      </c>
      <c r="AA13" s="145">
        <v>10</v>
      </c>
      <c r="AB13" s="145" t="s">
        <v>254</v>
      </c>
      <c r="AC13" s="534">
        <f t="shared" si="4"/>
        <v>4.5</v>
      </c>
      <c r="AD13" s="143">
        <v>7</v>
      </c>
      <c r="AE13" s="145">
        <v>2</v>
      </c>
      <c r="AF13" s="145">
        <v>5</v>
      </c>
      <c r="AG13" s="145"/>
      <c r="AH13" s="534">
        <f t="shared" si="5"/>
        <v>4</v>
      </c>
      <c r="AI13" s="143">
        <v>4</v>
      </c>
      <c r="AJ13" s="145">
        <v>7</v>
      </c>
      <c r="AK13" s="145">
        <v>3</v>
      </c>
      <c r="AL13" s="145"/>
      <c r="AM13" s="534">
        <f t="shared" si="6"/>
        <v>4</v>
      </c>
      <c r="AN13" s="143">
        <v>9</v>
      </c>
      <c r="AO13" s="145">
        <v>10</v>
      </c>
      <c r="AP13" s="145">
        <v>3</v>
      </c>
      <c r="AQ13" s="145"/>
      <c r="AR13" s="534">
        <f t="shared" si="7"/>
        <v>0</v>
      </c>
      <c r="AS13" s="143">
        <v>7</v>
      </c>
      <c r="AT13" s="145">
        <v>6</v>
      </c>
      <c r="AU13" s="145">
        <v>1</v>
      </c>
      <c r="AV13" s="145"/>
      <c r="AW13" s="534">
        <f t="shared" si="8"/>
        <v>0</v>
      </c>
      <c r="AX13" s="143">
        <v>1</v>
      </c>
      <c r="AY13" s="145">
        <v>9</v>
      </c>
      <c r="AZ13" s="145">
        <v>8</v>
      </c>
      <c r="BA13" s="145"/>
      <c r="BB13" s="534">
        <f t="shared" si="9"/>
        <v>4</v>
      </c>
      <c r="BC13" s="143">
        <v>3</v>
      </c>
      <c r="BD13" s="145">
        <v>2</v>
      </c>
      <c r="BE13" s="145">
        <v>1</v>
      </c>
      <c r="BF13" s="145"/>
      <c r="BG13" s="534">
        <f t="shared" si="10"/>
        <v>0</v>
      </c>
      <c r="BH13" s="143">
        <v>5</v>
      </c>
      <c r="BI13" s="145">
        <v>1</v>
      </c>
      <c r="BJ13" s="145">
        <v>2</v>
      </c>
      <c r="BK13" s="145"/>
      <c r="BL13" s="534">
        <f t="shared" si="11"/>
        <v>2</v>
      </c>
      <c r="BM13" s="143">
        <v>9</v>
      </c>
      <c r="BN13" s="145">
        <v>5</v>
      </c>
      <c r="BO13" s="145">
        <v>2</v>
      </c>
      <c r="BP13" s="145" t="s">
        <v>254</v>
      </c>
      <c r="BQ13" s="534">
        <f t="shared" si="12"/>
        <v>0</v>
      </c>
      <c r="BR13" s="143"/>
      <c r="BS13" s="145"/>
      <c r="BT13" s="145"/>
      <c r="BU13" s="145"/>
      <c r="BV13" s="534">
        <f t="shared" si="13"/>
        <v>0</v>
      </c>
      <c r="BW13" s="143"/>
      <c r="BX13" s="145"/>
      <c r="BY13" s="145"/>
      <c r="BZ13" s="145"/>
      <c r="CA13" s="534">
        <f t="shared" si="14"/>
        <v>0</v>
      </c>
      <c r="CB13" s="143"/>
      <c r="CC13" s="145"/>
      <c r="CD13" s="145"/>
      <c r="CE13" s="145"/>
      <c r="CF13" s="534">
        <f t="shared" si="15"/>
        <v>0</v>
      </c>
      <c r="CG13" s="162">
        <f>IF(BASE01[[#This Row],[1]]="",0,$B$4)</f>
        <v>13</v>
      </c>
      <c r="CH13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5</v>
      </c>
      <c r="CI13" s="164">
        <f>IF(BASE01[[#This Row],[Columna14]]=0,0,(CH13/CG13))</f>
        <v>0.38461538461538464</v>
      </c>
      <c r="CJ13" s="163">
        <f>IF(BASE01[[#This Row],[1]]="",0,$B$4)</f>
        <v>13</v>
      </c>
      <c r="CK13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6</v>
      </c>
      <c r="CL13" s="164">
        <f>IF(BASE01[[#This Row],[Columna14]]=0,0,(CK13/CJ13))</f>
        <v>0.46153846153846156</v>
      </c>
      <c r="CM13" s="162">
        <f>IF(BASE01[[#This Row],[1]]="",0,$B$4)</f>
        <v>13</v>
      </c>
      <c r="CN13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7</v>
      </c>
      <c r="CO13" s="164">
        <f>IF(BASE01[[#This Row],[Columna14]]=0,0,(CN13/CM13))</f>
        <v>0.53846153846153844</v>
      </c>
      <c r="CP13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2</v>
      </c>
      <c r="CQ13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Row],[Columna25]],$AX$5,BA13,"SF")+COUNTIFS(BASE01[[#This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1</v>
      </c>
      <c r="CR13" s="164">
        <f>IF(BASE01[[#This Row],[Columna14]]=0,0,(CQ13/CP13))</f>
        <v>0.5</v>
      </c>
      <c r="CS13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27</v>
      </c>
      <c r="CT13" s="93"/>
      <c r="CU13" s="536">
        <f t="shared" si="16"/>
        <v>27</v>
      </c>
      <c r="CV13" s="94">
        <f>IF(BASE01[[#This Row],[TIPO]]="PREMIO",$O$3,"0,00")</f>
        <v>1000</v>
      </c>
      <c r="CW13" s="515"/>
      <c r="CY13" s="388">
        <v>6</v>
      </c>
      <c r="CZ13" s="349">
        <f>AE$6</f>
        <v>232.48</v>
      </c>
      <c r="DB13" s="537" t="str">
        <f>BASE01[[#This Row],[COD]]</f>
        <v>COD 06</v>
      </c>
      <c r="DC13" s="390" t="str">
        <f t="array" ref="DC13">IFERROR(IF(AND(INDEX($E$8:$CE$57, MATCH($C13, $C$8:$C$57, 0), (COLUMNS($DC13:DC13)-1)*5 + 1) = INDEX($E$5:$CE$5, 1, (COLUMNS($DC13:DC13)-1)*5 + 1), INDEX($E$8:$CE$57, MATCH($C13, $C$8:$C$57, 0), (COLUMNS($DC13:DC13)-1)*5 + 4) = "F"), INDEX($CZ$8:$CZ$23, COLUMNS($DC13:DC13)), "0"), "")</f>
        <v>0</v>
      </c>
      <c r="DD13" s="390" t="str">
        <f t="array" ref="DD13">IFERROR(IF(AND(INDEX($E$8:$CE$57, MATCH($C13, $C$8:$C$57, 0), (COLUMNS($DC13:DD13)-1)*5 + 1) = INDEX($E$5:$CE$5, 1, (COLUMNS($DC13:DD13)-1)*5 + 1), INDEX($E$8:$CE$57, MATCH($C13, $C$8:$C$57, 0), (COLUMNS($DC13:DD13)-1)*5 + 4) = "F"), INDEX($CZ$8:$CZ$23, COLUMNS($DC13:DD13)), "0"), "")</f>
        <v>0</v>
      </c>
      <c r="DE13" s="390" t="str">
        <f t="array" ref="DE13">IFERROR(IF(AND(INDEX($E$8:$CE$57, MATCH($C13, $C$8:$C$57, 0), (COLUMNS($DC13:DE13)-1)*5 + 1) = INDEX($E$5:$CE$5, 1, (COLUMNS($DC13:DE13)-1)*5 + 1), INDEX($E$8:$CE$57, MATCH($C13, $C$8:$C$57, 0), (COLUMNS($DC13:DE13)-1)*5 + 4) = "F"), INDEX($CZ$8:$CZ$23, COLUMNS($DC13:DE13)), "0"), "")</f>
        <v>0</v>
      </c>
      <c r="DF13" s="390" t="str">
        <f t="array" ref="DF13">IFERROR(IF(AND(INDEX($E$8:$CE$57, MATCH($C13, $C$8:$C$57, 0), (COLUMNS($DC13:DF13)-1)*5 + 1) = INDEX($E$5:$CE$5, 1, (COLUMNS($DC13:DF13)-1)*5 + 1), INDEX($E$8:$CE$57, MATCH($C13, $C$8:$C$57, 0), (COLUMNS($DC13:DF13)-1)*5 + 4) = "F"), INDEX($CZ$8:$CZ$23, COLUMNS($DC13:DF13)), "0"), "")</f>
        <v>0</v>
      </c>
      <c r="DG13" s="390">
        <f t="array" ref="DG13">IFERROR(IF(AND(INDEX($E$8:$CE$57, MATCH($C13, $C$8:$C$57, 0), (COLUMNS($DC13:DG13)-1)*5 + 1) = INDEX($E$5:$CE$5, 1, (COLUMNS($DC13:DG13)-1)*5 + 1), INDEX($E$8:$CE$57, MATCH($C13, $C$8:$C$57, 0), (COLUMNS($DC13:DG13)-1)*5 + 4) = "F"), INDEX($CZ$8:$CZ$23, COLUMNS($DC13:DG13)), "0"), "")</f>
        <v>110</v>
      </c>
      <c r="DH13" s="390" t="str">
        <f t="array" ref="DH13">IFERROR(IF(AND(INDEX($E$8:$CE$57, MATCH($C13, $C$8:$C$57, 0), (COLUMNS($DC13:DH13)-1)*5 + 1) = INDEX($E$5:$CE$5, 1, (COLUMNS($DC13:DH13)-1)*5 + 1), INDEX($E$8:$CE$57, MATCH($C13, $C$8:$C$57, 0), (COLUMNS($DC13:DH13)-1)*5 + 4) = "F"), INDEX($CZ$8:$CZ$23, COLUMNS($DC13:DH13)), "0"), "")</f>
        <v>0</v>
      </c>
      <c r="DI13" s="390" t="str">
        <f t="array" ref="DI13">IFERROR(IF(AND(INDEX($E$8:$CE$57, MATCH($C13, $C$8:$C$57, 0), (COLUMNS($DC13:DI13)-1)*5 + 1) = INDEX($E$5:$CE$5, 1, (COLUMNS($DC13:DI13)-1)*5 + 1), INDEX($E$8:$CE$57, MATCH($C13, $C$8:$C$57, 0), (COLUMNS($DC13:DI13)-1)*5 + 4) = "F"), INDEX($CZ$8:$CZ$23, COLUMNS($DC13:DI13)), "0"), "")</f>
        <v>0</v>
      </c>
      <c r="DJ13" s="390" t="str">
        <f t="array" ref="DJ13">IFERROR(IF(AND(INDEX($E$8:$CE$57, MATCH($C13, $C$8:$C$57, 0), (COLUMNS($DC13:DJ13)-1)*5 + 1) = INDEX($E$5:$CE$5, 1, (COLUMNS($DC13:DJ13)-1)*5 + 1), INDEX($E$8:$CE$57, MATCH($C13, $C$8:$C$57, 0), (COLUMNS($DC13:DJ13)-1)*5 + 4) = "F"), INDEX($CZ$8:$CZ$23, COLUMNS($DC13:DJ13)), "0"), "")</f>
        <v>0</v>
      </c>
      <c r="DK13" s="390" t="str">
        <f t="array" ref="DK13">IFERROR(IF(AND(INDEX($E$8:$CE$57, MATCH($C13, $C$8:$C$57, 0), (COLUMNS($DC13:DK13)-1)*5 + 1) = INDEX($E$5:$CE$5, 1, (COLUMNS($DC13:DK13)-1)*5 + 1), INDEX($E$8:$CE$57, MATCH($C13, $C$8:$C$57, 0), (COLUMNS($DC13:DK13)-1)*5 + 4) = "F"), INDEX($CZ$8:$CZ$23, COLUMNS($DC13:DK13)), "0"), "")</f>
        <v>0</v>
      </c>
      <c r="DL13" s="390" t="str">
        <f t="array" ref="DL13">IFERROR(IF(AND(INDEX($E$8:$CE$57, MATCH($C13, $C$8:$C$57, 0), (COLUMNS($DC13:DL13)-1)*5 + 1) = INDEX($E$5:$CE$5, 1, (COLUMNS($DC13:DL13)-1)*5 + 1), INDEX($E$8:$CE$57, MATCH($C13, $C$8:$C$57, 0), (COLUMNS($DC13:DL13)-1)*5 + 4) = "F"), INDEX($CZ$8:$CZ$23, COLUMNS($DC13:DL13)), "0"), "")</f>
        <v>0</v>
      </c>
      <c r="DM13" s="390" t="str">
        <f t="array" ref="DM13">IFERROR(IF(AND(INDEX($E$8:$CE$57, MATCH($C13, $C$8:$C$57, 0), (COLUMNS($DC13:DM13)-1)*5 + 1) = INDEX($E$5:$CE$5, 1, (COLUMNS($DC13:DM13)-1)*5 + 1), INDEX($E$8:$CE$57, MATCH($C13, $C$8:$C$57, 0), (COLUMNS($DC13:DM13)-1)*5 + 4) = "F"), INDEX($CZ$8:$CZ$23, COLUMNS($DC13:DM13)), "0"), "")</f>
        <v>0</v>
      </c>
      <c r="DN13" s="390" t="str">
        <f t="array" ref="DN13">IFERROR(IF(AND(INDEX($E$8:$CE$57, MATCH($C13, $C$8:$C$57, 0), (COLUMNS($DC13:DN13)-1)*5 + 1) = INDEX($E$5:$CE$5, 1, (COLUMNS($DC13:DN13)-1)*5 + 1), INDEX($E$8:$CE$57, MATCH($C13, $C$8:$C$57, 0), (COLUMNS($DC13:DN13)-1)*5 + 4) = "F"), INDEX($CZ$8:$CZ$23, COLUMNS($DC13:DN13)), "0"), "")</f>
        <v>0</v>
      </c>
      <c r="DO13" s="390" t="str">
        <f t="array" ref="DO13">IFERROR(IF(AND(INDEX($E$8:$CE$57, MATCH($C13, $C$8:$C$57, 0), (COLUMNS($DC13:DO13)-1)*5 + 1) = INDEX($E$5:$CE$5, 1, (COLUMNS($DC13:DO13)-1)*5 + 1), INDEX($E$8:$CE$57, MATCH($C13, $C$8:$C$57, 0), (COLUMNS($DC13:DO13)-1)*5 + 4) = "F"), INDEX($CZ$8:$CZ$23, COLUMNS($DC13:DO13)), "0"), "")</f>
        <v>0</v>
      </c>
      <c r="DP13" s="390" t="str">
        <f t="array" ref="DP13">IFERROR(IF(AND(INDEX($E$8:$CE$57, MATCH($C13, $C$8:$C$57, 0), (COLUMNS($DC13:DP13)-1)*5 + 1) = INDEX($E$5:$CE$5, 1, (COLUMNS($DC13:DP13)-1)*5 + 1), INDEX($E$8:$CE$57, MATCH($C13, $C$8:$C$57, 0), (COLUMNS($DC13:DP13)-1)*5 + 4) = "F"), INDEX($CZ$8:$CZ$23, COLUMNS($DC13:DP13)), "0"), "")</f>
        <v>0</v>
      </c>
      <c r="DQ13" s="390" t="str">
        <f t="array" ref="DQ13">IFERROR(IF(AND(INDEX($E$8:$CE$57, MATCH($C13, $C$8:$C$57, 0), (COLUMNS($DC13:DQ13)-1)*5 + 1) = INDEX($E$5:$CE$5, 1, (COLUMNS($DC13:DQ13)-1)*5 + 1), INDEX($E$8:$CE$57, MATCH($C13, $C$8:$C$57, 0), (COLUMNS($DC13:DQ13)-1)*5 + 4) = "F"), INDEX($CZ$8:$CZ$23, COLUMNS($DC13:DQ13)), "0"), "")</f>
        <v>0</v>
      </c>
      <c r="DR13" s="390" t="str">
        <f t="array" ref="DR13">IFERROR(IF(AND(INDEX($E$8:$CE$57, MATCH($C13, $C$8:$C$57, 0), (COLUMNS($DC13:DR13)-1)*5 + 1) = INDEX($E$5:$CE$5, 1, (COLUMNS($DC13:DR13)-1)*5 + 1), INDEX($E$8:$CE$57, MATCH($C13, $C$8:$C$57, 0), (COLUMNS($DC13:DR13)-1)*5 + 4) = "F"), INDEX($CZ$8:$CZ$23, COLUMNS($DC13:DR13)), "0"), "")</f>
        <v>0</v>
      </c>
      <c r="DT13" s="537" t="str">
        <f>BASE01[[#This Row],[COD]]</f>
        <v>COD 06</v>
      </c>
      <c r="DU13" s="390" t="str">
        <f t="array" ref="DU13">IFERROR(IF(AND(INDEX($E$8:$CE$57, MATCH($C13, $C$8:$C$57, 0), (COLUMNS($DU13:DU13)-1)*5 + 1) = INDEX($E$5:$CE$5, 1, (COLUMNS($DU13:DU13)-1)*5 + 1), INDEX($E$8:$CE$57, MATCH($C13, $C$8:$C$57, 0), (COLUMNS($DU13:DU13)-1)*5 + 4) = "SF"), INDEX($CZ$8:$CZ$23, COLUMNS($DU13:DU13)), "0"), "")</f>
        <v>0</v>
      </c>
      <c r="DV13" s="390" t="str">
        <f t="array" ref="DV13">IFERROR(IF(AND(INDEX($E$8:$CE$57, MATCH($C13, $C$8:$C$57, 0), (COLUMNS($DU13:DV13)-1)*5 + 1) = INDEX($E$5:$CE$5, 1, (COLUMNS($DU13:DV13)-1)*5 + 1), INDEX($E$8:$CE$57, MATCH($C13, $C$8:$C$57, 0), (COLUMNS($DU13:DV13)-1)*5 + 4) = "SF"), INDEX($CZ$8:$CZ$23, COLUMNS($DU13:DV13)), "0"), "")</f>
        <v>0</v>
      </c>
      <c r="DW13" s="390" t="str">
        <f t="array" ref="DW13">IFERROR(IF(AND(INDEX($E$8:$CE$57, MATCH($C13, $C$8:$C$57, 0), (COLUMNS($DU13:DW13)-1)*5 + 1) = INDEX($E$5:$CE$5, 1, (COLUMNS($DU13:DW13)-1)*5 + 1), INDEX($E$8:$CE$57, MATCH($C13, $C$8:$C$57, 0), (COLUMNS($DU13:DW13)-1)*5 + 4) = "SF"), INDEX($CZ$8:$CZ$23, COLUMNS($DU13:DW13)), "0"), "")</f>
        <v>0</v>
      </c>
      <c r="DX13" s="390" t="str">
        <f t="array" ref="DX13">IFERROR(IF(AND(INDEX($E$8:$CE$57, MATCH($C13, $C$8:$C$57, 0), (COLUMNS($DU13:DX13)-1)*5 + 1) = INDEX($E$5:$CE$5, 1, (COLUMNS($DU13:DX13)-1)*5 + 1), INDEX($E$8:$CE$57, MATCH($C13, $C$8:$C$57, 0), (COLUMNS($DU13:DX13)-1)*5 + 4) = "SF"), INDEX($CZ$8:$CZ$23, COLUMNS($DU13:DX13)), "0"), "")</f>
        <v>0</v>
      </c>
      <c r="DY13" s="390" t="str">
        <f t="array" ref="DY13">IFERROR(IF(AND(INDEX($E$8:$CE$57, MATCH($C13, $C$8:$C$57, 0), (COLUMNS($DU13:DY13)-1)*5 + 1) = INDEX($E$5:$CE$5, 1, (COLUMNS($DU13:DY13)-1)*5 + 1), INDEX($E$8:$CE$57, MATCH($C13, $C$8:$C$57, 0), (COLUMNS($DU13:DY13)-1)*5 + 4) = "SF"), INDEX($CZ$8:$CZ$23, COLUMNS($DU13:DY13)), "0"), "")</f>
        <v>0</v>
      </c>
      <c r="DZ13" s="390" t="str">
        <f t="array" ref="DZ13">IFERROR(IF(AND(INDEX($E$8:$CE$57, MATCH($C13, $C$8:$C$57, 0), (COLUMNS($DU13:DZ13)-1)*5 + 1) = INDEX($E$5:$CE$5, 1, (COLUMNS($DU13:DZ13)-1)*5 + 1), INDEX($E$8:$CE$57, MATCH($C13, $C$8:$C$57, 0), (COLUMNS($DU13:DZ13)-1)*5 + 4) = "SF"), INDEX($CZ$8:$CZ$23, COLUMNS($DU13:DZ13)), "0"), "")</f>
        <v>0</v>
      </c>
      <c r="EA13" s="390" t="str">
        <f t="array" ref="EA13">IFERROR(IF(AND(INDEX($E$8:$CE$57, MATCH($C13, $C$8:$C$57, 0), (COLUMNS($DU13:EA13)-1)*5 + 1) = INDEX($E$5:$CE$5, 1, (COLUMNS($DU13:EA13)-1)*5 + 1), INDEX($E$8:$CE$57, MATCH($C13, $C$8:$C$57, 0), (COLUMNS($DU13:EA13)-1)*5 + 4) = "SF"), INDEX($CZ$8:$CZ$23, COLUMNS($DU13:EA13)), "0"), "")</f>
        <v>0</v>
      </c>
      <c r="EB13" s="390" t="str">
        <f t="array" ref="EB13">IFERROR(IF(AND(INDEX($E$8:$CE$57, MATCH($C13, $C$8:$C$57, 0), (COLUMNS($DU13:EB13)-1)*5 + 1) = INDEX($E$5:$CE$5, 1, (COLUMNS($DU13:EB13)-1)*5 + 1), INDEX($E$8:$CE$57, MATCH($C13, $C$8:$C$57, 0), (COLUMNS($DU13:EB13)-1)*5 + 4) = "SF"), INDEX($CZ$8:$CZ$23, COLUMNS($DU13:EB13)), "0"), "")</f>
        <v>0</v>
      </c>
      <c r="EC13" s="390" t="str">
        <f t="array" ref="EC13">IFERROR(IF(AND(INDEX($E$8:$CE$57, MATCH($C13, $C$8:$C$57, 0), (COLUMNS($DU13:EC13)-1)*5 + 1) = INDEX($E$5:$CE$5, 1, (COLUMNS($DU13:EC13)-1)*5 + 1), INDEX($E$8:$CE$57, MATCH($C13, $C$8:$C$57, 0), (COLUMNS($DU13:EC13)-1)*5 + 4) = "SF"), INDEX($CZ$8:$CZ$23, COLUMNS($DU13:EC13)), "0"), "")</f>
        <v>0</v>
      </c>
      <c r="ED13" s="390" t="str">
        <f t="array" ref="ED13">IFERROR(IF(AND(INDEX($E$8:$CE$57, MATCH($C13, $C$8:$C$57, 0), (COLUMNS($DU13:ED13)-1)*5 + 1) = INDEX($E$5:$CE$5, 1, (COLUMNS($DU13:ED13)-1)*5 + 1), INDEX($E$8:$CE$57, MATCH($C13, $C$8:$C$57, 0), (COLUMNS($DU13:ED13)-1)*5 + 4) = "SF"), INDEX($CZ$8:$CZ$23, COLUMNS($DU13:ED13)), "0"), "")</f>
        <v>0</v>
      </c>
      <c r="EE13" s="390" t="str">
        <f t="array" ref="EE13">IFERROR(IF(AND(INDEX($E$8:$CE$57, MATCH($C13, $C$8:$C$57, 0), (COLUMNS($DU13:EE13)-1)*5 + 1) = INDEX($E$5:$CE$5, 1, (COLUMNS($DU13:EE13)-1)*5 + 1), INDEX($E$8:$CE$57, MATCH($C13, $C$8:$C$57, 0), (COLUMNS($DU13:EE13)-1)*5 + 4) = "SF"), INDEX($CZ$8:$CZ$23, COLUMNS($DU13:EE13)), "0"), "")</f>
        <v>0</v>
      </c>
      <c r="EF13" s="390" t="str">
        <f t="array" ref="EF13">IFERROR(IF(AND(INDEX($E$8:$CE$57, MATCH($C13, $C$8:$C$57, 0), (COLUMNS($DU13:EF13)-1)*5 + 1) = INDEX($E$5:$CE$5, 1, (COLUMNS($DU13:EF13)-1)*5 + 1), INDEX($E$8:$CE$57, MATCH($C13, $C$8:$C$57, 0), (COLUMNS($DU13:EF13)-1)*5 + 4) = "SF"), INDEX($CZ$8:$CZ$23, COLUMNS($DU13:EF13)), "0"), "")</f>
        <v>0</v>
      </c>
      <c r="EG13" s="390" t="str">
        <f t="array" ref="EG13">IFERROR(IF(AND(INDEX($E$8:$CE$57, MATCH($C13, $C$8:$C$57, 0), (COLUMNS($DU13:EG13)-1)*5 + 1) = INDEX($E$5:$CE$5, 1, (COLUMNS($DU13:EG13)-1)*5 + 1), INDEX($E$8:$CE$57, MATCH($C13, $C$8:$C$57, 0), (COLUMNS($DU13:EG13)-1)*5 + 4) = "SF"), INDEX($CZ$8:$CZ$23, COLUMNS($DU13:EG13)), "0"), "")</f>
        <v>0</v>
      </c>
      <c r="EH13" s="390" t="str">
        <f t="array" ref="EH13">IFERROR(IF(AND(INDEX($E$8:$CE$57, MATCH($C13, $C$8:$C$57, 0), (COLUMNS($DU13:EH13)-1)*5 + 1) = INDEX($E$5:$CE$5, 1, (COLUMNS($DU13:EH13)-1)*5 + 1), INDEX($E$8:$CE$57, MATCH($C13, $C$8:$C$57, 0), (COLUMNS($DU13:EH13)-1)*5 + 4) = "SF"), INDEX($CZ$8:$CZ$23, COLUMNS($DU13:EH13)), "0"), "")</f>
        <v>0</v>
      </c>
      <c r="EI13" s="390" t="str">
        <f t="array" ref="EI13">IFERROR(IF(AND(INDEX($E$8:$CE$57, MATCH($C13, $C$8:$C$57, 0), (COLUMNS($DU13:EI13)-1)*5 + 1) = INDEX($E$5:$CE$5, 1, (COLUMNS($DU13:EI13)-1)*5 + 1), INDEX($E$8:$CE$57, MATCH($C13, $C$8:$C$57, 0), (COLUMNS($DU13:EI13)-1)*5 + 4) = "SF"), INDEX($CZ$8:$CZ$23, COLUMNS($DU13:EI13)), "0"), "")</f>
        <v>0</v>
      </c>
      <c r="EJ13" s="390" t="str">
        <f t="array" ref="EJ13">IFERROR(IF(AND(INDEX($E$8:$CE$57, MATCH($C13, $C$8:$C$57, 0), (COLUMNS($DU13:EJ13)-1)*5 + 1) = INDEX($E$5:$CE$5, 1, (COLUMNS($DU13:EJ13)-1)*5 + 1), INDEX($E$8:$CE$57, MATCH($C13, $C$8:$C$57, 0), (COLUMNS($DU13:EJ13)-1)*5 + 4) = "SF"), INDEX($CZ$8:$CZ$23, COLUMNS($DU13:EJ13)), "0"), "")</f>
        <v>0</v>
      </c>
    </row>
    <row r="14" spans="1:140" ht="20.100000000000001" customHeight="1" x14ac:dyDescent="0.35">
      <c r="A14" s="515"/>
      <c r="B14" s="91">
        <f>IF(BASE01[[#This Row],[COD]]&lt;&gt;"",B13+1,"")</f>
        <v>7</v>
      </c>
      <c r="C14" s="533" t="s">
        <v>45</v>
      </c>
      <c r="D14" s="92" t="str">
        <f t="array" ref="D14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14" s="146">
        <v>6</v>
      </c>
      <c r="F14" s="148">
        <v>1</v>
      </c>
      <c r="G14" s="148">
        <v>8</v>
      </c>
      <c r="H14" s="148"/>
      <c r="I14" s="534">
        <f t="shared" si="0"/>
        <v>1</v>
      </c>
      <c r="J14" s="146">
        <v>8</v>
      </c>
      <c r="K14" s="148">
        <v>7</v>
      </c>
      <c r="L14" s="148">
        <v>3</v>
      </c>
      <c r="M14" s="148"/>
      <c r="N14" s="534">
        <f t="shared" si="1"/>
        <v>1</v>
      </c>
      <c r="O14" s="146">
        <v>2</v>
      </c>
      <c r="P14" s="148">
        <v>3</v>
      </c>
      <c r="Q14" s="148">
        <v>1</v>
      </c>
      <c r="R14" s="148"/>
      <c r="S14" s="534">
        <f t="shared" si="2"/>
        <v>0</v>
      </c>
      <c r="T14" s="146">
        <v>6</v>
      </c>
      <c r="U14" s="148">
        <v>8</v>
      </c>
      <c r="V14" s="148">
        <v>2</v>
      </c>
      <c r="W14" s="148" t="s">
        <v>254</v>
      </c>
      <c r="X14" s="534">
        <f t="shared" si="3"/>
        <v>4.5</v>
      </c>
      <c r="Y14" s="146">
        <v>5</v>
      </c>
      <c r="Z14" s="148"/>
      <c r="AA14" s="148"/>
      <c r="AB14" s="148" t="s">
        <v>255</v>
      </c>
      <c r="AC14" s="534">
        <f t="shared" si="4"/>
        <v>7.5</v>
      </c>
      <c r="AD14" s="146">
        <v>5</v>
      </c>
      <c r="AE14" s="148">
        <v>2</v>
      </c>
      <c r="AF14" s="148">
        <v>7</v>
      </c>
      <c r="AG14" s="148"/>
      <c r="AH14" s="534">
        <f t="shared" si="5"/>
        <v>4</v>
      </c>
      <c r="AI14" s="146">
        <v>3</v>
      </c>
      <c r="AJ14" s="148">
        <v>6</v>
      </c>
      <c r="AK14" s="148">
        <v>1</v>
      </c>
      <c r="AL14" s="148"/>
      <c r="AM14" s="534">
        <f t="shared" si="6"/>
        <v>0</v>
      </c>
      <c r="AN14" s="146">
        <v>8</v>
      </c>
      <c r="AO14" s="148">
        <v>9</v>
      </c>
      <c r="AP14" s="148">
        <v>7</v>
      </c>
      <c r="AQ14" s="148"/>
      <c r="AR14" s="534">
        <f t="shared" si="7"/>
        <v>0</v>
      </c>
      <c r="AS14" s="146">
        <v>1</v>
      </c>
      <c r="AT14" s="148">
        <v>7</v>
      </c>
      <c r="AU14" s="148">
        <v>3</v>
      </c>
      <c r="AV14" s="148"/>
      <c r="AW14" s="534">
        <f t="shared" si="8"/>
        <v>0</v>
      </c>
      <c r="AX14" s="146">
        <v>1</v>
      </c>
      <c r="AY14" s="148">
        <v>3</v>
      </c>
      <c r="AZ14" s="148">
        <v>9</v>
      </c>
      <c r="BA14" s="148"/>
      <c r="BB14" s="534">
        <f t="shared" si="9"/>
        <v>4</v>
      </c>
      <c r="BC14" s="146">
        <v>4</v>
      </c>
      <c r="BD14" s="148">
        <v>6</v>
      </c>
      <c r="BE14" s="148">
        <v>7</v>
      </c>
      <c r="BF14" s="148"/>
      <c r="BG14" s="534">
        <f t="shared" si="10"/>
        <v>4</v>
      </c>
      <c r="BH14" s="146">
        <v>5</v>
      </c>
      <c r="BI14" s="148">
        <v>1</v>
      </c>
      <c r="BJ14" s="148">
        <v>6</v>
      </c>
      <c r="BK14" s="148" t="s">
        <v>254</v>
      </c>
      <c r="BL14" s="534">
        <f t="shared" si="11"/>
        <v>0</v>
      </c>
      <c r="BM14" s="146">
        <v>1</v>
      </c>
      <c r="BN14" s="148">
        <v>2</v>
      </c>
      <c r="BO14" s="148">
        <v>12</v>
      </c>
      <c r="BP14" s="148"/>
      <c r="BQ14" s="534">
        <f t="shared" si="12"/>
        <v>0</v>
      </c>
      <c r="BR14" s="146"/>
      <c r="BS14" s="148"/>
      <c r="BT14" s="148"/>
      <c r="BU14" s="148"/>
      <c r="BV14" s="534">
        <f t="shared" si="13"/>
        <v>0</v>
      </c>
      <c r="BW14" s="146"/>
      <c r="BX14" s="148"/>
      <c r="BY14" s="148"/>
      <c r="BZ14" s="148"/>
      <c r="CA14" s="534">
        <f t="shared" si="14"/>
        <v>0</v>
      </c>
      <c r="CB14" s="146"/>
      <c r="CC14" s="148"/>
      <c r="CD14" s="148"/>
      <c r="CE14" s="148"/>
      <c r="CF14" s="534">
        <f t="shared" si="15"/>
        <v>0</v>
      </c>
      <c r="CG14" s="162">
        <f>IF(BASE01[[#This Row],[1]]="",0,$B$4)</f>
        <v>13</v>
      </c>
      <c r="CH14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4</v>
      </c>
      <c r="CI14" s="164">
        <f>IF(BASE01[[#This Row],[Columna14]]=0,0,(CH14/CG14))</f>
        <v>0.30769230769230771</v>
      </c>
      <c r="CJ14" s="163">
        <f>IF(BASE01[[#This Row],[1]]="",0,$B$4)</f>
        <v>13</v>
      </c>
      <c r="CK14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5</v>
      </c>
      <c r="CL14" s="164">
        <f>IF(BASE01[[#This Row],[Columna14]]=0,0,(CK14/CJ14))</f>
        <v>0.38461538461538464</v>
      </c>
      <c r="CM14" s="162">
        <f>IF(BASE01[[#This Row],[1]]="",0,$B$4)</f>
        <v>13</v>
      </c>
      <c r="CN14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7</v>
      </c>
      <c r="CO14" s="164">
        <f>IF(BASE01[[#This Row],[Columna14]]=0,0,(CN14/CM14))</f>
        <v>0.53846153846153844</v>
      </c>
      <c r="CP14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14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Row],[Columna25]],$AX$5,BA14,"SF")+COUNTIFS(BASE01[[#This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14" s="164">
        <f>IF(BASE01[[#This Row],[Columna14]]=0,0,(CQ14/CP14))</f>
        <v>0.66666666666666663</v>
      </c>
      <c r="CS14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26</v>
      </c>
      <c r="CT14" s="93"/>
      <c r="CU14" s="536">
        <f t="shared" si="16"/>
        <v>26</v>
      </c>
      <c r="CV14" s="94">
        <f>IF(BASE01[[#This Row],[TIPO]]="PREMIO",$O$3,"0,00")</f>
        <v>1000</v>
      </c>
      <c r="CW14" s="515"/>
      <c r="CY14" s="388">
        <v>7</v>
      </c>
      <c r="CZ14" s="349">
        <f>AJ$6</f>
        <v>183.74</v>
      </c>
      <c r="DB14" s="537" t="str">
        <f>BASE01[[#This Row],[COD]]</f>
        <v>COD 07</v>
      </c>
      <c r="DC14" s="390" t="str">
        <f t="array" ref="DC14">IFERROR(IF(AND(INDEX($E$8:$CE$57, MATCH($C14, $C$8:$C$57, 0), (COLUMNS($DC14:DC14)-1)*5 + 1) = INDEX($E$5:$CE$5, 1, (COLUMNS($DC14:DC14)-1)*5 + 1), INDEX($E$8:$CE$57, MATCH($C14, $C$8:$C$57, 0), (COLUMNS($DC14:DC14)-1)*5 + 4) = "F"), INDEX($CZ$8:$CZ$23, COLUMNS($DC14:DC14)), "0"), "")</f>
        <v>0</v>
      </c>
      <c r="DD14" s="390" t="str">
        <f t="array" ref="DD14">IFERROR(IF(AND(INDEX($E$8:$CE$57, MATCH($C14, $C$8:$C$57, 0), (COLUMNS($DC14:DD14)-1)*5 + 1) = INDEX($E$5:$CE$5, 1, (COLUMNS($DC14:DD14)-1)*5 + 1), INDEX($E$8:$CE$57, MATCH($C14, $C$8:$C$57, 0), (COLUMNS($DC14:DD14)-1)*5 + 4) = "F"), INDEX($CZ$8:$CZ$23, COLUMNS($DC14:DD14)), "0"), "")</f>
        <v>0</v>
      </c>
      <c r="DE14" s="390" t="str">
        <f t="array" ref="DE14">IFERROR(IF(AND(INDEX($E$8:$CE$57, MATCH($C14, $C$8:$C$57, 0), (COLUMNS($DC14:DE14)-1)*5 + 1) = INDEX($E$5:$CE$5, 1, (COLUMNS($DC14:DE14)-1)*5 + 1), INDEX($E$8:$CE$57, MATCH($C14, $C$8:$C$57, 0), (COLUMNS($DC14:DE14)-1)*5 + 4) = "F"), INDEX($CZ$8:$CZ$23, COLUMNS($DC14:DE14)), "0"), "")</f>
        <v>0</v>
      </c>
      <c r="DF14" s="390">
        <f t="array" ref="DF14">IFERROR(IF(AND(INDEX($E$8:$CE$57, MATCH($C14, $C$8:$C$57, 0), (COLUMNS($DC14:DF14)-1)*5 + 1) = INDEX($E$5:$CE$5, 1, (COLUMNS($DC14:DF14)-1)*5 + 1), INDEX($E$8:$CE$57, MATCH($C14, $C$8:$C$57, 0), (COLUMNS($DC14:DF14)-1)*5 + 4) = "F"), INDEX($CZ$8:$CZ$23, COLUMNS($DC14:DF14)), "0"), "")</f>
        <v>110</v>
      </c>
      <c r="DG14" s="390" t="str">
        <f t="array" ref="DG14">IFERROR(IF(AND(INDEX($E$8:$CE$57, MATCH($C14, $C$8:$C$57, 0), (COLUMNS($DC14:DG14)-1)*5 + 1) = INDEX($E$5:$CE$5, 1, (COLUMNS($DC14:DG14)-1)*5 + 1), INDEX($E$8:$CE$57, MATCH($C14, $C$8:$C$57, 0), (COLUMNS($DC14:DG14)-1)*5 + 4) = "F"), INDEX($CZ$8:$CZ$23, COLUMNS($DC14:DG14)), "0"), "")</f>
        <v>0</v>
      </c>
      <c r="DH14" s="390" t="str">
        <f t="array" ref="DH14">IFERROR(IF(AND(INDEX($E$8:$CE$57, MATCH($C14, $C$8:$C$57, 0), (COLUMNS($DC14:DH14)-1)*5 + 1) = INDEX($E$5:$CE$5, 1, (COLUMNS($DC14:DH14)-1)*5 + 1), INDEX($E$8:$CE$57, MATCH($C14, $C$8:$C$57, 0), (COLUMNS($DC14:DH14)-1)*5 + 4) = "F"), INDEX($CZ$8:$CZ$23, COLUMNS($DC14:DH14)), "0"), "")</f>
        <v>0</v>
      </c>
      <c r="DI14" s="390" t="str">
        <f t="array" ref="DI14">IFERROR(IF(AND(INDEX($E$8:$CE$57, MATCH($C14, $C$8:$C$57, 0), (COLUMNS($DC14:DI14)-1)*5 + 1) = INDEX($E$5:$CE$5, 1, (COLUMNS($DC14:DI14)-1)*5 + 1), INDEX($E$8:$CE$57, MATCH($C14, $C$8:$C$57, 0), (COLUMNS($DC14:DI14)-1)*5 + 4) = "F"), INDEX($CZ$8:$CZ$23, COLUMNS($DC14:DI14)), "0"), "")</f>
        <v>0</v>
      </c>
      <c r="DJ14" s="390" t="str">
        <f t="array" ref="DJ14">IFERROR(IF(AND(INDEX($E$8:$CE$57, MATCH($C14, $C$8:$C$57, 0), (COLUMNS($DC14:DJ14)-1)*5 + 1) = INDEX($E$5:$CE$5, 1, (COLUMNS($DC14:DJ14)-1)*5 + 1), INDEX($E$8:$CE$57, MATCH($C14, $C$8:$C$57, 0), (COLUMNS($DC14:DJ14)-1)*5 + 4) = "F"), INDEX($CZ$8:$CZ$23, COLUMNS($DC14:DJ14)), "0"), "")</f>
        <v>0</v>
      </c>
      <c r="DK14" s="390" t="str">
        <f t="array" ref="DK14">IFERROR(IF(AND(INDEX($E$8:$CE$57, MATCH($C14, $C$8:$C$57, 0), (COLUMNS($DC14:DK14)-1)*5 + 1) = INDEX($E$5:$CE$5, 1, (COLUMNS($DC14:DK14)-1)*5 + 1), INDEX($E$8:$CE$57, MATCH($C14, $C$8:$C$57, 0), (COLUMNS($DC14:DK14)-1)*5 + 4) = "F"), INDEX($CZ$8:$CZ$23, COLUMNS($DC14:DK14)), "0"), "")</f>
        <v>0</v>
      </c>
      <c r="DL14" s="390" t="str">
        <f t="array" ref="DL14">IFERROR(IF(AND(INDEX($E$8:$CE$57, MATCH($C14, $C$8:$C$57, 0), (COLUMNS($DC14:DL14)-1)*5 + 1) = INDEX($E$5:$CE$5, 1, (COLUMNS($DC14:DL14)-1)*5 + 1), INDEX($E$8:$CE$57, MATCH($C14, $C$8:$C$57, 0), (COLUMNS($DC14:DL14)-1)*5 + 4) = "F"), INDEX($CZ$8:$CZ$23, COLUMNS($DC14:DL14)), "0"), "")</f>
        <v>0</v>
      </c>
      <c r="DM14" s="390" t="str">
        <f t="array" ref="DM14">IFERROR(IF(AND(INDEX($E$8:$CE$57, MATCH($C14, $C$8:$C$57, 0), (COLUMNS($DC14:DM14)-1)*5 + 1) = INDEX($E$5:$CE$5, 1, (COLUMNS($DC14:DM14)-1)*5 + 1), INDEX($E$8:$CE$57, MATCH($C14, $C$8:$C$57, 0), (COLUMNS($DC14:DM14)-1)*5 + 4) = "F"), INDEX($CZ$8:$CZ$23, COLUMNS($DC14:DM14)), "0"), "")</f>
        <v>0</v>
      </c>
      <c r="DN14" s="390" t="str">
        <f t="array" ref="DN14">IFERROR(IF(AND(INDEX($E$8:$CE$57, MATCH($C14, $C$8:$C$57, 0), (COLUMNS($DC14:DN14)-1)*5 + 1) = INDEX($E$5:$CE$5, 1, (COLUMNS($DC14:DN14)-1)*5 + 1), INDEX($E$8:$CE$57, MATCH($C14, $C$8:$C$57, 0), (COLUMNS($DC14:DN14)-1)*5 + 4) = "F"), INDEX($CZ$8:$CZ$23, COLUMNS($DC14:DN14)), "0"), "")</f>
        <v>0</v>
      </c>
      <c r="DO14" s="390" t="str">
        <f t="array" ref="DO14">IFERROR(IF(AND(INDEX($E$8:$CE$57, MATCH($C14, $C$8:$C$57, 0), (COLUMNS($DC14:DO14)-1)*5 + 1) = INDEX($E$5:$CE$5, 1, (COLUMNS($DC14:DO14)-1)*5 + 1), INDEX($E$8:$CE$57, MATCH($C14, $C$8:$C$57, 0), (COLUMNS($DC14:DO14)-1)*5 + 4) = "F"), INDEX($CZ$8:$CZ$23, COLUMNS($DC14:DO14)), "0"), "")</f>
        <v>0</v>
      </c>
      <c r="DP14" s="390" t="str">
        <f t="array" ref="DP14">IFERROR(IF(AND(INDEX($E$8:$CE$57, MATCH($C14, $C$8:$C$57, 0), (COLUMNS($DC14:DP14)-1)*5 + 1) = INDEX($E$5:$CE$5, 1, (COLUMNS($DC14:DP14)-1)*5 + 1), INDEX($E$8:$CE$57, MATCH($C14, $C$8:$C$57, 0), (COLUMNS($DC14:DP14)-1)*5 + 4) = "F"), INDEX($CZ$8:$CZ$23, COLUMNS($DC14:DP14)), "0"), "")</f>
        <v>0</v>
      </c>
      <c r="DQ14" s="390" t="str">
        <f t="array" ref="DQ14">IFERROR(IF(AND(INDEX($E$8:$CE$57, MATCH($C14, $C$8:$C$57, 0), (COLUMNS($DC14:DQ14)-1)*5 + 1) = INDEX($E$5:$CE$5, 1, (COLUMNS($DC14:DQ14)-1)*5 + 1), INDEX($E$8:$CE$57, MATCH($C14, $C$8:$C$57, 0), (COLUMNS($DC14:DQ14)-1)*5 + 4) = "F"), INDEX($CZ$8:$CZ$23, COLUMNS($DC14:DQ14)), "0"), "")</f>
        <v>0</v>
      </c>
      <c r="DR14" s="390" t="str">
        <f t="array" ref="DR14">IFERROR(IF(AND(INDEX($E$8:$CE$57, MATCH($C14, $C$8:$C$57, 0), (COLUMNS($DC14:DR14)-1)*5 + 1) = INDEX($E$5:$CE$5, 1, (COLUMNS($DC14:DR14)-1)*5 + 1), INDEX($E$8:$CE$57, MATCH($C14, $C$8:$C$57, 0), (COLUMNS($DC14:DR14)-1)*5 + 4) = "F"), INDEX($CZ$8:$CZ$23, COLUMNS($DC14:DR14)), "0"), "")</f>
        <v>0</v>
      </c>
      <c r="DT14" s="537" t="str">
        <f>BASE01[[#This Row],[COD]]</f>
        <v>COD 07</v>
      </c>
      <c r="DU14" s="390" t="str">
        <f t="array" ref="DU14">IFERROR(IF(AND(INDEX($E$8:$CE$57, MATCH($C14, $C$8:$C$57, 0), (COLUMNS($DU14:DU14)-1)*5 + 1) = INDEX($E$5:$CE$5, 1, (COLUMNS($DU14:DU14)-1)*5 + 1), INDEX($E$8:$CE$57, MATCH($C14, $C$8:$C$57, 0), (COLUMNS($DU14:DU14)-1)*5 + 4) = "SF"), INDEX($CZ$8:$CZ$23, COLUMNS($DU14:DU14)), "0"), "")</f>
        <v>0</v>
      </c>
      <c r="DV14" s="390" t="str">
        <f t="array" ref="DV14">IFERROR(IF(AND(INDEX($E$8:$CE$57, MATCH($C14, $C$8:$C$57, 0), (COLUMNS($DU14:DV14)-1)*5 + 1) = INDEX($E$5:$CE$5, 1, (COLUMNS($DU14:DV14)-1)*5 + 1), INDEX($E$8:$CE$57, MATCH($C14, $C$8:$C$57, 0), (COLUMNS($DU14:DV14)-1)*5 + 4) = "SF"), INDEX($CZ$8:$CZ$23, COLUMNS($DU14:DV14)), "0"), "")</f>
        <v>0</v>
      </c>
      <c r="DW14" s="390" t="str">
        <f t="array" ref="DW14">IFERROR(IF(AND(INDEX($E$8:$CE$57, MATCH($C14, $C$8:$C$57, 0), (COLUMNS($DU14:DW14)-1)*5 + 1) = INDEX($E$5:$CE$5, 1, (COLUMNS($DU14:DW14)-1)*5 + 1), INDEX($E$8:$CE$57, MATCH($C14, $C$8:$C$57, 0), (COLUMNS($DU14:DW14)-1)*5 + 4) = "SF"), INDEX($CZ$8:$CZ$23, COLUMNS($DU14:DW14)), "0"), "")</f>
        <v>0</v>
      </c>
      <c r="DX14" s="390" t="str">
        <f t="array" ref="DX14">IFERROR(IF(AND(INDEX($E$8:$CE$57, MATCH($C14, $C$8:$C$57, 0), (COLUMNS($DU14:DX14)-1)*5 + 1) = INDEX($E$5:$CE$5, 1, (COLUMNS($DU14:DX14)-1)*5 + 1), INDEX($E$8:$CE$57, MATCH($C14, $C$8:$C$57, 0), (COLUMNS($DU14:DX14)-1)*5 + 4) = "SF"), INDEX($CZ$8:$CZ$23, COLUMNS($DU14:DX14)), "0"), "")</f>
        <v>0</v>
      </c>
      <c r="DY14" s="390">
        <f t="array" ref="DY14">IFERROR(IF(AND(INDEX($E$8:$CE$57, MATCH($C14, $C$8:$C$57, 0), (COLUMNS($DU14:DY14)-1)*5 + 1) = INDEX($E$5:$CE$5, 1, (COLUMNS($DU14:DY14)-1)*5 + 1), INDEX($E$8:$CE$57, MATCH($C14, $C$8:$C$57, 0), (COLUMNS($DU14:DY14)-1)*5 + 4) = "SF"), INDEX($CZ$8:$CZ$23, COLUMNS($DU14:DY14)), "0"), "")</f>
        <v>110</v>
      </c>
      <c r="DZ14" s="390" t="str">
        <f t="array" ref="DZ14">IFERROR(IF(AND(INDEX($E$8:$CE$57, MATCH($C14, $C$8:$C$57, 0), (COLUMNS($DU14:DZ14)-1)*5 + 1) = INDEX($E$5:$CE$5, 1, (COLUMNS($DU14:DZ14)-1)*5 + 1), INDEX($E$8:$CE$57, MATCH($C14, $C$8:$C$57, 0), (COLUMNS($DU14:DZ14)-1)*5 + 4) = "SF"), INDEX($CZ$8:$CZ$23, COLUMNS($DU14:DZ14)), "0"), "")</f>
        <v>0</v>
      </c>
      <c r="EA14" s="390" t="str">
        <f t="array" ref="EA14">IFERROR(IF(AND(INDEX($E$8:$CE$57, MATCH($C14, $C$8:$C$57, 0), (COLUMNS($DU14:EA14)-1)*5 + 1) = INDEX($E$5:$CE$5, 1, (COLUMNS($DU14:EA14)-1)*5 + 1), INDEX($E$8:$CE$57, MATCH($C14, $C$8:$C$57, 0), (COLUMNS($DU14:EA14)-1)*5 + 4) = "SF"), INDEX($CZ$8:$CZ$23, COLUMNS($DU14:EA14)), "0"), "")</f>
        <v>0</v>
      </c>
      <c r="EB14" s="390" t="str">
        <f t="array" ref="EB14">IFERROR(IF(AND(INDEX($E$8:$CE$57, MATCH($C14, $C$8:$C$57, 0), (COLUMNS($DU14:EB14)-1)*5 + 1) = INDEX($E$5:$CE$5, 1, (COLUMNS($DU14:EB14)-1)*5 + 1), INDEX($E$8:$CE$57, MATCH($C14, $C$8:$C$57, 0), (COLUMNS($DU14:EB14)-1)*5 + 4) = "SF"), INDEX($CZ$8:$CZ$23, COLUMNS($DU14:EB14)), "0"), "")</f>
        <v>0</v>
      </c>
      <c r="EC14" s="390" t="str">
        <f t="array" ref="EC14">IFERROR(IF(AND(INDEX($E$8:$CE$57, MATCH($C14, $C$8:$C$57, 0), (COLUMNS($DU14:EC14)-1)*5 + 1) = INDEX($E$5:$CE$5, 1, (COLUMNS($DU14:EC14)-1)*5 + 1), INDEX($E$8:$CE$57, MATCH($C14, $C$8:$C$57, 0), (COLUMNS($DU14:EC14)-1)*5 + 4) = "SF"), INDEX($CZ$8:$CZ$23, COLUMNS($DU14:EC14)), "0"), "")</f>
        <v>0</v>
      </c>
      <c r="ED14" s="390" t="str">
        <f t="array" ref="ED14">IFERROR(IF(AND(INDEX($E$8:$CE$57, MATCH($C14, $C$8:$C$57, 0), (COLUMNS($DU14:ED14)-1)*5 + 1) = INDEX($E$5:$CE$5, 1, (COLUMNS($DU14:ED14)-1)*5 + 1), INDEX($E$8:$CE$57, MATCH($C14, $C$8:$C$57, 0), (COLUMNS($DU14:ED14)-1)*5 + 4) = "SF"), INDEX($CZ$8:$CZ$23, COLUMNS($DU14:ED14)), "0"), "")</f>
        <v>0</v>
      </c>
      <c r="EE14" s="390" t="str">
        <f t="array" ref="EE14">IFERROR(IF(AND(INDEX($E$8:$CE$57, MATCH($C14, $C$8:$C$57, 0), (COLUMNS($DU14:EE14)-1)*5 + 1) = INDEX($E$5:$CE$5, 1, (COLUMNS($DU14:EE14)-1)*5 + 1), INDEX($E$8:$CE$57, MATCH($C14, $C$8:$C$57, 0), (COLUMNS($DU14:EE14)-1)*5 + 4) = "SF"), INDEX($CZ$8:$CZ$23, COLUMNS($DU14:EE14)), "0"), "")</f>
        <v>0</v>
      </c>
      <c r="EF14" s="390" t="str">
        <f t="array" ref="EF14">IFERROR(IF(AND(INDEX($E$8:$CE$57, MATCH($C14, $C$8:$C$57, 0), (COLUMNS($DU14:EF14)-1)*5 + 1) = INDEX($E$5:$CE$5, 1, (COLUMNS($DU14:EF14)-1)*5 + 1), INDEX($E$8:$CE$57, MATCH($C14, $C$8:$C$57, 0), (COLUMNS($DU14:EF14)-1)*5 + 4) = "SF"), INDEX($CZ$8:$CZ$23, COLUMNS($DU14:EF14)), "0"), "")</f>
        <v>0</v>
      </c>
      <c r="EG14" s="390" t="str">
        <f t="array" ref="EG14">IFERROR(IF(AND(INDEX($E$8:$CE$57, MATCH($C14, $C$8:$C$57, 0), (COLUMNS($DU14:EG14)-1)*5 + 1) = INDEX($E$5:$CE$5, 1, (COLUMNS($DU14:EG14)-1)*5 + 1), INDEX($E$8:$CE$57, MATCH($C14, $C$8:$C$57, 0), (COLUMNS($DU14:EG14)-1)*5 + 4) = "SF"), INDEX($CZ$8:$CZ$23, COLUMNS($DU14:EG14)), "0"), "")</f>
        <v>0</v>
      </c>
      <c r="EH14" s="390" t="str">
        <f t="array" ref="EH14">IFERROR(IF(AND(INDEX($E$8:$CE$57, MATCH($C14, $C$8:$C$57, 0), (COLUMNS($DU14:EH14)-1)*5 + 1) = INDEX($E$5:$CE$5, 1, (COLUMNS($DU14:EH14)-1)*5 + 1), INDEX($E$8:$CE$57, MATCH($C14, $C$8:$C$57, 0), (COLUMNS($DU14:EH14)-1)*5 + 4) = "SF"), INDEX($CZ$8:$CZ$23, COLUMNS($DU14:EH14)), "0"), "")</f>
        <v>0</v>
      </c>
      <c r="EI14" s="390" t="str">
        <f t="array" ref="EI14">IFERROR(IF(AND(INDEX($E$8:$CE$57, MATCH($C14, $C$8:$C$57, 0), (COLUMNS($DU14:EI14)-1)*5 + 1) = INDEX($E$5:$CE$5, 1, (COLUMNS($DU14:EI14)-1)*5 + 1), INDEX($E$8:$CE$57, MATCH($C14, $C$8:$C$57, 0), (COLUMNS($DU14:EI14)-1)*5 + 4) = "SF"), INDEX($CZ$8:$CZ$23, COLUMNS($DU14:EI14)), "0"), "")</f>
        <v>0</v>
      </c>
      <c r="EJ14" s="390" t="str">
        <f t="array" ref="EJ14">IFERROR(IF(AND(INDEX($E$8:$CE$57, MATCH($C14, $C$8:$C$57, 0), (COLUMNS($DU14:EJ14)-1)*5 + 1) = INDEX($E$5:$CE$5, 1, (COLUMNS($DU14:EJ14)-1)*5 + 1), INDEX($E$8:$CE$57, MATCH($C14, $C$8:$C$57, 0), (COLUMNS($DU14:EJ14)-1)*5 + 4) = "SF"), INDEX($CZ$8:$CZ$23, COLUMNS($DU14:EJ14)), "0"), "")</f>
        <v>0</v>
      </c>
    </row>
    <row r="15" spans="1:140" ht="20.100000000000001" customHeight="1" x14ac:dyDescent="0.35">
      <c r="A15" s="515"/>
      <c r="B15" s="91">
        <f>IF(BASE01[[#This Row],[COD]]&lt;&gt;"",B14+1,"")</f>
        <v>8</v>
      </c>
      <c r="C15" s="533" t="s">
        <v>47</v>
      </c>
      <c r="D15" s="92" t="str">
        <f t="array" ref="D15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15" s="143">
        <v>8</v>
      </c>
      <c r="F15" s="145">
        <v>2</v>
      </c>
      <c r="G15" s="145">
        <v>4</v>
      </c>
      <c r="H15" s="145"/>
      <c r="I15" s="534">
        <f t="shared" si="0"/>
        <v>4</v>
      </c>
      <c r="J15" s="143">
        <v>8</v>
      </c>
      <c r="K15" s="145">
        <v>1</v>
      </c>
      <c r="L15" s="145">
        <v>4</v>
      </c>
      <c r="M15" s="145" t="s">
        <v>254</v>
      </c>
      <c r="N15" s="534">
        <f t="shared" si="1"/>
        <v>0</v>
      </c>
      <c r="O15" s="143">
        <v>6</v>
      </c>
      <c r="P15" s="145">
        <v>7</v>
      </c>
      <c r="Q15" s="145">
        <v>3</v>
      </c>
      <c r="R15" s="145"/>
      <c r="S15" s="534">
        <f t="shared" si="2"/>
        <v>4</v>
      </c>
      <c r="T15" s="143">
        <v>4</v>
      </c>
      <c r="U15" s="145">
        <v>1</v>
      </c>
      <c r="V15" s="145">
        <v>5</v>
      </c>
      <c r="W15" s="145"/>
      <c r="X15" s="534">
        <f t="shared" si="3"/>
        <v>0</v>
      </c>
      <c r="Y15" s="143">
        <v>5</v>
      </c>
      <c r="Z15" s="145"/>
      <c r="AA15" s="145"/>
      <c r="AB15" s="145" t="s">
        <v>255</v>
      </c>
      <c r="AC15" s="534">
        <f t="shared" si="4"/>
        <v>7.5</v>
      </c>
      <c r="AD15" s="143">
        <v>2</v>
      </c>
      <c r="AE15" s="145">
        <v>6</v>
      </c>
      <c r="AF15" s="145">
        <v>5</v>
      </c>
      <c r="AG15" s="145"/>
      <c r="AH15" s="534">
        <f t="shared" si="5"/>
        <v>4</v>
      </c>
      <c r="AI15" s="143">
        <v>4</v>
      </c>
      <c r="AJ15" s="145">
        <v>2</v>
      </c>
      <c r="AK15" s="145">
        <v>3</v>
      </c>
      <c r="AL15" s="145"/>
      <c r="AM15" s="534">
        <f t="shared" si="6"/>
        <v>4</v>
      </c>
      <c r="AN15" s="143">
        <v>6</v>
      </c>
      <c r="AO15" s="145">
        <v>3</v>
      </c>
      <c r="AP15" s="145">
        <v>4</v>
      </c>
      <c r="AQ15" s="145"/>
      <c r="AR15" s="534">
        <f t="shared" si="7"/>
        <v>0</v>
      </c>
      <c r="AS15" s="143">
        <v>7</v>
      </c>
      <c r="AT15" s="145">
        <v>2</v>
      </c>
      <c r="AU15" s="145">
        <v>4</v>
      </c>
      <c r="AV15" s="145"/>
      <c r="AW15" s="534">
        <f t="shared" si="8"/>
        <v>3</v>
      </c>
      <c r="AX15" s="143">
        <v>3</v>
      </c>
      <c r="AY15" s="145">
        <v>8</v>
      </c>
      <c r="AZ15" s="145">
        <v>2</v>
      </c>
      <c r="BA15" s="145"/>
      <c r="BB15" s="534">
        <f t="shared" si="9"/>
        <v>0</v>
      </c>
      <c r="BC15" s="143">
        <v>4</v>
      </c>
      <c r="BD15" s="145">
        <v>7</v>
      </c>
      <c r="BE15" s="145">
        <v>5</v>
      </c>
      <c r="BF15" s="145" t="s">
        <v>254</v>
      </c>
      <c r="BG15" s="534">
        <f t="shared" si="10"/>
        <v>5</v>
      </c>
      <c r="BH15" s="143">
        <v>5</v>
      </c>
      <c r="BI15" s="145">
        <v>1</v>
      </c>
      <c r="BJ15" s="145">
        <v>6</v>
      </c>
      <c r="BK15" s="145"/>
      <c r="BL15" s="534">
        <f t="shared" si="11"/>
        <v>0</v>
      </c>
      <c r="BM15" s="143">
        <v>13</v>
      </c>
      <c r="BN15" s="145">
        <v>3</v>
      </c>
      <c r="BO15" s="145">
        <v>12</v>
      </c>
      <c r="BP15" s="145"/>
      <c r="BQ15" s="534">
        <f t="shared" si="12"/>
        <v>2</v>
      </c>
      <c r="BR15" s="143"/>
      <c r="BS15" s="145"/>
      <c r="BT15" s="145"/>
      <c r="BU15" s="145"/>
      <c r="BV15" s="534">
        <f t="shared" si="13"/>
        <v>0</v>
      </c>
      <c r="BW15" s="143"/>
      <c r="BX15" s="145"/>
      <c r="BY15" s="145"/>
      <c r="BZ15" s="145"/>
      <c r="CA15" s="534">
        <f t="shared" si="14"/>
        <v>0</v>
      </c>
      <c r="CB15" s="143"/>
      <c r="CC15" s="145"/>
      <c r="CD15" s="145"/>
      <c r="CE15" s="145"/>
      <c r="CF15" s="534">
        <f t="shared" si="15"/>
        <v>0</v>
      </c>
      <c r="CG15" s="162">
        <f>IF(BASE01[[#This Row],[1]]="",0,$B$4)</f>
        <v>13</v>
      </c>
      <c r="CH15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6</v>
      </c>
      <c r="CI15" s="164">
        <f>IF(BASE01[[#This Row],[Columna14]]=0,0,(CH15/CG15))</f>
        <v>0.46153846153846156</v>
      </c>
      <c r="CJ15" s="163">
        <f>IF(BASE01[[#This Row],[1]]="",0,$B$4)</f>
        <v>13</v>
      </c>
      <c r="CK15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7</v>
      </c>
      <c r="CL15" s="164">
        <f>IF(BASE01[[#This Row],[Columna14]]=0,0,(CK15/CJ15))</f>
        <v>0.53846153846153844</v>
      </c>
      <c r="CM15" s="162">
        <f>IF(BASE01[[#This Row],[1]]="",0,$B$4)</f>
        <v>13</v>
      </c>
      <c r="CN15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8</v>
      </c>
      <c r="CO15" s="164">
        <f>IF(BASE01[[#This Row],[Columna14]]=0,0,(CN15/CM15))</f>
        <v>0.61538461538461542</v>
      </c>
      <c r="CP15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15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Row],[Columna25]],$AX$5,BA15,"SF")+COUNTIFS(BASE01[[#This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15" s="164">
        <f>IF(BASE01[[#This Row],[Columna14]]=0,0,(CQ15/CP15))</f>
        <v>0.66666666666666663</v>
      </c>
      <c r="CS15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33.5</v>
      </c>
      <c r="CT15" s="93"/>
      <c r="CU15" s="536">
        <f t="shared" si="16"/>
        <v>33.5</v>
      </c>
      <c r="CV15" s="94">
        <f>IF(BASE01[[#This Row],[TIPO]]="PREMIO",$O$3,"0,00")</f>
        <v>1000</v>
      </c>
      <c r="CW15" s="515"/>
      <c r="CY15" s="388">
        <v>8</v>
      </c>
      <c r="CZ15" s="349">
        <f>AO$6</f>
        <v>802.92</v>
      </c>
      <c r="DB15" s="537" t="str">
        <f>BASE01[[#This Row],[COD]]</f>
        <v>COD 08</v>
      </c>
      <c r="DC15" s="390" t="str">
        <f t="array" ref="DC15">IFERROR(IF(AND(INDEX($E$8:$CE$57, MATCH($C15, $C$8:$C$57, 0), (COLUMNS($DC15:DC15)-1)*5 + 1) = INDEX($E$5:$CE$5, 1, (COLUMNS($DC15:DC15)-1)*5 + 1), INDEX($E$8:$CE$57, MATCH($C15, $C$8:$C$57, 0), (COLUMNS($DC15:DC15)-1)*5 + 4) = "F"), INDEX($CZ$8:$CZ$23, COLUMNS($DC15:DC15)), "0"), "")</f>
        <v>0</v>
      </c>
      <c r="DD15" s="390" t="str">
        <f t="array" ref="DD15">IFERROR(IF(AND(INDEX($E$8:$CE$57, MATCH($C15, $C$8:$C$57, 0), (COLUMNS($DC15:DD15)-1)*5 + 1) = INDEX($E$5:$CE$5, 1, (COLUMNS($DC15:DD15)-1)*5 + 1), INDEX($E$8:$CE$57, MATCH($C15, $C$8:$C$57, 0), (COLUMNS($DC15:DD15)-1)*5 + 4) = "F"), INDEX($CZ$8:$CZ$23, COLUMNS($DC15:DD15)), "0"), "")</f>
        <v>0</v>
      </c>
      <c r="DE15" s="390" t="str">
        <f t="array" ref="DE15">IFERROR(IF(AND(INDEX($E$8:$CE$57, MATCH($C15, $C$8:$C$57, 0), (COLUMNS($DC15:DE15)-1)*5 + 1) = INDEX($E$5:$CE$5, 1, (COLUMNS($DC15:DE15)-1)*5 + 1), INDEX($E$8:$CE$57, MATCH($C15, $C$8:$C$57, 0), (COLUMNS($DC15:DE15)-1)*5 + 4) = "F"), INDEX($CZ$8:$CZ$23, COLUMNS($DC15:DE15)), "0"), "")</f>
        <v>0</v>
      </c>
      <c r="DF15" s="390" t="str">
        <f t="array" ref="DF15">IFERROR(IF(AND(INDEX($E$8:$CE$57, MATCH($C15, $C$8:$C$57, 0), (COLUMNS($DC15:DF15)-1)*5 + 1) = INDEX($E$5:$CE$5, 1, (COLUMNS($DC15:DF15)-1)*5 + 1), INDEX($E$8:$CE$57, MATCH($C15, $C$8:$C$57, 0), (COLUMNS($DC15:DF15)-1)*5 + 4) = "F"), INDEX($CZ$8:$CZ$23, COLUMNS($DC15:DF15)), "0"), "")</f>
        <v>0</v>
      </c>
      <c r="DG15" s="390" t="str">
        <f t="array" ref="DG15">IFERROR(IF(AND(INDEX($E$8:$CE$57, MATCH($C15, $C$8:$C$57, 0), (COLUMNS($DC15:DG15)-1)*5 + 1) = INDEX($E$5:$CE$5, 1, (COLUMNS($DC15:DG15)-1)*5 + 1), INDEX($E$8:$CE$57, MATCH($C15, $C$8:$C$57, 0), (COLUMNS($DC15:DG15)-1)*5 + 4) = "F"), INDEX($CZ$8:$CZ$23, COLUMNS($DC15:DG15)), "0"), "")</f>
        <v>0</v>
      </c>
      <c r="DH15" s="390" t="str">
        <f t="array" ref="DH15">IFERROR(IF(AND(INDEX($E$8:$CE$57, MATCH($C15, $C$8:$C$57, 0), (COLUMNS($DC15:DH15)-1)*5 + 1) = INDEX($E$5:$CE$5, 1, (COLUMNS($DC15:DH15)-1)*5 + 1), INDEX($E$8:$CE$57, MATCH($C15, $C$8:$C$57, 0), (COLUMNS($DC15:DH15)-1)*5 + 4) = "F"), INDEX($CZ$8:$CZ$23, COLUMNS($DC15:DH15)), "0"), "")</f>
        <v>0</v>
      </c>
      <c r="DI15" s="390" t="str">
        <f t="array" ref="DI15">IFERROR(IF(AND(INDEX($E$8:$CE$57, MATCH($C15, $C$8:$C$57, 0), (COLUMNS($DC15:DI15)-1)*5 + 1) = INDEX($E$5:$CE$5, 1, (COLUMNS($DC15:DI15)-1)*5 + 1), INDEX($E$8:$CE$57, MATCH($C15, $C$8:$C$57, 0), (COLUMNS($DC15:DI15)-1)*5 + 4) = "F"), INDEX($CZ$8:$CZ$23, COLUMNS($DC15:DI15)), "0"), "")</f>
        <v>0</v>
      </c>
      <c r="DJ15" s="390" t="str">
        <f t="array" ref="DJ15">IFERROR(IF(AND(INDEX($E$8:$CE$57, MATCH($C15, $C$8:$C$57, 0), (COLUMNS($DC15:DJ15)-1)*5 + 1) = INDEX($E$5:$CE$5, 1, (COLUMNS($DC15:DJ15)-1)*5 + 1), INDEX($E$8:$CE$57, MATCH($C15, $C$8:$C$57, 0), (COLUMNS($DC15:DJ15)-1)*5 + 4) = "F"), INDEX($CZ$8:$CZ$23, COLUMNS($DC15:DJ15)), "0"), "")</f>
        <v>0</v>
      </c>
      <c r="DK15" s="390" t="str">
        <f t="array" ref="DK15">IFERROR(IF(AND(INDEX($E$8:$CE$57, MATCH($C15, $C$8:$C$57, 0), (COLUMNS($DC15:DK15)-1)*5 + 1) = INDEX($E$5:$CE$5, 1, (COLUMNS($DC15:DK15)-1)*5 + 1), INDEX($E$8:$CE$57, MATCH($C15, $C$8:$C$57, 0), (COLUMNS($DC15:DK15)-1)*5 + 4) = "F"), INDEX($CZ$8:$CZ$23, COLUMNS($DC15:DK15)), "0"), "")</f>
        <v>0</v>
      </c>
      <c r="DL15" s="390" t="str">
        <f t="array" ref="DL15">IFERROR(IF(AND(INDEX($E$8:$CE$57, MATCH($C15, $C$8:$C$57, 0), (COLUMNS($DC15:DL15)-1)*5 + 1) = INDEX($E$5:$CE$5, 1, (COLUMNS($DC15:DL15)-1)*5 + 1), INDEX($E$8:$CE$57, MATCH($C15, $C$8:$C$57, 0), (COLUMNS($DC15:DL15)-1)*5 + 4) = "F"), INDEX($CZ$8:$CZ$23, COLUMNS($DC15:DL15)), "0"), "")</f>
        <v>0</v>
      </c>
      <c r="DM15" s="390">
        <f t="array" ref="DM15">IFERROR(IF(AND(INDEX($E$8:$CE$57, MATCH($C15, $C$8:$C$57, 0), (COLUMNS($DC15:DM15)-1)*5 + 1) = INDEX($E$5:$CE$5, 1, (COLUMNS($DC15:DM15)-1)*5 + 1), INDEX($E$8:$CE$57, MATCH($C15, $C$8:$C$57, 0), (COLUMNS($DC15:DM15)-1)*5 + 4) = "F"), INDEX($CZ$8:$CZ$23, COLUMNS($DC15:DM15)), "0"), "")</f>
        <v>184.94</v>
      </c>
      <c r="DN15" s="390" t="str">
        <f t="array" ref="DN15">IFERROR(IF(AND(INDEX($E$8:$CE$57, MATCH($C15, $C$8:$C$57, 0), (COLUMNS($DC15:DN15)-1)*5 + 1) = INDEX($E$5:$CE$5, 1, (COLUMNS($DC15:DN15)-1)*5 + 1), INDEX($E$8:$CE$57, MATCH($C15, $C$8:$C$57, 0), (COLUMNS($DC15:DN15)-1)*5 + 4) = "F"), INDEX($CZ$8:$CZ$23, COLUMNS($DC15:DN15)), "0"), "")</f>
        <v>0</v>
      </c>
      <c r="DO15" s="390" t="str">
        <f t="array" ref="DO15">IFERROR(IF(AND(INDEX($E$8:$CE$57, MATCH($C15, $C$8:$C$57, 0), (COLUMNS($DC15:DO15)-1)*5 + 1) = INDEX($E$5:$CE$5, 1, (COLUMNS($DC15:DO15)-1)*5 + 1), INDEX($E$8:$CE$57, MATCH($C15, $C$8:$C$57, 0), (COLUMNS($DC15:DO15)-1)*5 + 4) = "F"), INDEX($CZ$8:$CZ$23, COLUMNS($DC15:DO15)), "0"), "")</f>
        <v>0</v>
      </c>
      <c r="DP15" s="390" t="str">
        <f t="array" ref="DP15">IFERROR(IF(AND(INDEX($E$8:$CE$57, MATCH($C15, $C$8:$C$57, 0), (COLUMNS($DC15:DP15)-1)*5 + 1) = INDEX($E$5:$CE$5, 1, (COLUMNS($DC15:DP15)-1)*5 + 1), INDEX($E$8:$CE$57, MATCH($C15, $C$8:$C$57, 0), (COLUMNS($DC15:DP15)-1)*5 + 4) = "F"), INDEX($CZ$8:$CZ$23, COLUMNS($DC15:DP15)), "0"), "")</f>
        <v>0</v>
      </c>
      <c r="DQ15" s="390" t="str">
        <f t="array" ref="DQ15">IFERROR(IF(AND(INDEX($E$8:$CE$57, MATCH($C15, $C$8:$C$57, 0), (COLUMNS($DC15:DQ15)-1)*5 + 1) = INDEX($E$5:$CE$5, 1, (COLUMNS($DC15:DQ15)-1)*5 + 1), INDEX($E$8:$CE$57, MATCH($C15, $C$8:$C$57, 0), (COLUMNS($DC15:DQ15)-1)*5 + 4) = "F"), INDEX($CZ$8:$CZ$23, COLUMNS($DC15:DQ15)), "0"), "")</f>
        <v>0</v>
      </c>
      <c r="DR15" s="390" t="str">
        <f t="array" ref="DR15">IFERROR(IF(AND(INDEX($E$8:$CE$57, MATCH($C15, $C$8:$C$57, 0), (COLUMNS($DC15:DR15)-1)*5 + 1) = INDEX($E$5:$CE$5, 1, (COLUMNS($DC15:DR15)-1)*5 + 1), INDEX($E$8:$CE$57, MATCH($C15, $C$8:$C$57, 0), (COLUMNS($DC15:DR15)-1)*5 + 4) = "F"), INDEX($CZ$8:$CZ$23, COLUMNS($DC15:DR15)), "0"), "")</f>
        <v>0</v>
      </c>
      <c r="DT15" s="537" t="str">
        <f>BASE01[[#This Row],[COD]]</f>
        <v>COD 08</v>
      </c>
      <c r="DU15" s="390" t="str">
        <f t="array" ref="DU15">IFERROR(IF(AND(INDEX($E$8:$CE$57, MATCH($C15, $C$8:$C$57, 0), (COLUMNS($DU15:DU15)-1)*5 + 1) = INDEX($E$5:$CE$5, 1, (COLUMNS($DU15:DU15)-1)*5 + 1), INDEX($E$8:$CE$57, MATCH($C15, $C$8:$C$57, 0), (COLUMNS($DU15:DU15)-1)*5 + 4) = "SF"), INDEX($CZ$8:$CZ$23, COLUMNS($DU15:DU15)), "0"), "")</f>
        <v>0</v>
      </c>
      <c r="DV15" s="390" t="str">
        <f t="array" ref="DV15">IFERROR(IF(AND(INDEX($E$8:$CE$57, MATCH($C15, $C$8:$C$57, 0), (COLUMNS($DU15:DV15)-1)*5 + 1) = INDEX($E$5:$CE$5, 1, (COLUMNS($DU15:DV15)-1)*5 + 1), INDEX($E$8:$CE$57, MATCH($C15, $C$8:$C$57, 0), (COLUMNS($DU15:DV15)-1)*5 + 4) = "SF"), INDEX($CZ$8:$CZ$23, COLUMNS($DU15:DV15)), "0"), "")</f>
        <v>0</v>
      </c>
      <c r="DW15" s="390" t="str">
        <f t="array" ref="DW15">IFERROR(IF(AND(INDEX($E$8:$CE$57, MATCH($C15, $C$8:$C$57, 0), (COLUMNS($DU15:DW15)-1)*5 + 1) = INDEX($E$5:$CE$5, 1, (COLUMNS($DU15:DW15)-1)*5 + 1), INDEX($E$8:$CE$57, MATCH($C15, $C$8:$C$57, 0), (COLUMNS($DU15:DW15)-1)*5 + 4) = "SF"), INDEX($CZ$8:$CZ$23, COLUMNS($DU15:DW15)), "0"), "")</f>
        <v>0</v>
      </c>
      <c r="DX15" s="390" t="str">
        <f t="array" ref="DX15">IFERROR(IF(AND(INDEX($E$8:$CE$57, MATCH($C15, $C$8:$C$57, 0), (COLUMNS($DU15:DX15)-1)*5 + 1) = INDEX($E$5:$CE$5, 1, (COLUMNS($DU15:DX15)-1)*5 + 1), INDEX($E$8:$CE$57, MATCH($C15, $C$8:$C$57, 0), (COLUMNS($DU15:DX15)-1)*5 + 4) = "SF"), INDEX($CZ$8:$CZ$23, COLUMNS($DU15:DX15)), "0"), "")</f>
        <v>0</v>
      </c>
      <c r="DY15" s="390">
        <f t="array" ref="DY15">IFERROR(IF(AND(INDEX($E$8:$CE$57, MATCH($C15, $C$8:$C$57, 0), (COLUMNS($DU15:DY15)-1)*5 + 1) = INDEX($E$5:$CE$5, 1, (COLUMNS($DU15:DY15)-1)*5 + 1), INDEX($E$8:$CE$57, MATCH($C15, $C$8:$C$57, 0), (COLUMNS($DU15:DY15)-1)*5 + 4) = "SF"), INDEX($CZ$8:$CZ$23, COLUMNS($DU15:DY15)), "0"), "")</f>
        <v>110</v>
      </c>
      <c r="DZ15" s="390" t="str">
        <f t="array" ref="DZ15">IFERROR(IF(AND(INDEX($E$8:$CE$57, MATCH($C15, $C$8:$C$57, 0), (COLUMNS($DU15:DZ15)-1)*5 + 1) = INDEX($E$5:$CE$5, 1, (COLUMNS($DU15:DZ15)-1)*5 + 1), INDEX($E$8:$CE$57, MATCH($C15, $C$8:$C$57, 0), (COLUMNS($DU15:DZ15)-1)*5 + 4) = "SF"), INDEX($CZ$8:$CZ$23, COLUMNS($DU15:DZ15)), "0"), "")</f>
        <v>0</v>
      </c>
      <c r="EA15" s="390" t="str">
        <f t="array" ref="EA15">IFERROR(IF(AND(INDEX($E$8:$CE$57, MATCH($C15, $C$8:$C$57, 0), (COLUMNS($DU15:EA15)-1)*5 + 1) = INDEX($E$5:$CE$5, 1, (COLUMNS($DU15:EA15)-1)*5 + 1), INDEX($E$8:$CE$57, MATCH($C15, $C$8:$C$57, 0), (COLUMNS($DU15:EA15)-1)*5 + 4) = "SF"), INDEX($CZ$8:$CZ$23, COLUMNS($DU15:EA15)), "0"), "")</f>
        <v>0</v>
      </c>
      <c r="EB15" s="390" t="str">
        <f t="array" ref="EB15">IFERROR(IF(AND(INDEX($E$8:$CE$57, MATCH($C15, $C$8:$C$57, 0), (COLUMNS($DU15:EB15)-1)*5 + 1) = INDEX($E$5:$CE$5, 1, (COLUMNS($DU15:EB15)-1)*5 + 1), INDEX($E$8:$CE$57, MATCH($C15, $C$8:$C$57, 0), (COLUMNS($DU15:EB15)-1)*5 + 4) = "SF"), INDEX($CZ$8:$CZ$23, COLUMNS($DU15:EB15)), "0"), "")</f>
        <v>0</v>
      </c>
      <c r="EC15" s="390" t="str">
        <f t="array" ref="EC15">IFERROR(IF(AND(INDEX($E$8:$CE$57, MATCH($C15, $C$8:$C$57, 0), (COLUMNS($DU15:EC15)-1)*5 + 1) = INDEX($E$5:$CE$5, 1, (COLUMNS($DU15:EC15)-1)*5 + 1), INDEX($E$8:$CE$57, MATCH($C15, $C$8:$C$57, 0), (COLUMNS($DU15:EC15)-1)*5 + 4) = "SF"), INDEX($CZ$8:$CZ$23, COLUMNS($DU15:EC15)), "0"), "")</f>
        <v>0</v>
      </c>
      <c r="ED15" s="390" t="str">
        <f t="array" ref="ED15">IFERROR(IF(AND(INDEX($E$8:$CE$57, MATCH($C15, $C$8:$C$57, 0), (COLUMNS($DU15:ED15)-1)*5 + 1) = INDEX($E$5:$CE$5, 1, (COLUMNS($DU15:ED15)-1)*5 + 1), INDEX($E$8:$CE$57, MATCH($C15, $C$8:$C$57, 0), (COLUMNS($DU15:ED15)-1)*5 + 4) = "SF"), INDEX($CZ$8:$CZ$23, COLUMNS($DU15:ED15)), "0"), "")</f>
        <v>0</v>
      </c>
      <c r="EE15" s="390" t="str">
        <f t="array" ref="EE15">IFERROR(IF(AND(INDEX($E$8:$CE$57, MATCH($C15, $C$8:$C$57, 0), (COLUMNS($DU15:EE15)-1)*5 + 1) = INDEX($E$5:$CE$5, 1, (COLUMNS($DU15:EE15)-1)*5 + 1), INDEX($E$8:$CE$57, MATCH($C15, $C$8:$C$57, 0), (COLUMNS($DU15:EE15)-1)*5 + 4) = "SF"), INDEX($CZ$8:$CZ$23, COLUMNS($DU15:EE15)), "0"), "")</f>
        <v>0</v>
      </c>
      <c r="EF15" s="390" t="str">
        <f t="array" ref="EF15">IFERROR(IF(AND(INDEX($E$8:$CE$57, MATCH($C15, $C$8:$C$57, 0), (COLUMNS($DU15:EF15)-1)*5 + 1) = INDEX($E$5:$CE$5, 1, (COLUMNS($DU15:EF15)-1)*5 + 1), INDEX($E$8:$CE$57, MATCH($C15, $C$8:$C$57, 0), (COLUMNS($DU15:EF15)-1)*5 + 4) = "SF"), INDEX($CZ$8:$CZ$23, COLUMNS($DU15:EF15)), "0"), "")</f>
        <v>0</v>
      </c>
      <c r="EG15" s="390" t="str">
        <f t="array" ref="EG15">IFERROR(IF(AND(INDEX($E$8:$CE$57, MATCH($C15, $C$8:$C$57, 0), (COLUMNS($DU15:EG15)-1)*5 + 1) = INDEX($E$5:$CE$5, 1, (COLUMNS($DU15:EG15)-1)*5 + 1), INDEX($E$8:$CE$57, MATCH($C15, $C$8:$C$57, 0), (COLUMNS($DU15:EG15)-1)*5 + 4) = "SF"), INDEX($CZ$8:$CZ$23, COLUMNS($DU15:EG15)), "0"), "")</f>
        <v>0</v>
      </c>
      <c r="EH15" s="390" t="str">
        <f t="array" ref="EH15">IFERROR(IF(AND(INDEX($E$8:$CE$57, MATCH($C15, $C$8:$C$57, 0), (COLUMNS($DU15:EH15)-1)*5 + 1) = INDEX($E$5:$CE$5, 1, (COLUMNS($DU15:EH15)-1)*5 + 1), INDEX($E$8:$CE$57, MATCH($C15, $C$8:$C$57, 0), (COLUMNS($DU15:EH15)-1)*5 + 4) = "SF"), INDEX($CZ$8:$CZ$23, COLUMNS($DU15:EH15)), "0"), "")</f>
        <v>0</v>
      </c>
      <c r="EI15" s="390" t="str">
        <f t="array" ref="EI15">IFERROR(IF(AND(INDEX($E$8:$CE$57, MATCH($C15, $C$8:$C$57, 0), (COLUMNS($DU15:EI15)-1)*5 + 1) = INDEX($E$5:$CE$5, 1, (COLUMNS($DU15:EI15)-1)*5 + 1), INDEX($E$8:$CE$57, MATCH($C15, $C$8:$C$57, 0), (COLUMNS($DU15:EI15)-1)*5 + 4) = "SF"), INDEX($CZ$8:$CZ$23, COLUMNS($DU15:EI15)), "0"), "")</f>
        <v>0</v>
      </c>
      <c r="EJ15" s="390" t="str">
        <f t="array" ref="EJ15">IFERROR(IF(AND(INDEX($E$8:$CE$57, MATCH($C15, $C$8:$C$57, 0), (COLUMNS($DU15:EJ15)-1)*5 + 1) = INDEX($E$5:$CE$5, 1, (COLUMNS($DU15:EJ15)-1)*5 + 1), INDEX($E$8:$CE$57, MATCH($C15, $C$8:$C$57, 0), (COLUMNS($DU15:EJ15)-1)*5 + 4) = "SF"), INDEX($CZ$8:$CZ$23, COLUMNS($DU15:EJ15)), "0"), "")</f>
        <v>0</v>
      </c>
    </row>
    <row r="16" spans="1:140" ht="20.100000000000001" customHeight="1" x14ac:dyDescent="0.35">
      <c r="A16" s="515"/>
      <c r="B16" s="91">
        <f>IF(BASE01[[#This Row],[COD]]&lt;&gt;"",B15+1,"")</f>
        <v>9</v>
      </c>
      <c r="C16" s="533" t="s">
        <v>49</v>
      </c>
      <c r="D16" s="92" t="str">
        <f t="array" ref="D16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16" s="146">
        <v>1</v>
      </c>
      <c r="F16" s="147">
        <v>8</v>
      </c>
      <c r="G16" s="148">
        <v>6</v>
      </c>
      <c r="H16" s="147"/>
      <c r="I16" s="534">
        <f t="shared" si="0"/>
        <v>2</v>
      </c>
      <c r="J16" s="146">
        <v>8</v>
      </c>
      <c r="K16" s="147"/>
      <c r="L16" s="148"/>
      <c r="M16" s="147" t="s">
        <v>255</v>
      </c>
      <c r="N16" s="534">
        <f t="shared" si="1"/>
        <v>0</v>
      </c>
      <c r="O16" s="146">
        <v>6</v>
      </c>
      <c r="P16" s="147">
        <v>8</v>
      </c>
      <c r="Q16" s="148">
        <v>3</v>
      </c>
      <c r="R16" s="147"/>
      <c r="S16" s="534">
        <f t="shared" si="2"/>
        <v>5</v>
      </c>
      <c r="T16" s="146">
        <v>6</v>
      </c>
      <c r="U16" s="147">
        <v>8</v>
      </c>
      <c r="V16" s="148">
        <v>4</v>
      </c>
      <c r="W16" s="147" t="s">
        <v>254</v>
      </c>
      <c r="X16" s="534">
        <f t="shared" si="3"/>
        <v>4.5</v>
      </c>
      <c r="Y16" s="146">
        <v>5</v>
      </c>
      <c r="Z16" s="147">
        <v>10</v>
      </c>
      <c r="AA16" s="148">
        <v>1</v>
      </c>
      <c r="AB16" s="147"/>
      <c r="AC16" s="534">
        <f t="shared" si="4"/>
        <v>3.5</v>
      </c>
      <c r="AD16" s="146">
        <v>2</v>
      </c>
      <c r="AE16" s="147">
        <v>7</v>
      </c>
      <c r="AF16" s="148">
        <v>5</v>
      </c>
      <c r="AG16" s="147"/>
      <c r="AH16" s="534">
        <f t="shared" si="5"/>
        <v>6</v>
      </c>
      <c r="AI16" s="146">
        <v>3</v>
      </c>
      <c r="AJ16" s="147">
        <v>7</v>
      </c>
      <c r="AK16" s="148">
        <v>4</v>
      </c>
      <c r="AL16" s="147"/>
      <c r="AM16" s="534">
        <f t="shared" si="6"/>
        <v>1</v>
      </c>
      <c r="AN16" s="146">
        <v>8</v>
      </c>
      <c r="AO16" s="147">
        <v>9</v>
      </c>
      <c r="AP16" s="148">
        <v>7</v>
      </c>
      <c r="AQ16" s="147" t="s">
        <v>254</v>
      </c>
      <c r="AR16" s="534">
        <f t="shared" si="7"/>
        <v>0</v>
      </c>
      <c r="AS16" s="146">
        <v>7</v>
      </c>
      <c r="AT16" s="147">
        <v>1</v>
      </c>
      <c r="AU16" s="148">
        <v>6</v>
      </c>
      <c r="AV16" s="147"/>
      <c r="AW16" s="534">
        <f t="shared" si="8"/>
        <v>0</v>
      </c>
      <c r="AX16" s="146">
        <v>9</v>
      </c>
      <c r="AY16" s="147">
        <v>3</v>
      </c>
      <c r="AZ16" s="148">
        <v>1</v>
      </c>
      <c r="BA16" s="147"/>
      <c r="BB16" s="534">
        <f t="shared" si="9"/>
        <v>1</v>
      </c>
      <c r="BC16" s="146">
        <v>4</v>
      </c>
      <c r="BD16" s="147">
        <v>2</v>
      </c>
      <c r="BE16" s="148">
        <v>3</v>
      </c>
      <c r="BF16" s="147"/>
      <c r="BG16" s="534">
        <f t="shared" si="10"/>
        <v>5</v>
      </c>
      <c r="BH16" s="146">
        <v>5</v>
      </c>
      <c r="BI16" s="147">
        <v>2</v>
      </c>
      <c r="BJ16" s="148">
        <v>1</v>
      </c>
      <c r="BK16" s="147"/>
      <c r="BL16" s="534">
        <f t="shared" si="11"/>
        <v>3</v>
      </c>
      <c r="BM16" s="146">
        <v>3</v>
      </c>
      <c r="BN16" s="147">
        <v>9</v>
      </c>
      <c r="BO16" s="148">
        <v>2</v>
      </c>
      <c r="BP16" s="147"/>
      <c r="BQ16" s="534">
        <f t="shared" si="12"/>
        <v>7</v>
      </c>
      <c r="BR16" s="146"/>
      <c r="BS16" s="147"/>
      <c r="BT16" s="148"/>
      <c r="BU16" s="147"/>
      <c r="BV16" s="534">
        <f t="shared" si="13"/>
        <v>0</v>
      </c>
      <c r="BW16" s="146"/>
      <c r="BX16" s="147"/>
      <c r="BY16" s="148"/>
      <c r="BZ16" s="147"/>
      <c r="CA16" s="534">
        <f t="shared" si="14"/>
        <v>0</v>
      </c>
      <c r="CB16" s="146"/>
      <c r="CC16" s="147"/>
      <c r="CD16" s="148"/>
      <c r="CE16" s="147"/>
      <c r="CF16" s="534">
        <f t="shared" si="15"/>
        <v>0</v>
      </c>
      <c r="CG16" s="162">
        <f>IF(BASE01[[#This Row],[1]]="",0,$B$4)</f>
        <v>13</v>
      </c>
      <c r="CH16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6</v>
      </c>
      <c r="CI16" s="164">
        <f>IF(BASE01[[#This Row],[Columna14]]=0,0,(CH16/CG16))</f>
        <v>0.46153846153846156</v>
      </c>
      <c r="CJ16" s="163">
        <f>IF(BASE01[[#This Row],[1]]="",0,$B$4)</f>
        <v>13</v>
      </c>
      <c r="CK16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8</v>
      </c>
      <c r="CL16" s="164">
        <f>IF(BASE01[[#This Row],[Columna14]]=0,0,(CK16/CJ16))</f>
        <v>0.61538461538461542</v>
      </c>
      <c r="CM16" s="162">
        <f>IF(BASE01[[#This Row],[1]]="",0,$B$4)</f>
        <v>13</v>
      </c>
      <c r="CN16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10</v>
      </c>
      <c r="CO16" s="164">
        <f>IF(BASE01[[#This Row],[Columna14]]=0,0,(CN16/CM16))</f>
        <v>0.76923076923076927</v>
      </c>
      <c r="CP16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16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Row],[Columna25]],$AX$5,BA16,"SF")+COUNTIFS(BASE01[[#This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1</v>
      </c>
      <c r="CR16" s="164">
        <f>IF(BASE01[[#This Row],[Columna14]]=0,0,(CQ16/CP16))</f>
        <v>0.33333333333333331</v>
      </c>
      <c r="CS16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38</v>
      </c>
      <c r="CT16" s="93"/>
      <c r="CU16" s="536">
        <f t="shared" si="16"/>
        <v>38</v>
      </c>
      <c r="CV16" s="94">
        <f>IF(BASE01[[#This Row],[TIPO]]="PREMIO",$O$3,"0,00")</f>
        <v>1000</v>
      </c>
      <c r="CW16" s="515"/>
      <c r="CY16" s="388">
        <v>9</v>
      </c>
      <c r="CZ16" s="349">
        <f>AT$6</f>
        <v>3121.92</v>
      </c>
      <c r="DB16" s="537" t="str">
        <f>BASE01[[#This Row],[COD]]</f>
        <v>COD 09</v>
      </c>
      <c r="DC16" s="390" t="str">
        <f t="array" ref="DC16">IFERROR(IF(AND(INDEX($E$8:$CE$57, MATCH($C16, $C$8:$C$57, 0), (COLUMNS($DC16:DC16)-1)*5 + 1) = INDEX($E$5:$CE$5, 1, (COLUMNS($DC16:DC16)-1)*5 + 1), INDEX($E$8:$CE$57, MATCH($C16, $C$8:$C$57, 0), (COLUMNS($DC16:DC16)-1)*5 + 4) = "F"), INDEX($CZ$8:$CZ$23, COLUMNS($DC16:DC16)), "0"), "")</f>
        <v>0</v>
      </c>
      <c r="DD16" s="390" t="str">
        <f t="array" ref="DD16">IFERROR(IF(AND(INDEX($E$8:$CE$57, MATCH($C16, $C$8:$C$57, 0), (COLUMNS($DC16:DD16)-1)*5 + 1) = INDEX($E$5:$CE$5, 1, (COLUMNS($DC16:DD16)-1)*5 + 1), INDEX($E$8:$CE$57, MATCH($C16, $C$8:$C$57, 0), (COLUMNS($DC16:DD16)-1)*5 + 4) = "F"), INDEX($CZ$8:$CZ$23, COLUMNS($DC16:DD16)), "0"), "")</f>
        <v>0</v>
      </c>
      <c r="DE16" s="390" t="str">
        <f t="array" ref="DE16">IFERROR(IF(AND(INDEX($E$8:$CE$57, MATCH($C16, $C$8:$C$57, 0), (COLUMNS($DC16:DE16)-1)*5 + 1) = INDEX($E$5:$CE$5, 1, (COLUMNS($DC16:DE16)-1)*5 + 1), INDEX($E$8:$CE$57, MATCH($C16, $C$8:$C$57, 0), (COLUMNS($DC16:DE16)-1)*5 + 4) = "F"), INDEX($CZ$8:$CZ$23, COLUMNS($DC16:DE16)), "0"), "")</f>
        <v>0</v>
      </c>
      <c r="DF16" s="390">
        <f t="array" ref="DF16">IFERROR(IF(AND(INDEX($E$8:$CE$57, MATCH($C16, $C$8:$C$57, 0), (COLUMNS($DC16:DF16)-1)*5 + 1) = INDEX($E$5:$CE$5, 1, (COLUMNS($DC16:DF16)-1)*5 + 1), INDEX($E$8:$CE$57, MATCH($C16, $C$8:$C$57, 0), (COLUMNS($DC16:DF16)-1)*5 + 4) = "F"), INDEX($CZ$8:$CZ$23, COLUMNS($DC16:DF16)), "0"), "")</f>
        <v>110</v>
      </c>
      <c r="DG16" s="390" t="str">
        <f t="array" ref="DG16">IFERROR(IF(AND(INDEX($E$8:$CE$57, MATCH($C16, $C$8:$C$57, 0), (COLUMNS($DC16:DG16)-1)*5 + 1) = INDEX($E$5:$CE$5, 1, (COLUMNS($DC16:DG16)-1)*5 + 1), INDEX($E$8:$CE$57, MATCH($C16, $C$8:$C$57, 0), (COLUMNS($DC16:DG16)-1)*5 + 4) = "F"), INDEX($CZ$8:$CZ$23, COLUMNS($DC16:DG16)), "0"), "")</f>
        <v>0</v>
      </c>
      <c r="DH16" s="390" t="str">
        <f t="array" ref="DH16">IFERROR(IF(AND(INDEX($E$8:$CE$57, MATCH($C16, $C$8:$C$57, 0), (COLUMNS($DC16:DH16)-1)*5 + 1) = INDEX($E$5:$CE$5, 1, (COLUMNS($DC16:DH16)-1)*5 + 1), INDEX($E$8:$CE$57, MATCH($C16, $C$8:$C$57, 0), (COLUMNS($DC16:DH16)-1)*5 + 4) = "F"), INDEX($CZ$8:$CZ$23, COLUMNS($DC16:DH16)), "0"), "")</f>
        <v>0</v>
      </c>
      <c r="DI16" s="390" t="str">
        <f t="array" ref="DI16">IFERROR(IF(AND(INDEX($E$8:$CE$57, MATCH($C16, $C$8:$C$57, 0), (COLUMNS($DC16:DI16)-1)*5 + 1) = INDEX($E$5:$CE$5, 1, (COLUMNS($DC16:DI16)-1)*5 + 1), INDEX($E$8:$CE$57, MATCH($C16, $C$8:$C$57, 0), (COLUMNS($DC16:DI16)-1)*5 + 4) = "F"), INDEX($CZ$8:$CZ$23, COLUMNS($DC16:DI16)), "0"), "")</f>
        <v>0</v>
      </c>
      <c r="DJ16" s="390" t="str">
        <f t="array" ref="DJ16">IFERROR(IF(AND(INDEX($E$8:$CE$57, MATCH($C16, $C$8:$C$57, 0), (COLUMNS($DC16:DJ16)-1)*5 + 1) = INDEX($E$5:$CE$5, 1, (COLUMNS($DC16:DJ16)-1)*5 + 1), INDEX($E$8:$CE$57, MATCH($C16, $C$8:$C$57, 0), (COLUMNS($DC16:DJ16)-1)*5 + 4) = "F"), INDEX($CZ$8:$CZ$23, COLUMNS($DC16:DJ16)), "0"), "")</f>
        <v>0</v>
      </c>
      <c r="DK16" s="390" t="str">
        <f t="array" ref="DK16">IFERROR(IF(AND(INDEX($E$8:$CE$57, MATCH($C16, $C$8:$C$57, 0), (COLUMNS($DC16:DK16)-1)*5 + 1) = INDEX($E$5:$CE$5, 1, (COLUMNS($DC16:DK16)-1)*5 + 1), INDEX($E$8:$CE$57, MATCH($C16, $C$8:$C$57, 0), (COLUMNS($DC16:DK16)-1)*5 + 4) = "F"), INDEX($CZ$8:$CZ$23, COLUMNS($DC16:DK16)), "0"), "")</f>
        <v>0</v>
      </c>
      <c r="DL16" s="390" t="str">
        <f t="array" ref="DL16">IFERROR(IF(AND(INDEX($E$8:$CE$57, MATCH($C16, $C$8:$C$57, 0), (COLUMNS($DC16:DL16)-1)*5 + 1) = INDEX($E$5:$CE$5, 1, (COLUMNS($DC16:DL16)-1)*5 + 1), INDEX($E$8:$CE$57, MATCH($C16, $C$8:$C$57, 0), (COLUMNS($DC16:DL16)-1)*5 + 4) = "F"), INDEX($CZ$8:$CZ$23, COLUMNS($DC16:DL16)), "0"), "")</f>
        <v>0</v>
      </c>
      <c r="DM16" s="390" t="str">
        <f t="array" ref="DM16">IFERROR(IF(AND(INDEX($E$8:$CE$57, MATCH($C16, $C$8:$C$57, 0), (COLUMNS($DC16:DM16)-1)*5 + 1) = INDEX($E$5:$CE$5, 1, (COLUMNS($DC16:DM16)-1)*5 + 1), INDEX($E$8:$CE$57, MATCH($C16, $C$8:$C$57, 0), (COLUMNS($DC16:DM16)-1)*5 + 4) = "F"), INDEX($CZ$8:$CZ$23, COLUMNS($DC16:DM16)), "0"), "")</f>
        <v>0</v>
      </c>
      <c r="DN16" s="390" t="str">
        <f t="array" ref="DN16">IFERROR(IF(AND(INDEX($E$8:$CE$57, MATCH($C16, $C$8:$C$57, 0), (COLUMNS($DC16:DN16)-1)*5 + 1) = INDEX($E$5:$CE$5, 1, (COLUMNS($DC16:DN16)-1)*5 + 1), INDEX($E$8:$CE$57, MATCH($C16, $C$8:$C$57, 0), (COLUMNS($DC16:DN16)-1)*5 + 4) = "F"), INDEX($CZ$8:$CZ$23, COLUMNS($DC16:DN16)), "0"), "")</f>
        <v>0</v>
      </c>
      <c r="DO16" s="390" t="str">
        <f t="array" ref="DO16">IFERROR(IF(AND(INDEX($E$8:$CE$57, MATCH($C16, $C$8:$C$57, 0), (COLUMNS($DC16:DO16)-1)*5 + 1) = INDEX($E$5:$CE$5, 1, (COLUMNS($DC16:DO16)-1)*5 + 1), INDEX($E$8:$CE$57, MATCH($C16, $C$8:$C$57, 0), (COLUMNS($DC16:DO16)-1)*5 + 4) = "F"), INDEX($CZ$8:$CZ$23, COLUMNS($DC16:DO16)), "0"), "")</f>
        <v>0</v>
      </c>
      <c r="DP16" s="390" t="str">
        <f t="array" ref="DP16">IFERROR(IF(AND(INDEX($E$8:$CE$57, MATCH($C16, $C$8:$C$57, 0), (COLUMNS($DC16:DP16)-1)*5 + 1) = INDEX($E$5:$CE$5, 1, (COLUMNS($DC16:DP16)-1)*5 + 1), INDEX($E$8:$CE$57, MATCH($C16, $C$8:$C$57, 0), (COLUMNS($DC16:DP16)-1)*5 + 4) = "F"), INDEX($CZ$8:$CZ$23, COLUMNS($DC16:DP16)), "0"), "")</f>
        <v>0</v>
      </c>
      <c r="DQ16" s="390" t="str">
        <f t="array" ref="DQ16">IFERROR(IF(AND(INDEX($E$8:$CE$57, MATCH($C16, $C$8:$C$57, 0), (COLUMNS($DC16:DQ16)-1)*5 + 1) = INDEX($E$5:$CE$5, 1, (COLUMNS($DC16:DQ16)-1)*5 + 1), INDEX($E$8:$CE$57, MATCH($C16, $C$8:$C$57, 0), (COLUMNS($DC16:DQ16)-1)*5 + 4) = "F"), INDEX($CZ$8:$CZ$23, COLUMNS($DC16:DQ16)), "0"), "")</f>
        <v>0</v>
      </c>
      <c r="DR16" s="390" t="str">
        <f t="array" ref="DR16">IFERROR(IF(AND(INDEX($E$8:$CE$57, MATCH($C16, $C$8:$C$57, 0), (COLUMNS($DC16:DR16)-1)*5 + 1) = INDEX($E$5:$CE$5, 1, (COLUMNS($DC16:DR16)-1)*5 + 1), INDEX($E$8:$CE$57, MATCH($C16, $C$8:$C$57, 0), (COLUMNS($DC16:DR16)-1)*5 + 4) = "F"), INDEX($CZ$8:$CZ$23, COLUMNS($DC16:DR16)), "0"), "")</f>
        <v>0</v>
      </c>
      <c r="DT16" s="537" t="str">
        <f>BASE01[[#This Row],[COD]]</f>
        <v>COD 09</v>
      </c>
      <c r="DU16" s="390" t="str">
        <f t="array" ref="DU16">IFERROR(IF(AND(INDEX($E$8:$CE$57, MATCH($C16, $C$8:$C$57, 0), (COLUMNS($DU16:DU16)-1)*5 + 1) = INDEX($E$5:$CE$5, 1, (COLUMNS($DU16:DU16)-1)*5 + 1), INDEX($E$8:$CE$57, MATCH($C16, $C$8:$C$57, 0), (COLUMNS($DU16:DU16)-1)*5 + 4) = "SF"), INDEX($CZ$8:$CZ$23, COLUMNS($DU16:DU16)), "0"), "")</f>
        <v>0</v>
      </c>
      <c r="DV16" s="390" t="str">
        <f t="array" ref="DV16">IFERROR(IF(AND(INDEX($E$8:$CE$57, MATCH($C16, $C$8:$C$57, 0), (COLUMNS($DU16:DV16)-1)*5 + 1) = INDEX($E$5:$CE$5, 1, (COLUMNS($DU16:DV16)-1)*5 + 1), INDEX($E$8:$CE$57, MATCH($C16, $C$8:$C$57, 0), (COLUMNS($DU16:DV16)-1)*5 + 4) = "SF"), INDEX($CZ$8:$CZ$23, COLUMNS($DU16:DV16)), "0"), "")</f>
        <v>0</v>
      </c>
      <c r="DW16" s="390" t="str">
        <f t="array" ref="DW16">IFERROR(IF(AND(INDEX($E$8:$CE$57, MATCH($C16, $C$8:$C$57, 0), (COLUMNS($DU16:DW16)-1)*5 + 1) = INDEX($E$5:$CE$5, 1, (COLUMNS($DU16:DW16)-1)*5 + 1), INDEX($E$8:$CE$57, MATCH($C16, $C$8:$C$57, 0), (COLUMNS($DU16:DW16)-1)*5 + 4) = "SF"), INDEX($CZ$8:$CZ$23, COLUMNS($DU16:DW16)), "0"), "")</f>
        <v>0</v>
      </c>
      <c r="DX16" s="390" t="str">
        <f t="array" ref="DX16">IFERROR(IF(AND(INDEX($E$8:$CE$57, MATCH($C16, $C$8:$C$57, 0), (COLUMNS($DU16:DX16)-1)*5 + 1) = INDEX($E$5:$CE$5, 1, (COLUMNS($DU16:DX16)-1)*5 + 1), INDEX($E$8:$CE$57, MATCH($C16, $C$8:$C$57, 0), (COLUMNS($DU16:DX16)-1)*5 + 4) = "SF"), INDEX($CZ$8:$CZ$23, COLUMNS($DU16:DX16)), "0"), "")</f>
        <v>0</v>
      </c>
      <c r="DY16" s="390" t="str">
        <f t="array" ref="DY16">IFERROR(IF(AND(INDEX($E$8:$CE$57, MATCH($C16, $C$8:$C$57, 0), (COLUMNS($DU16:DY16)-1)*5 + 1) = INDEX($E$5:$CE$5, 1, (COLUMNS($DU16:DY16)-1)*5 + 1), INDEX($E$8:$CE$57, MATCH($C16, $C$8:$C$57, 0), (COLUMNS($DU16:DY16)-1)*5 + 4) = "SF"), INDEX($CZ$8:$CZ$23, COLUMNS($DU16:DY16)), "0"), "")</f>
        <v>0</v>
      </c>
      <c r="DZ16" s="390" t="str">
        <f t="array" ref="DZ16">IFERROR(IF(AND(INDEX($E$8:$CE$57, MATCH($C16, $C$8:$C$57, 0), (COLUMNS($DU16:DZ16)-1)*5 + 1) = INDEX($E$5:$CE$5, 1, (COLUMNS($DU16:DZ16)-1)*5 + 1), INDEX($E$8:$CE$57, MATCH($C16, $C$8:$C$57, 0), (COLUMNS($DU16:DZ16)-1)*5 + 4) = "SF"), INDEX($CZ$8:$CZ$23, COLUMNS($DU16:DZ16)), "0"), "")</f>
        <v>0</v>
      </c>
      <c r="EA16" s="390" t="str">
        <f t="array" ref="EA16">IFERROR(IF(AND(INDEX($E$8:$CE$57, MATCH($C16, $C$8:$C$57, 0), (COLUMNS($DU16:EA16)-1)*5 + 1) = INDEX($E$5:$CE$5, 1, (COLUMNS($DU16:EA16)-1)*5 + 1), INDEX($E$8:$CE$57, MATCH($C16, $C$8:$C$57, 0), (COLUMNS($DU16:EA16)-1)*5 + 4) = "SF"), INDEX($CZ$8:$CZ$23, COLUMNS($DU16:EA16)), "0"), "")</f>
        <v>0</v>
      </c>
      <c r="EB16" s="390" t="str">
        <f t="array" ref="EB16">IFERROR(IF(AND(INDEX($E$8:$CE$57, MATCH($C16, $C$8:$C$57, 0), (COLUMNS($DU16:EB16)-1)*5 + 1) = INDEX($E$5:$CE$5, 1, (COLUMNS($DU16:EB16)-1)*5 + 1), INDEX($E$8:$CE$57, MATCH($C16, $C$8:$C$57, 0), (COLUMNS($DU16:EB16)-1)*5 + 4) = "SF"), INDEX($CZ$8:$CZ$23, COLUMNS($DU16:EB16)), "0"), "")</f>
        <v>0</v>
      </c>
      <c r="EC16" s="390" t="str">
        <f t="array" ref="EC16">IFERROR(IF(AND(INDEX($E$8:$CE$57, MATCH($C16, $C$8:$C$57, 0), (COLUMNS($DU16:EC16)-1)*5 + 1) = INDEX($E$5:$CE$5, 1, (COLUMNS($DU16:EC16)-1)*5 + 1), INDEX($E$8:$CE$57, MATCH($C16, $C$8:$C$57, 0), (COLUMNS($DU16:EC16)-1)*5 + 4) = "SF"), INDEX($CZ$8:$CZ$23, COLUMNS($DU16:EC16)), "0"), "")</f>
        <v>0</v>
      </c>
      <c r="ED16" s="390" t="str">
        <f t="array" ref="ED16">IFERROR(IF(AND(INDEX($E$8:$CE$57, MATCH($C16, $C$8:$C$57, 0), (COLUMNS($DU16:ED16)-1)*5 + 1) = INDEX($E$5:$CE$5, 1, (COLUMNS($DU16:ED16)-1)*5 + 1), INDEX($E$8:$CE$57, MATCH($C16, $C$8:$C$57, 0), (COLUMNS($DU16:ED16)-1)*5 + 4) = "SF"), INDEX($CZ$8:$CZ$23, COLUMNS($DU16:ED16)), "0"), "")</f>
        <v>0</v>
      </c>
      <c r="EE16" s="390" t="str">
        <f t="array" ref="EE16">IFERROR(IF(AND(INDEX($E$8:$CE$57, MATCH($C16, $C$8:$C$57, 0), (COLUMNS($DU16:EE16)-1)*5 + 1) = INDEX($E$5:$CE$5, 1, (COLUMNS($DU16:EE16)-1)*5 + 1), INDEX($E$8:$CE$57, MATCH($C16, $C$8:$C$57, 0), (COLUMNS($DU16:EE16)-1)*5 + 4) = "SF"), INDEX($CZ$8:$CZ$23, COLUMNS($DU16:EE16)), "0"), "")</f>
        <v>0</v>
      </c>
      <c r="EF16" s="390" t="str">
        <f t="array" ref="EF16">IFERROR(IF(AND(INDEX($E$8:$CE$57, MATCH($C16, $C$8:$C$57, 0), (COLUMNS($DU16:EF16)-1)*5 + 1) = INDEX($E$5:$CE$5, 1, (COLUMNS($DU16:EF16)-1)*5 + 1), INDEX($E$8:$CE$57, MATCH($C16, $C$8:$C$57, 0), (COLUMNS($DU16:EF16)-1)*5 + 4) = "SF"), INDEX($CZ$8:$CZ$23, COLUMNS($DU16:EF16)), "0"), "")</f>
        <v>0</v>
      </c>
      <c r="EG16" s="390" t="str">
        <f t="array" ref="EG16">IFERROR(IF(AND(INDEX($E$8:$CE$57, MATCH($C16, $C$8:$C$57, 0), (COLUMNS($DU16:EG16)-1)*5 + 1) = INDEX($E$5:$CE$5, 1, (COLUMNS($DU16:EG16)-1)*5 + 1), INDEX($E$8:$CE$57, MATCH($C16, $C$8:$C$57, 0), (COLUMNS($DU16:EG16)-1)*5 + 4) = "SF"), INDEX($CZ$8:$CZ$23, COLUMNS($DU16:EG16)), "0"), "")</f>
        <v>0</v>
      </c>
      <c r="EH16" s="390" t="str">
        <f t="array" ref="EH16">IFERROR(IF(AND(INDEX($E$8:$CE$57, MATCH($C16, $C$8:$C$57, 0), (COLUMNS($DU16:EH16)-1)*5 + 1) = INDEX($E$5:$CE$5, 1, (COLUMNS($DU16:EH16)-1)*5 + 1), INDEX($E$8:$CE$57, MATCH($C16, $C$8:$C$57, 0), (COLUMNS($DU16:EH16)-1)*5 + 4) = "SF"), INDEX($CZ$8:$CZ$23, COLUMNS($DU16:EH16)), "0"), "")</f>
        <v>0</v>
      </c>
      <c r="EI16" s="390" t="str">
        <f t="array" ref="EI16">IFERROR(IF(AND(INDEX($E$8:$CE$57, MATCH($C16, $C$8:$C$57, 0), (COLUMNS($DU16:EI16)-1)*5 + 1) = INDEX($E$5:$CE$5, 1, (COLUMNS($DU16:EI16)-1)*5 + 1), INDEX($E$8:$CE$57, MATCH($C16, $C$8:$C$57, 0), (COLUMNS($DU16:EI16)-1)*5 + 4) = "SF"), INDEX($CZ$8:$CZ$23, COLUMNS($DU16:EI16)), "0"), "")</f>
        <v>0</v>
      </c>
      <c r="EJ16" s="390" t="str">
        <f t="array" ref="EJ16">IFERROR(IF(AND(INDEX($E$8:$CE$57, MATCH($C16, $C$8:$C$57, 0), (COLUMNS($DU16:EJ16)-1)*5 + 1) = INDEX($E$5:$CE$5, 1, (COLUMNS($DU16:EJ16)-1)*5 + 1), INDEX($E$8:$CE$57, MATCH($C16, $C$8:$C$57, 0), (COLUMNS($DU16:EJ16)-1)*5 + 4) = "SF"), INDEX($CZ$8:$CZ$23, COLUMNS($DU16:EJ16)), "0"), "")</f>
        <v>0</v>
      </c>
    </row>
    <row r="17" spans="1:140" ht="20.100000000000001" customHeight="1" x14ac:dyDescent="0.35">
      <c r="A17" s="515"/>
      <c r="B17" s="91">
        <f>IF(BASE01[[#This Row],[COD]]&lt;&gt;"",B16+1,"")</f>
        <v>10</v>
      </c>
      <c r="C17" s="533" t="s">
        <v>51</v>
      </c>
      <c r="D17" s="92" t="str">
        <f t="array" ref="D17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17" s="146">
        <v>8</v>
      </c>
      <c r="F17" s="147">
        <v>6</v>
      </c>
      <c r="G17" s="148">
        <v>1</v>
      </c>
      <c r="H17" s="143"/>
      <c r="I17" s="534">
        <f t="shared" si="0"/>
        <v>5</v>
      </c>
      <c r="J17" s="146">
        <v>3</v>
      </c>
      <c r="K17" s="147">
        <v>8</v>
      </c>
      <c r="L17" s="148">
        <v>5</v>
      </c>
      <c r="M17" s="143"/>
      <c r="N17" s="534">
        <f t="shared" si="1"/>
        <v>7</v>
      </c>
      <c r="O17" s="146">
        <v>8</v>
      </c>
      <c r="P17" s="147">
        <v>3</v>
      </c>
      <c r="Q17" s="148">
        <v>6</v>
      </c>
      <c r="R17" s="143"/>
      <c r="S17" s="534">
        <f t="shared" si="2"/>
        <v>1</v>
      </c>
      <c r="T17" s="146">
        <v>6</v>
      </c>
      <c r="U17" s="147">
        <v>8</v>
      </c>
      <c r="V17" s="148">
        <v>1</v>
      </c>
      <c r="W17" s="143" t="s">
        <v>254</v>
      </c>
      <c r="X17" s="534">
        <f t="shared" si="3"/>
        <v>4.5</v>
      </c>
      <c r="Y17" s="146">
        <v>5</v>
      </c>
      <c r="Z17" s="147"/>
      <c r="AA17" s="148"/>
      <c r="AB17" s="143" t="s">
        <v>255</v>
      </c>
      <c r="AC17" s="534">
        <f t="shared" si="4"/>
        <v>7.5</v>
      </c>
      <c r="AD17" s="146">
        <v>2</v>
      </c>
      <c r="AE17" s="147">
        <v>5</v>
      </c>
      <c r="AF17" s="148">
        <v>7</v>
      </c>
      <c r="AG17" s="143"/>
      <c r="AH17" s="534">
        <f t="shared" si="5"/>
        <v>7</v>
      </c>
      <c r="AI17" s="146">
        <v>7</v>
      </c>
      <c r="AJ17" s="147">
        <v>4</v>
      </c>
      <c r="AK17" s="148">
        <v>3</v>
      </c>
      <c r="AL17" s="143"/>
      <c r="AM17" s="534">
        <f t="shared" si="6"/>
        <v>2</v>
      </c>
      <c r="AN17" s="146">
        <v>11</v>
      </c>
      <c r="AO17" s="147">
        <v>8</v>
      </c>
      <c r="AP17" s="148">
        <v>9</v>
      </c>
      <c r="AQ17" s="143"/>
      <c r="AR17" s="534">
        <f t="shared" si="7"/>
        <v>0</v>
      </c>
      <c r="AS17" s="146">
        <v>7</v>
      </c>
      <c r="AT17" s="147">
        <v>1</v>
      </c>
      <c r="AU17" s="148">
        <v>3</v>
      </c>
      <c r="AV17" s="143"/>
      <c r="AW17" s="534">
        <f t="shared" si="8"/>
        <v>0</v>
      </c>
      <c r="AX17" s="146">
        <v>1</v>
      </c>
      <c r="AY17" s="147">
        <v>9</v>
      </c>
      <c r="AZ17" s="148">
        <v>8</v>
      </c>
      <c r="BA17" s="143"/>
      <c r="BB17" s="534">
        <f t="shared" si="9"/>
        <v>4</v>
      </c>
      <c r="BC17" s="146">
        <v>7</v>
      </c>
      <c r="BD17" s="147">
        <v>4</v>
      </c>
      <c r="BE17" s="148">
        <v>3</v>
      </c>
      <c r="BF17" s="143"/>
      <c r="BG17" s="534">
        <f t="shared" si="10"/>
        <v>2</v>
      </c>
      <c r="BH17" s="146">
        <v>5</v>
      </c>
      <c r="BI17" s="147">
        <v>1</v>
      </c>
      <c r="BJ17" s="148">
        <v>6</v>
      </c>
      <c r="BK17" s="143"/>
      <c r="BL17" s="534">
        <f t="shared" si="11"/>
        <v>0</v>
      </c>
      <c r="BM17" s="146">
        <v>1</v>
      </c>
      <c r="BN17" s="147">
        <v>3</v>
      </c>
      <c r="BO17" s="148">
        <v>12</v>
      </c>
      <c r="BP17" s="143" t="s">
        <v>254</v>
      </c>
      <c r="BQ17" s="534">
        <f t="shared" si="12"/>
        <v>2</v>
      </c>
      <c r="BR17" s="146"/>
      <c r="BS17" s="147"/>
      <c r="BT17" s="148"/>
      <c r="BU17" s="143"/>
      <c r="BV17" s="534">
        <f t="shared" si="13"/>
        <v>0</v>
      </c>
      <c r="BW17" s="146"/>
      <c r="BX17" s="147"/>
      <c r="BY17" s="148"/>
      <c r="BZ17" s="143"/>
      <c r="CA17" s="534">
        <f t="shared" si="14"/>
        <v>0</v>
      </c>
      <c r="CB17" s="146"/>
      <c r="CC17" s="147"/>
      <c r="CD17" s="148"/>
      <c r="CE17" s="143"/>
      <c r="CF17" s="534">
        <f t="shared" si="15"/>
        <v>0</v>
      </c>
      <c r="CG17" s="162">
        <f>IF(BASE01[[#This Row],[1]]="",0,$B$4)</f>
        <v>13</v>
      </c>
      <c r="CH17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6</v>
      </c>
      <c r="CI17" s="164">
        <f>IF(BASE01[[#This Row],[Columna14]]=0,0,(CH17/CG17))</f>
        <v>0.46153846153846156</v>
      </c>
      <c r="CJ17" s="163">
        <f>IF(BASE01[[#This Row],[1]]="",0,$B$4)</f>
        <v>13</v>
      </c>
      <c r="CK17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9</v>
      </c>
      <c r="CL17" s="164">
        <f>IF(BASE01[[#This Row],[Columna14]]=0,0,(CK17/CJ17))</f>
        <v>0.69230769230769229</v>
      </c>
      <c r="CM17" s="162">
        <f>IF(BASE01[[#This Row],[1]]="",0,$B$4)</f>
        <v>13</v>
      </c>
      <c r="CN17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10</v>
      </c>
      <c r="CO17" s="164">
        <f>IF(BASE01[[#This Row],[Columna14]]=0,0,(CN17/CM17))</f>
        <v>0.76923076923076927</v>
      </c>
      <c r="CP17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17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Row],[Columna25]],$AX$5,BA17,"SF")+COUNTIFS(BASE01[[#This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17" s="164">
        <f>IF(BASE01[[#This Row],[Columna14]]=0,0,(CQ17/CP17))</f>
        <v>0.66666666666666663</v>
      </c>
      <c r="CS17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42</v>
      </c>
      <c r="CT17" s="93"/>
      <c r="CU17" s="536">
        <f t="shared" si="16"/>
        <v>42</v>
      </c>
      <c r="CV17" s="94">
        <f>IF(BASE01[[#This Row],[TIPO]]="PREMIO",$O$3,"0,00")</f>
        <v>1000</v>
      </c>
      <c r="CW17" s="515"/>
      <c r="CY17" s="388">
        <v>10</v>
      </c>
      <c r="CZ17" s="349">
        <f>$AY$6</f>
        <v>235.64</v>
      </c>
      <c r="DB17" s="537" t="str">
        <f>BASE01[[#This Row],[COD]]</f>
        <v>COD 10</v>
      </c>
      <c r="DC17" s="390" t="str">
        <f t="array" ref="DC17">IFERROR(IF(AND(INDEX($E$8:$CE$57, MATCH($C17, $C$8:$C$57, 0), (COLUMNS($DC17:DC17)-1)*5 + 1) = INDEX($E$5:$CE$5, 1, (COLUMNS($DC17:DC17)-1)*5 + 1), INDEX($E$8:$CE$57, MATCH($C17, $C$8:$C$57, 0), (COLUMNS($DC17:DC17)-1)*5 + 4) = "F"), INDEX($CZ$8:$CZ$23, COLUMNS($DC17:DC17)), "0"), "")</f>
        <v>0</v>
      </c>
      <c r="DD17" s="390" t="str">
        <f t="array" ref="DD17">IFERROR(IF(AND(INDEX($E$8:$CE$57, MATCH($C17, $C$8:$C$57, 0), (COLUMNS($DC17:DD17)-1)*5 + 1) = INDEX($E$5:$CE$5, 1, (COLUMNS($DC17:DD17)-1)*5 + 1), INDEX($E$8:$CE$57, MATCH($C17, $C$8:$C$57, 0), (COLUMNS($DC17:DD17)-1)*5 + 4) = "F"), INDEX($CZ$8:$CZ$23, COLUMNS($DC17:DD17)), "0"), "")</f>
        <v>0</v>
      </c>
      <c r="DE17" s="390" t="str">
        <f t="array" ref="DE17">IFERROR(IF(AND(INDEX($E$8:$CE$57, MATCH($C17, $C$8:$C$57, 0), (COLUMNS($DC17:DE17)-1)*5 + 1) = INDEX($E$5:$CE$5, 1, (COLUMNS($DC17:DE17)-1)*5 + 1), INDEX($E$8:$CE$57, MATCH($C17, $C$8:$C$57, 0), (COLUMNS($DC17:DE17)-1)*5 + 4) = "F"), INDEX($CZ$8:$CZ$23, COLUMNS($DC17:DE17)), "0"), "")</f>
        <v>0</v>
      </c>
      <c r="DF17" s="390">
        <f t="array" ref="DF17">IFERROR(IF(AND(INDEX($E$8:$CE$57, MATCH($C17, $C$8:$C$57, 0), (COLUMNS($DC17:DF17)-1)*5 + 1) = INDEX($E$5:$CE$5, 1, (COLUMNS($DC17:DF17)-1)*5 + 1), INDEX($E$8:$CE$57, MATCH($C17, $C$8:$C$57, 0), (COLUMNS($DC17:DF17)-1)*5 + 4) = "F"), INDEX($CZ$8:$CZ$23, COLUMNS($DC17:DF17)), "0"), "")</f>
        <v>110</v>
      </c>
      <c r="DG17" s="390" t="str">
        <f t="array" ref="DG17">IFERROR(IF(AND(INDEX($E$8:$CE$57, MATCH($C17, $C$8:$C$57, 0), (COLUMNS($DC17:DG17)-1)*5 + 1) = INDEX($E$5:$CE$5, 1, (COLUMNS($DC17:DG17)-1)*5 + 1), INDEX($E$8:$CE$57, MATCH($C17, $C$8:$C$57, 0), (COLUMNS($DC17:DG17)-1)*5 + 4) = "F"), INDEX($CZ$8:$CZ$23, COLUMNS($DC17:DG17)), "0"), "")</f>
        <v>0</v>
      </c>
      <c r="DH17" s="390" t="str">
        <f t="array" ref="DH17">IFERROR(IF(AND(INDEX($E$8:$CE$57, MATCH($C17, $C$8:$C$57, 0), (COLUMNS($DC17:DH17)-1)*5 + 1) = INDEX($E$5:$CE$5, 1, (COLUMNS($DC17:DH17)-1)*5 + 1), INDEX($E$8:$CE$57, MATCH($C17, $C$8:$C$57, 0), (COLUMNS($DC17:DH17)-1)*5 + 4) = "F"), INDEX($CZ$8:$CZ$23, COLUMNS($DC17:DH17)), "0"), "")</f>
        <v>0</v>
      </c>
      <c r="DI17" s="390" t="str">
        <f t="array" ref="DI17">IFERROR(IF(AND(INDEX($E$8:$CE$57, MATCH($C17, $C$8:$C$57, 0), (COLUMNS($DC17:DI17)-1)*5 + 1) = INDEX($E$5:$CE$5, 1, (COLUMNS($DC17:DI17)-1)*5 + 1), INDEX($E$8:$CE$57, MATCH($C17, $C$8:$C$57, 0), (COLUMNS($DC17:DI17)-1)*5 + 4) = "F"), INDEX($CZ$8:$CZ$23, COLUMNS($DC17:DI17)), "0"), "")</f>
        <v>0</v>
      </c>
      <c r="DJ17" s="390" t="str">
        <f t="array" ref="DJ17">IFERROR(IF(AND(INDEX($E$8:$CE$57, MATCH($C17, $C$8:$C$57, 0), (COLUMNS($DC17:DJ17)-1)*5 + 1) = INDEX($E$5:$CE$5, 1, (COLUMNS($DC17:DJ17)-1)*5 + 1), INDEX($E$8:$CE$57, MATCH($C17, $C$8:$C$57, 0), (COLUMNS($DC17:DJ17)-1)*5 + 4) = "F"), INDEX($CZ$8:$CZ$23, COLUMNS($DC17:DJ17)), "0"), "")</f>
        <v>0</v>
      </c>
      <c r="DK17" s="390" t="str">
        <f t="array" ref="DK17">IFERROR(IF(AND(INDEX($E$8:$CE$57, MATCH($C17, $C$8:$C$57, 0), (COLUMNS($DC17:DK17)-1)*5 + 1) = INDEX($E$5:$CE$5, 1, (COLUMNS($DC17:DK17)-1)*5 + 1), INDEX($E$8:$CE$57, MATCH($C17, $C$8:$C$57, 0), (COLUMNS($DC17:DK17)-1)*5 + 4) = "F"), INDEX($CZ$8:$CZ$23, COLUMNS($DC17:DK17)), "0"), "")</f>
        <v>0</v>
      </c>
      <c r="DL17" s="390" t="str">
        <f t="array" ref="DL17">IFERROR(IF(AND(INDEX($E$8:$CE$57, MATCH($C17, $C$8:$C$57, 0), (COLUMNS($DC17:DL17)-1)*5 + 1) = INDEX($E$5:$CE$5, 1, (COLUMNS($DC17:DL17)-1)*5 + 1), INDEX($E$8:$CE$57, MATCH($C17, $C$8:$C$57, 0), (COLUMNS($DC17:DL17)-1)*5 + 4) = "F"), INDEX($CZ$8:$CZ$23, COLUMNS($DC17:DL17)), "0"), "")</f>
        <v>0</v>
      </c>
      <c r="DM17" s="390" t="str">
        <f t="array" ref="DM17">IFERROR(IF(AND(INDEX($E$8:$CE$57, MATCH($C17, $C$8:$C$57, 0), (COLUMNS($DC17:DM17)-1)*5 + 1) = INDEX($E$5:$CE$5, 1, (COLUMNS($DC17:DM17)-1)*5 + 1), INDEX($E$8:$CE$57, MATCH($C17, $C$8:$C$57, 0), (COLUMNS($DC17:DM17)-1)*5 + 4) = "F"), INDEX($CZ$8:$CZ$23, COLUMNS($DC17:DM17)), "0"), "")</f>
        <v>0</v>
      </c>
      <c r="DN17" s="390" t="str">
        <f t="array" ref="DN17">IFERROR(IF(AND(INDEX($E$8:$CE$57, MATCH($C17, $C$8:$C$57, 0), (COLUMNS($DC17:DN17)-1)*5 + 1) = INDEX($E$5:$CE$5, 1, (COLUMNS($DC17:DN17)-1)*5 + 1), INDEX($E$8:$CE$57, MATCH($C17, $C$8:$C$57, 0), (COLUMNS($DC17:DN17)-1)*5 + 4) = "F"), INDEX($CZ$8:$CZ$23, COLUMNS($DC17:DN17)), "0"), "")</f>
        <v>0</v>
      </c>
      <c r="DO17" s="390" t="str">
        <f t="array" ref="DO17">IFERROR(IF(AND(INDEX($E$8:$CE$57, MATCH($C17, $C$8:$C$57, 0), (COLUMNS($DC17:DO17)-1)*5 + 1) = INDEX($E$5:$CE$5, 1, (COLUMNS($DC17:DO17)-1)*5 + 1), INDEX($E$8:$CE$57, MATCH($C17, $C$8:$C$57, 0), (COLUMNS($DC17:DO17)-1)*5 + 4) = "F"), INDEX($CZ$8:$CZ$23, COLUMNS($DC17:DO17)), "0"), "")</f>
        <v>0</v>
      </c>
      <c r="DP17" s="390" t="str">
        <f t="array" ref="DP17">IFERROR(IF(AND(INDEX($E$8:$CE$57, MATCH($C17, $C$8:$C$57, 0), (COLUMNS($DC17:DP17)-1)*5 + 1) = INDEX($E$5:$CE$5, 1, (COLUMNS($DC17:DP17)-1)*5 + 1), INDEX($E$8:$CE$57, MATCH($C17, $C$8:$C$57, 0), (COLUMNS($DC17:DP17)-1)*5 + 4) = "F"), INDEX($CZ$8:$CZ$23, COLUMNS($DC17:DP17)), "0"), "")</f>
        <v>0</v>
      </c>
      <c r="DQ17" s="390" t="str">
        <f t="array" ref="DQ17">IFERROR(IF(AND(INDEX($E$8:$CE$57, MATCH($C17, $C$8:$C$57, 0), (COLUMNS($DC17:DQ17)-1)*5 + 1) = INDEX($E$5:$CE$5, 1, (COLUMNS($DC17:DQ17)-1)*5 + 1), INDEX($E$8:$CE$57, MATCH($C17, $C$8:$C$57, 0), (COLUMNS($DC17:DQ17)-1)*5 + 4) = "F"), INDEX($CZ$8:$CZ$23, COLUMNS($DC17:DQ17)), "0"), "")</f>
        <v>0</v>
      </c>
      <c r="DR17" s="390" t="str">
        <f t="array" ref="DR17">IFERROR(IF(AND(INDEX($E$8:$CE$57, MATCH($C17, $C$8:$C$57, 0), (COLUMNS($DC17:DR17)-1)*5 + 1) = INDEX($E$5:$CE$5, 1, (COLUMNS($DC17:DR17)-1)*5 + 1), INDEX($E$8:$CE$57, MATCH($C17, $C$8:$C$57, 0), (COLUMNS($DC17:DR17)-1)*5 + 4) = "F"), INDEX($CZ$8:$CZ$23, COLUMNS($DC17:DR17)), "0"), "")</f>
        <v>0</v>
      </c>
      <c r="DT17" s="537" t="str">
        <f>BASE01[[#This Row],[COD]]</f>
        <v>COD 10</v>
      </c>
      <c r="DU17" s="390" t="str">
        <f t="array" ref="DU17">IFERROR(IF(AND(INDEX($E$8:$CE$57, MATCH($C17, $C$8:$C$57, 0), (COLUMNS($DU17:DU17)-1)*5 + 1) = INDEX($E$5:$CE$5, 1, (COLUMNS($DU17:DU17)-1)*5 + 1), INDEX($E$8:$CE$57, MATCH($C17, $C$8:$C$57, 0), (COLUMNS($DU17:DU17)-1)*5 + 4) = "SF"), INDEX($CZ$8:$CZ$23, COLUMNS($DU17:DU17)), "0"), "")</f>
        <v>0</v>
      </c>
      <c r="DV17" s="390" t="str">
        <f t="array" ref="DV17">IFERROR(IF(AND(INDEX($E$8:$CE$57, MATCH($C17, $C$8:$C$57, 0), (COLUMNS($DU17:DV17)-1)*5 + 1) = INDEX($E$5:$CE$5, 1, (COLUMNS($DU17:DV17)-1)*5 + 1), INDEX($E$8:$CE$57, MATCH($C17, $C$8:$C$57, 0), (COLUMNS($DU17:DV17)-1)*5 + 4) = "SF"), INDEX($CZ$8:$CZ$23, COLUMNS($DU17:DV17)), "0"), "")</f>
        <v>0</v>
      </c>
      <c r="DW17" s="390" t="str">
        <f t="array" ref="DW17">IFERROR(IF(AND(INDEX($E$8:$CE$57, MATCH($C17, $C$8:$C$57, 0), (COLUMNS($DU17:DW17)-1)*5 + 1) = INDEX($E$5:$CE$5, 1, (COLUMNS($DU17:DW17)-1)*5 + 1), INDEX($E$8:$CE$57, MATCH($C17, $C$8:$C$57, 0), (COLUMNS($DU17:DW17)-1)*5 + 4) = "SF"), INDEX($CZ$8:$CZ$23, COLUMNS($DU17:DW17)), "0"), "")</f>
        <v>0</v>
      </c>
      <c r="DX17" s="390" t="str">
        <f t="array" ref="DX17">IFERROR(IF(AND(INDEX($E$8:$CE$57, MATCH($C17, $C$8:$C$57, 0), (COLUMNS($DU17:DX17)-1)*5 + 1) = INDEX($E$5:$CE$5, 1, (COLUMNS($DU17:DX17)-1)*5 + 1), INDEX($E$8:$CE$57, MATCH($C17, $C$8:$C$57, 0), (COLUMNS($DU17:DX17)-1)*5 + 4) = "SF"), INDEX($CZ$8:$CZ$23, COLUMNS($DU17:DX17)), "0"), "")</f>
        <v>0</v>
      </c>
      <c r="DY17" s="390">
        <f t="array" ref="DY17">IFERROR(IF(AND(INDEX($E$8:$CE$57, MATCH($C17, $C$8:$C$57, 0), (COLUMNS($DU17:DY17)-1)*5 + 1) = INDEX($E$5:$CE$5, 1, (COLUMNS($DU17:DY17)-1)*5 + 1), INDEX($E$8:$CE$57, MATCH($C17, $C$8:$C$57, 0), (COLUMNS($DU17:DY17)-1)*5 + 4) = "SF"), INDEX($CZ$8:$CZ$23, COLUMNS($DU17:DY17)), "0"), "")</f>
        <v>110</v>
      </c>
      <c r="DZ17" s="390" t="str">
        <f t="array" ref="DZ17">IFERROR(IF(AND(INDEX($E$8:$CE$57, MATCH($C17, $C$8:$C$57, 0), (COLUMNS($DU17:DZ17)-1)*5 + 1) = INDEX($E$5:$CE$5, 1, (COLUMNS($DU17:DZ17)-1)*5 + 1), INDEX($E$8:$CE$57, MATCH($C17, $C$8:$C$57, 0), (COLUMNS($DU17:DZ17)-1)*5 + 4) = "SF"), INDEX($CZ$8:$CZ$23, COLUMNS($DU17:DZ17)), "0"), "")</f>
        <v>0</v>
      </c>
      <c r="EA17" s="390" t="str">
        <f t="array" ref="EA17">IFERROR(IF(AND(INDEX($E$8:$CE$57, MATCH($C17, $C$8:$C$57, 0), (COLUMNS($DU17:EA17)-1)*5 + 1) = INDEX($E$5:$CE$5, 1, (COLUMNS($DU17:EA17)-1)*5 + 1), INDEX($E$8:$CE$57, MATCH($C17, $C$8:$C$57, 0), (COLUMNS($DU17:EA17)-1)*5 + 4) = "SF"), INDEX($CZ$8:$CZ$23, COLUMNS($DU17:EA17)), "0"), "")</f>
        <v>0</v>
      </c>
      <c r="EB17" s="390" t="str">
        <f t="array" ref="EB17">IFERROR(IF(AND(INDEX($E$8:$CE$57, MATCH($C17, $C$8:$C$57, 0), (COLUMNS($DU17:EB17)-1)*5 + 1) = INDEX($E$5:$CE$5, 1, (COLUMNS($DU17:EB17)-1)*5 + 1), INDEX($E$8:$CE$57, MATCH($C17, $C$8:$C$57, 0), (COLUMNS($DU17:EB17)-1)*5 + 4) = "SF"), INDEX($CZ$8:$CZ$23, COLUMNS($DU17:EB17)), "0"), "")</f>
        <v>0</v>
      </c>
      <c r="EC17" s="390" t="str">
        <f t="array" ref="EC17">IFERROR(IF(AND(INDEX($E$8:$CE$57, MATCH($C17, $C$8:$C$57, 0), (COLUMNS($DU17:EC17)-1)*5 + 1) = INDEX($E$5:$CE$5, 1, (COLUMNS($DU17:EC17)-1)*5 + 1), INDEX($E$8:$CE$57, MATCH($C17, $C$8:$C$57, 0), (COLUMNS($DU17:EC17)-1)*5 + 4) = "SF"), INDEX($CZ$8:$CZ$23, COLUMNS($DU17:EC17)), "0"), "")</f>
        <v>0</v>
      </c>
      <c r="ED17" s="390" t="str">
        <f t="array" ref="ED17">IFERROR(IF(AND(INDEX($E$8:$CE$57, MATCH($C17, $C$8:$C$57, 0), (COLUMNS($DU17:ED17)-1)*5 + 1) = INDEX($E$5:$CE$5, 1, (COLUMNS($DU17:ED17)-1)*5 + 1), INDEX($E$8:$CE$57, MATCH($C17, $C$8:$C$57, 0), (COLUMNS($DU17:ED17)-1)*5 + 4) = "SF"), INDEX($CZ$8:$CZ$23, COLUMNS($DU17:ED17)), "0"), "")</f>
        <v>0</v>
      </c>
      <c r="EE17" s="390" t="str">
        <f t="array" ref="EE17">IFERROR(IF(AND(INDEX($E$8:$CE$57, MATCH($C17, $C$8:$C$57, 0), (COLUMNS($DU17:EE17)-1)*5 + 1) = INDEX($E$5:$CE$5, 1, (COLUMNS($DU17:EE17)-1)*5 + 1), INDEX($E$8:$CE$57, MATCH($C17, $C$8:$C$57, 0), (COLUMNS($DU17:EE17)-1)*5 + 4) = "SF"), INDEX($CZ$8:$CZ$23, COLUMNS($DU17:EE17)), "0"), "")</f>
        <v>0</v>
      </c>
      <c r="EF17" s="390" t="str">
        <f t="array" ref="EF17">IFERROR(IF(AND(INDEX($E$8:$CE$57, MATCH($C17, $C$8:$C$57, 0), (COLUMNS($DU17:EF17)-1)*5 + 1) = INDEX($E$5:$CE$5, 1, (COLUMNS($DU17:EF17)-1)*5 + 1), INDEX($E$8:$CE$57, MATCH($C17, $C$8:$C$57, 0), (COLUMNS($DU17:EF17)-1)*5 + 4) = "SF"), INDEX($CZ$8:$CZ$23, COLUMNS($DU17:EF17)), "0"), "")</f>
        <v>0</v>
      </c>
      <c r="EG17" s="390" t="str">
        <f t="array" ref="EG17">IFERROR(IF(AND(INDEX($E$8:$CE$57, MATCH($C17, $C$8:$C$57, 0), (COLUMNS($DU17:EG17)-1)*5 + 1) = INDEX($E$5:$CE$5, 1, (COLUMNS($DU17:EG17)-1)*5 + 1), INDEX($E$8:$CE$57, MATCH($C17, $C$8:$C$57, 0), (COLUMNS($DU17:EG17)-1)*5 + 4) = "SF"), INDEX($CZ$8:$CZ$23, COLUMNS($DU17:EG17)), "0"), "")</f>
        <v>0</v>
      </c>
      <c r="EH17" s="390" t="str">
        <f t="array" ref="EH17">IFERROR(IF(AND(INDEX($E$8:$CE$57, MATCH($C17, $C$8:$C$57, 0), (COLUMNS($DU17:EH17)-1)*5 + 1) = INDEX($E$5:$CE$5, 1, (COLUMNS($DU17:EH17)-1)*5 + 1), INDEX($E$8:$CE$57, MATCH($C17, $C$8:$C$57, 0), (COLUMNS($DU17:EH17)-1)*5 + 4) = "SF"), INDEX($CZ$8:$CZ$23, COLUMNS($DU17:EH17)), "0"), "")</f>
        <v>0</v>
      </c>
      <c r="EI17" s="390" t="str">
        <f t="array" ref="EI17">IFERROR(IF(AND(INDEX($E$8:$CE$57, MATCH($C17, $C$8:$C$57, 0), (COLUMNS($DU17:EI17)-1)*5 + 1) = INDEX($E$5:$CE$5, 1, (COLUMNS($DU17:EI17)-1)*5 + 1), INDEX($E$8:$CE$57, MATCH($C17, $C$8:$C$57, 0), (COLUMNS($DU17:EI17)-1)*5 + 4) = "SF"), INDEX($CZ$8:$CZ$23, COLUMNS($DU17:EI17)), "0"), "")</f>
        <v>0</v>
      </c>
      <c r="EJ17" s="390" t="str">
        <f t="array" ref="EJ17">IFERROR(IF(AND(INDEX($E$8:$CE$57, MATCH($C17, $C$8:$C$57, 0), (COLUMNS($DU17:EJ17)-1)*5 + 1) = INDEX($E$5:$CE$5, 1, (COLUMNS($DU17:EJ17)-1)*5 + 1), INDEX($E$8:$CE$57, MATCH($C17, $C$8:$C$57, 0), (COLUMNS($DU17:EJ17)-1)*5 + 4) = "SF"), INDEX($CZ$8:$CZ$23, COLUMNS($DU17:EJ17)), "0"), "")</f>
        <v>0</v>
      </c>
    </row>
    <row r="18" spans="1:140" ht="20.100000000000001" customHeight="1" x14ac:dyDescent="0.35">
      <c r="A18" s="515"/>
      <c r="B18" s="91">
        <f>IF(BASE01[[#This Row],[COD]]&lt;&gt;"",B17+1,"")</f>
        <v>11</v>
      </c>
      <c r="C18" s="533" t="s">
        <v>53</v>
      </c>
      <c r="D18" s="92" t="str">
        <f t="array" ref="D18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18" s="143">
        <v>1</v>
      </c>
      <c r="F18" s="143">
        <v>8</v>
      </c>
      <c r="G18" s="143">
        <v>6</v>
      </c>
      <c r="H18" s="143"/>
      <c r="I18" s="534">
        <f t="shared" si="0"/>
        <v>2</v>
      </c>
      <c r="J18" s="143">
        <v>3</v>
      </c>
      <c r="K18" s="143">
        <v>5</v>
      </c>
      <c r="L18" s="143">
        <v>8</v>
      </c>
      <c r="M18" s="143"/>
      <c r="N18" s="534">
        <f t="shared" si="1"/>
        <v>6</v>
      </c>
      <c r="O18" s="143">
        <v>2</v>
      </c>
      <c r="P18" s="143">
        <v>3</v>
      </c>
      <c r="Q18" s="143">
        <v>6</v>
      </c>
      <c r="R18" s="143"/>
      <c r="S18" s="534">
        <f t="shared" si="2"/>
        <v>1</v>
      </c>
      <c r="T18" s="143">
        <v>6</v>
      </c>
      <c r="U18" s="143">
        <v>1</v>
      </c>
      <c r="V18" s="143">
        <v>8</v>
      </c>
      <c r="W18" s="143"/>
      <c r="X18" s="534">
        <f t="shared" si="3"/>
        <v>3.5</v>
      </c>
      <c r="Y18" s="143">
        <v>5</v>
      </c>
      <c r="Z18" s="143"/>
      <c r="AA18" s="143"/>
      <c r="AB18" s="143" t="s">
        <v>255</v>
      </c>
      <c r="AC18" s="534">
        <f t="shared" si="4"/>
        <v>7.5</v>
      </c>
      <c r="AD18" s="143">
        <v>7</v>
      </c>
      <c r="AE18" s="143">
        <v>2</v>
      </c>
      <c r="AF18" s="143">
        <v>5</v>
      </c>
      <c r="AG18" s="143"/>
      <c r="AH18" s="534">
        <f t="shared" si="5"/>
        <v>4</v>
      </c>
      <c r="AI18" s="143">
        <v>7</v>
      </c>
      <c r="AJ18" s="143">
        <v>4</v>
      </c>
      <c r="AK18" s="143">
        <v>3</v>
      </c>
      <c r="AL18" s="143" t="s">
        <v>254</v>
      </c>
      <c r="AM18" s="534">
        <f t="shared" si="6"/>
        <v>2</v>
      </c>
      <c r="AN18" s="143">
        <v>11</v>
      </c>
      <c r="AO18" s="143">
        <v>9</v>
      </c>
      <c r="AP18" s="143">
        <v>8</v>
      </c>
      <c r="AQ18" s="143"/>
      <c r="AR18" s="534">
        <f t="shared" si="7"/>
        <v>0</v>
      </c>
      <c r="AS18" s="143">
        <v>1</v>
      </c>
      <c r="AT18" s="143">
        <v>7</v>
      </c>
      <c r="AU18" s="143">
        <v>4</v>
      </c>
      <c r="AV18" s="143" t="s">
        <v>254</v>
      </c>
      <c r="AW18" s="534">
        <f t="shared" si="8"/>
        <v>5</v>
      </c>
      <c r="AX18" s="143">
        <v>1</v>
      </c>
      <c r="AY18" s="143">
        <v>9</v>
      </c>
      <c r="AZ18" s="143">
        <v>8</v>
      </c>
      <c r="BA18" s="143"/>
      <c r="BB18" s="534">
        <f t="shared" si="9"/>
        <v>4</v>
      </c>
      <c r="BC18" s="143">
        <v>2</v>
      </c>
      <c r="BD18" s="143">
        <v>8</v>
      </c>
      <c r="BE18" s="143">
        <v>4</v>
      </c>
      <c r="BF18" s="143"/>
      <c r="BG18" s="534">
        <f t="shared" si="10"/>
        <v>1</v>
      </c>
      <c r="BH18" s="143">
        <v>5</v>
      </c>
      <c r="BI18" s="143">
        <v>1</v>
      </c>
      <c r="BJ18" s="143">
        <v>3</v>
      </c>
      <c r="BK18" s="143"/>
      <c r="BL18" s="534">
        <f t="shared" si="11"/>
        <v>0</v>
      </c>
      <c r="BM18" s="143">
        <v>1</v>
      </c>
      <c r="BN18" s="143">
        <v>2</v>
      </c>
      <c r="BO18" s="143">
        <v>9</v>
      </c>
      <c r="BP18" s="143"/>
      <c r="BQ18" s="534">
        <f t="shared" si="12"/>
        <v>0</v>
      </c>
      <c r="BR18" s="143"/>
      <c r="BS18" s="143"/>
      <c r="BT18" s="143"/>
      <c r="BU18" s="143"/>
      <c r="BV18" s="534">
        <f t="shared" si="13"/>
        <v>0</v>
      </c>
      <c r="BW18" s="143"/>
      <c r="BX18" s="143"/>
      <c r="BY18" s="143"/>
      <c r="BZ18" s="143"/>
      <c r="CA18" s="534">
        <f t="shared" si="14"/>
        <v>0</v>
      </c>
      <c r="CB18" s="143"/>
      <c r="CC18" s="143"/>
      <c r="CD18" s="143"/>
      <c r="CE18" s="143"/>
      <c r="CF18" s="534">
        <f t="shared" si="15"/>
        <v>0</v>
      </c>
      <c r="CG18" s="162">
        <f>IF(BASE01[[#This Row],[1]]="",0,$B$4)</f>
        <v>13</v>
      </c>
      <c r="CH18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4</v>
      </c>
      <c r="CI18" s="164">
        <f>IF(BASE01[[#This Row],[Columna14]]=0,0,(CH18/CG18))</f>
        <v>0.30769230769230771</v>
      </c>
      <c r="CJ18" s="163">
        <f>IF(BASE01[[#This Row],[1]]="",0,$B$4)</f>
        <v>13</v>
      </c>
      <c r="CK18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7</v>
      </c>
      <c r="CL18" s="164">
        <f>IF(BASE01[[#This Row],[Columna14]]=0,0,(CK18/CJ18))</f>
        <v>0.53846153846153844</v>
      </c>
      <c r="CM18" s="162">
        <f>IF(BASE01[[#This Row],[1]]="",0,$B$4)</f>
        <v>13</v>
      </c>
      <c r="CN18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10</v>
      </c>
      <c r="CO18" s="164">
        <f>IF(BASE01[[#This Row],[Columna14]]=0,0,(CN18/CM18))</f>
        <v>0.76923076923076927</v>
      </c>
      <c r="CP18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18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Row],[Columna25]],$AX$5,BA18,"SF")+COUNTIFS(BASE01[[#This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1</v>
      </c>
      <c r="CR18" s="164">
        <f>IF(BASE01[[#This Row],[Columna14]]=0,0,(CQ18/CP18))</f>
        <v>0.33333333333333331</v>
      </c>
      <c r="CS18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36</v>
      </c>
      <c r="CT18" s="93"/>
      <c r="CU18" s="536">
        <f t="shared" si="16"/>
        <v>36</v>
      </c>
      <c r="CV18" s="94">
        <f>IF(BASE01[[#This Row],[TIPO]]="PREMIO",$O$3,"0,00")</f>
        <v>1000</v>
      </c>
      <c r="CW18" s="515"/>
      <c r="CY18" s="388">
        <v>11</v>
      </c>
      <c r="CZ18" s="349">
        <f>BD$6</f>
        <v>184.94</v>
      </c>
      <c r="DB18" s="537" t="str">
        <f>BASE01[[#This Row],[COD]]</f>
        <v>COD 11</v>
      </c>
      <c r="DC18" s="390" t="str">
        <f t="array" ref="DC18">IFERROR(IF(AND(INDEX($E$8:$CE$57, MATCH($C18, $C$8:$C$57, 0), (COLUMNS($DC18:DC18)-1)*5 + 1) = INDEX($E$5:$CE$5, 1, (COLUMNS($DC18:DC18)-1)*5 + 1), INDEX($E$8:$CE$57, MATCH($C18, $C$8:$C$57, 0), (COLUMNS($DC18:DC18)-1)*5 + 4) = "F"), INDEX($CZ$8:$CZ$23, COLUMNS($DC18:DC18)), "0"), "")</f>
        <v>0</v>
      </c>
      <c r="DD18" s="390" t="str">
        <f t="array" ref="DD18">IFERROR(IF(AND(INDEX($E$8:$CE$57, MATCH($C18, $C$8:$C$57, 0), (COLUMNS($DC18:DD18)-1)*5 + 1) = INDEX($E$5:$CE$5, 1, (COLUMNS($DC18:DD18)-1)*5 + 1), INDEX($E$8:$CE$57, MATCH($C18, $C$8:$C$57, 0), (COLUMNS($DC18:DD18)-1)*5 + 4) = "F"), INDEX($CZ$8:$CZ$23, COLUMNS($DC18:DD18)), "0"), "")</f>
        <v>0</v>
      </c>
      <c r="DE18" s="390" t="str">
        <f t="array" ref="DE18">IFERROR(IF(AND(INDEX($E$8:$CE$57, MATCH($C18, $C$8:$C$57, 0), (COLUMNS($DC18:DE18)-1)*5 + 1) = INDEX($E$5:$CE$5, 1, (COLUMNS($DC18:DE18)-1)*5 + 1), INDEX($E$8:$CE$57, MATCH($C18, $C$8:$C$57, 0), (COLUMNS($DC18:DE18)-1)*5 + 4) = "F"), INDEX($CZ$8:$CZ$23, COLUMNS($DC18:DE18)), "0"), "")</f>
        <v>0</v>
      </c>
      <c r="DF18" s="390" t="str">
        <f t="array" ref="DF18">IFERROR(IF(AND(INDEX($E$8:$CE$57, MATCH($C18, $C$8:$C$57, 0), (COLUMNS($DC18:DF18)-1)*5 + 1) = INDEX($E$5:$CE$5, 1, (COLUMNS($DC18:DF18)-1)*5 + 1), INDEX($E$8:$CE$57, MATCH($C18, $C$8:$C$57, 0), (COLUMNS($DC18:DF18)-1)*5 + 4) = "F"), INDEX($CZ$8:$CZ$23, COLUMNS($DC18:DF18)), "0"), "")</f>
        <v>0</v>
      </c>
      <c r="DG18" s="390" t="str">
        <f t="array" ref="DG18">IFERROR(IF(AND(INDEX($E$8:$CE$57, MATCH($C18, $C$8:$C$57, 0), (COLUMNS($DC18:DG18)-1)*5 + 1) = INDEX($E$5:$CE$5, 1, (COLUMNS($DC18:DG18)-1)*5 + 1), INDEX($E$8:$CE$57, MATCH($C18, $C$8:$C$57, 0), (COLUMNS($DC18:DG18)-1)*5 + 4) = "F"), INDEX($CZ$8:$CZ$23, COLUMNS($DC18:DG18)), "0"), "")</f>
        <v>0</v>
      </c>
      <c r="DH18" s="390" t="str">
        <f t="array" ref="DH18">IFERROR(IF(AND(INDEX($E$8:$CE$57, MATCH($C18, $C$8:$C$57, 0), (COLUMNS($DC18:DH18)-1)*5 + 1) = INDEX($E$5:$CE$5, 1, (COLUMNS($DC18:DH18)-1)*5 + 1), INDEX($E$8:$CE$57, MATCH($C18, $C$8:$C$57, 0), (COLUMNS($DC18:DH18)-1)*5 + 4) = "F"), INDEX($CZ$8:$CZ$23, COLUMNS($DC18:DH18)), "0"), "")</f>
        <v>0</v>
      </c>
      <c r="DI18" s="390" t="str">
        <f t="array" ref="DI18">IFERROR(IF(AND(INDEX($E$8:$CE$57, MATCH($C18, $C$8:$C$57, 0), (COLUMNS($DC18:DI18)-1)*5 + 1) = INDEX($E$5:$CE$5, 1, (COLUMNS($DC18:DI18)-1)*5 + 1), INDEX($E$8:$CE$57, MATCH($C18, $C$8:$C$57, 0), (COLUMNS($DC18:DI18)-1)*5 + 4) = "F"), INDEX($CZ$8:$CZ$23, COLUMNS($DC18:DI18)), "0"), "")</f>
        <v>0</v>
      </c>
      <c r="DJ18" s="390" t="str">
        <f t="array" ref="DJ18">IFERROR(IF(AND(INDEX($E$8:$CE$57, MATCH($C18, $C$8:$C$57, 0), (COLUMNS($DC18:DJ18)-1)*5 + 1) = INDEX($E$5:$CE$5, 1, (COLUMNS($DC18:DJ18)-1)*5 + 1), INDEX($E$8:$CE$57, MATCH($C18, $C$8:$C$57, 0), (COLUMNS($DC18:DJ18)-1)*5 + 4) = "F"), INDEX($CZ$8:$CZ$23, COLUMNS($DC18:DJ18)), "0"), "")</f>
        <v>0</v>
      </c>
      <c r="DK18" s="390" t="str">
        <f t="array" ref="DK18">IFERROR(IF(AND(INDEX($E$8:$CE$57, MATCH($C18, $C$8:$C$57, 0), (COLUMNS($DC18:DK18)-1)*5 + 1) = INDEX($E$5:$CE$5, 1, (COLUMNS($DC18:DK18)-1)*5 + 1), INDEX($E$8:$CE$57, MATCH($C18, $C$8:$C$57, 0), (COLUMNS($DC18:DK18)-1)*5 + 4) = "F"), INDEX($CZ$8:$CZ$23, COLUMNS($DC18:DK18)), "0"), "")</f>
        <v>0</v>
      </c>
      <c r="DL18" s="390" t="str">
        <f t="array" ref="DL18">IFERROR(IF(AND(INDEX($E$8:$CE$57, MATCH($C18, $C$8:$C$57, 0), (COLUMNS($DC18:DL18)-1)*5 + 1) = INDEX($E$5:$CE$5, 1, (COLUMNS($DC18:DL18)-1)*5 + 1), INDEX($E$8:$CE$57, MATCH($C18, $C$8:$C$57, 0), (COLUMNS($DC18:DL18)-1)*5 + 4) = "F"), INDEX($CZ$8:$CZ$23, COLUMNS($DC18:DL18)), "0"), "")</f>
        <v>0</v>
      </c>
      <c r="DM18" s="390" t="str">
        <f t="array" ref="DM18">IFERROR(IF(AND(INDEX($E$8:$CE$57, MATCH($C18, $C$8:$C$57, 0), (COLUMNS($DC18:DM18)-1)*5 + 1) = INDEX($E$5:$CE$5, 1, (COLUMNS($DC18:DM18)-1)*5 + 1), INDEX($E$8:$CE$57, MATCH($C18, $C$8:$C$57, 0), (COLUMNS($DC18:DM18)-1)*5 + 4) = "F"), INDEX($CZ$8:$CZ$23, COLUMNS($DC18:DM18)), "0"), "")</f>
        <v>0</v>
      </c>
      <c r="DN18" s="390" t="str">
        <f t="array" ref="DN18">IFERROR(IF(AND(INDEX($E$8:$CE$57, MATCH($C18, $C$8:$C$57, 0), (COLUMNS($DC18:DN18)-1)*5 + 1) = INDEX($E$5:$CE$5, 1, (COLUMNS($DC18:DN18)-1)*5 + 1), INDEX($E$8:$CE$57, MATCH($C18, $C$8:$C$57, 0), (COLUMNS($DC18:DN18)-1)*5 + 4) = "F"), INDEX($CZ$8:$CZ$23, COLUMNS($DC18:DN18)), "0"), "")</f>
        <v>0</v>
      </c>
      <c r="DO18" s="390" t="str">
        <f t="array" ref="DO18">IFERROR(IF(AND(INDEX($E$8:$CE$57, MATCH($C18, $C$8:$C$57, 0), (COLUMNS($DC18:DO18)-1)*5 + 1) = INDEX($E$5:$CE$5, 1, (COLUMNS($DC18:DO18)-1)*5 + 1), INDEX($E$8:$CE$57, MATCH($C18, $C$8:$C$57, 0), (COLUMNS($DC18:DO18)-1)*5 + 4) = "F"), INDEX($CZ$8:$CZ$23, COLUMNS($DC18:DO18)), "0"), "")</f>
        <v>0</v>
      </c>
      <c r="DP18" s="390" t="str">
        <f t="array" ref="DP18">IFERROR(IF(AND(INDEX($E$8:$CE$57, MATCH($C18, $C$8:$C$57, 0), (COLUMNS($DC18:DP18)-1)*5 + 1) = INDEX($E$5:$CE$5, 1, (COLUMNS($DC18:DP18)-1)*5 + 1), INDEX($E$8:$CE$57, MATCH($C18, $C$8:$C$57, 0), (COLUMNS($DC18:DP18)-1)*5 + 4) = "F"), INDEX($CZ$8:$CZ$23, COLUMNS($DC18:DP18)), "0"), "")</f>
        <v>0</v>
      </c>
      <c r="DQ18" s="390" t="str">
        <f t="array" ref="DQ18">IFERROR(IF(AND(INDEX($E$8:$CE$57, MATCH($C18, $C$8:$C$57, 0), (COLUMNS($DC18:DQ18)-1)*5 + 1) = INDEX($E$5:$CE$5, 1, (COLUMNS($DC18:DQ18)-1)*5 + 1), INDEX($E$8:$CE$57, MATCH($C18, $C$8:$C$57, 0), (COLUMNS($DC18:DQ18)-1)*5 + 4) = "F"), INDEX($CZ$8:$CZ$23, COLUMNS($DC18:DQ18)), "0"), "")</f>
        <v>0</v>
      </c>
      <c r="DR18" s="390" t="str">
        <f t="array" ref="DR18">IFERROR(IF(AND(INDEX($E$8:$CE$57, MATCH($C18, $C$8:$C$57, 0), (COLUMNS($DC18:DR18)-1)*5 + 1) = INDEX($E$5:$CE$5, 1, (COLUMNS($DC18:DR18)-1)*5 + 1), INDEX($E$8:$CE$57, MATCH($C18, $C$8:$C$57, 0), (COLUMNS($DC18:DR18)-1)*5 + 4) = "F"), INDEX($CZ$8:$CZ$23, COLUMNS($DC18:DR18)), "0"), "")</f>
        <v>0</v>
      </c>
      <c r="DT18" s="537" t="str">
        <f>BASE01[[#This Row],[COD]]</f>
        <v>COD 11</v>
      </c>
      <c r="DU18" s="390" t="str">
        <f t="array" ref="DU18">IFERROR(IF(AND(INDEX($E$8:$CE$57, MATCH($C18, $C$8:$C$57, 0), (COLUMNS($DU18:DU18)-1)*5 + 1) = INDEX($E$5:$CE$5, 1, (COLUMNS($DU18:DU18)-1)*5 + 1), INDEX($E$8:$CE$57, MATCH($C18, $C$8:$C$57, 0), (COLUMNS($DU18:DU18)-1)*5 + 4) = "SF"), INDEX($CZ$8:$CZ$23, COLUMNS($DU18:DU18)), "0"), "")</f>
        <v>0</v>
      </c>
      <c r="DV18" s="390" t="str">
        <f t="array" ref="DV18">IFERROR(IF(AND(INDEX($E$8:$CE$57, MATCH($C18, $C$8:$C$57, 0), (COLUMNS($DU18:DV18)-1)*5 + 1) = INDEX($E$5:$CE$5, 1, (COLUMNS($DU18:DV18)-1)*5 + 1), INDEX($E$8:$CE$57, MATCH($C18, $C$8:$C$57, 0), (COLUMNS($DU18:DV18)-1)*5 + 4) = "SF"), INDEX($CZ$8:$CZ$23, COLUMNS($DU18:DV18)), "0"), "")</f>
        <v>0</v>
      </c>
      <c r="DW18" s="390" t="str">
        <f t="array" ref="DW18">IFERROR(IF(AND(INDEX($E$8:$CE$57, MATCH($C18, $C$8:$C$57, 0), (COLUMNS($DU18:DW18)-1)*5 + 1) = INDEX($E$5:$CE$5, 1, (COLUMNS($DU18:DW18)-1)*5 + 1), INDEX($E$8:$CE$57, MATCH($C18, $C$8:$C$57, 0), (COLUMNS($DU18:DW18)-1)*5 + 4) = "SF"), INDEX($CZ$8:$CZ$23, COLUMNS($DU18:DW18)), "0"), "")</f>
        <v>0</v>
      </c>
      <c r="DX18" s="390" t="str">
        <f t="array" ref="DX18">IFERROR(IF(AND(INDEX($E$8:$CE$57, MATCH($C18, $C$8:$C$57, 0), (COLUMNS($DU18:DX18)-1)*5 + 1) = INDEX($E$5:$CE$5, 1, (COLUMNS($DU18:DX18)-1)*5 + 1), INDEX($E$8:$CE$57, MATCH($C18, $C$8:$C$57, 0), (COLUMNS($DU18:DX18)-1)*5 + 4) = "SF"), INDEX($CZ$8:$CZ$23, COLUMNS($DU18:DX18)), "0"), "")</f>
        <v>0</v>
      </c>
      <c r="DY18" s="390">
        <f t="array" ref="DY18">IFERROR(IF(AND(INDEX($E$8:$CE$57, MATCH($C18, $C$8:$C$57, 0), (COLUMNS($DU18:DY18)-1)*5 + 1) = INDEX($E$5:$CE$5, 1, (COLUMNS($DU18:DY18)-1)*5 + 1), INDEX($E$8:$CE$57, MATCH($C18, $C$8:$C$57, 0), (COLUMNS($DU18:DY18)-1)*5 + 4) = "SF"), INDEX($CZ$8:$CZ$23, COLUMNS($DU18:DY18)), "0"), "")</f>
        <v>110</v>
      </c>
      <c r="DZ18" s="390" t="str">
        <f t="array" ref="DZ18">IFERROR(IF(AND(INDEX($E$8:$CE$57, MATCH($C18, $C$8:$C$57, 0), (COLUMNS($DU18:DZ18)-1)*5 + 1) = INDEX($E$5:$CE$5, 1, (COLUMNS($DU18:DZ18)-1)*5 + 1), INDEX($E$8:$CE$57, MATCH($C18, $C$8:$C$57, 0), (COLUMNS($DU18:DZ18)-1)*5 + 4) = "SF"), INDEX($CZ$8:$CZ$23, COLUMNS($DU18:DZ18)), "0"), "")</f>
        <v>0</v>
      </c>
      <c r="EA18" s="390" t="str">
        <f t="array" ref="EA18">IFERROR(IF(AND(INDEX($E$8:$CE$57, MATCH($C18, $C$8:$C$57, 0), (COLUMNS($DU18:EA18)-1)*5 + 1) = INDEX($E$5:$CE$5, 1, (COLUMNS($DU18:EA18)-1)*5 + 1), INDEX($E$8:$CE$57, MATCH($C18, $C$8:$C$57, 0), (COLUMNS($DU18:EA18)-1)*5 + 4) = "SF"), INDEX($CZ$8:$CZ$23, COLUMNS($DU18:EA18)), "0"), "")</f>
        <v>0</v>
      </c>
      <c r="EB18" s="390" t="str">
        <f t="array" ref="EB18">IFERROR(IF(AND(INDEX($E$8:$CE$57, MATCH($C18, $C$8:$C$57, 0), (COLUMNS($DU18:EB18)-1)*5 + 1) = INDEX($E$5:$CE$5, 1, (COLUMNS($DU18:EB18)-1)*5 + 1), INDEX($E$8:$CE$57, MATCH($C18, $C$8:$C$57, 0), (COLUMNS($DU18:EB18)-1)*5 + 4) = "SF"), INDEX($CZ$8:$CZ$23, COLUMNS($DU18:EB18)), "0"), "")</f>
        <v>0</v>
      </c>
      <c r="EC18" s="390" t="str">
        <f t="array" ref="EC18">IFERROR(IF(AND(INDEX($E$8:$CE$57, MATCH($C18, $C$8:$C$57, 0), (COLUMNS($DU18:EC18)-1)*5 + 1) = INDEX($E$5:$CE$5, 1, (COLUMNS($DU18:EC18)-1)*5 + 1), INDEX($E$8:$CE$57, MATCH($C18, $C$8:$C$57, 0), (COLUMNS($DU18:EC18)-1)*5 + 4) = "SF"), INDEX($CZ$8:$CZ$23, COLUMNS($DU18:EC18)), "0"), "")</f>
        <v>0</v>
      </c>
      <c r="ED18" s="390" t="str">
        <f t="array" ref="ED18">IFERROR(IF(AND(INDEX($E$8:$CE$57, MATCH($C18, $C$8:$C$57, 0), (COLUMNS($DU18:ED18)-1)*5 + 1) = INDEX($E$5:$CE$5, 1, (COLUMNS($DU18:ED18)-1)*5 + 1), INDEX($E$8:$CE$57, MATCH($C18, $C$8:$C$57, 0), (COLUMNS($DU18:ED18)-1)*5 + 4) = "SF"), INDEX($CZ$8:$CZ$23, COLUMNS($DU18:ED18)), "0"), "")</f>
        <v>0</v>
      </c>
      <c r="EE18" s="390" t="str">
        <f t="array" ref="EE18">IFERROR(IF(AND(INDEX($E$8:$CE$57, MATCH($C18, $C$8:$C$57, 0), (COLUMNS($DU18:EE18)-1)*5 + 1) = INDEX($E$5:$CE$5, 1, (COLUMNS($DU18:EE18)-1)*5 + 1), INDEX($E$8:$CE$57, MATCH($C18, $C$8:$C$57, 0), (COLUMNS($DU18:EE18)-1)*5 + 4) = "SF"), INDEX($CZ$8:$CZ$23, COLUMNS($DU18:EE18)), "0"), "")</f>
        <v>0</v>
      </c>
      <c r="EF18" s="390" t="str">
        <f t="array" ref="EF18">IFERROR(IF(AND(INDEX($E$8:$CE$57, MATCH($C18, $C$8:$C$57, 0), (COLUMNS($DU18:EF18)-1)*5 + 1) = INDEX($E$5:$CE$5, 1, (COLUMNS($DU18:EF18)-1)*5 + 1), INDEX($E$8:$CE$57, MATCH($C18, $C$8:$C$57, 0), (COLUMNS($DU18:EF18)-1)*5 + 4) = "SF"), INDEX($CZ$8:$CZ$23, COLUMNS($DU18:EF18)), "0"), "")</f>
        <v>0</v>
      </c>
      <c r="EG18" s="390" t="str">
        <f t="array" ref="EG18">IFERROR(IF(AND(INDEX($E$8:$CE$57, MATCH($C18, $C$8:$C$57, 0), (COLUMNS($DU18:EG18)-1)*5 + 1) = INDEX($E$5:$CE$5, 1, (COLUMNS($DU18:EG18)-1)*5 + 1), INDEX($E$8:$CE$57, MATCH($C18, $C$8:$C$57, 0), (COLUMNS($DU18:EG18)-1)*5 + 4) = "SF"), INDEX($CZ$8:$CZ$23, COLUMNS($DU18:EG18)), "0"), "")</f>
        <v>0</v>
      </c>
      <c r="EH18" s="390" t="str">
        <f t="array" ref="EH18">IFERROR(IF(AND(INDEX($E$8:$CE$57, MATCH($C18, $C$8:$C$57, 0), (COLUMNS($DU18:EH18)-1)*5 + 1) = INDEX($E$5:$CE$5, 1, (COLUMNS($DU18:EH18)-1)*5 + 1), INDEX($E$8:$CE$57, MATCH($C18, $C$8:$C$57, 0), (COLUMNS($DU18:EH18)-1)*5 + 4) = "SF"), INDEX($CZ$8:$CZ$23, COLUMNS($DU18:EH18)), "0"), "")</f>
        <v>0</v>
      </c>
      <c r="EI18" s="390" t="str">
        <f t="array" ref="EI18">IFERROR(IF(AND(INDEX($E$8:$CE$57, MATCH($C18, $C$8:$C$57, 0), (COLUMNS($DU18:EI18)-1)*5 + 1) = INDEX($E$5:$CE$5, 1, (COLUMNS($DU18:EI18)-1)*5 + 1), INDEX($E$8:$CE$57, MATCH($C18, $C$8:$C$57, 0), (COLUMNS($DU18:EI18)-1)*5 + 4) = "SF"), INDEX($CZ$8:$CZ$23, COLUMNS($DU18:EI18)), "0"), "")</f>
        <v>0</v>
      </c>
      <c r="EJ18" s="390" t="str">
        <f t="array" ref="EJ18">IFERROR(IF(AND(INDEX($E$8:$CE$57, MATCH($C18, $C$8:$C$57, 0), (COLUMNS($DU18:EJ18)-1)*5 + 1) = INDEX($E$5:$CE$5, 1, (COLUMNS($DU18:EJ18)-1)*5 + 1), INDEX($E$8:$CE$57, MATCH($C18, $C$8:$C$57, 0), (COLUMNS($DU18:EJ18)-1)*5 + 4) = "SF"), INDEX($CZ$8:$CZ$23, COLUMNS($DU18:EJ18)), "0"), "")</f>
        <v>0</v>
      </c>
    </row>
    <row r="19" spans="1:140" ht="20.100000000000001" customHeight="1" x14ac:dyDescent="0.35">
      <c r="A19" s="515"/>
      <c r="B19" s="91">
        <f>IF(BASE01[[#This Row],[COD]]&lt;&gt;"",B18+1,"")</f>
        <v>12</v>
      </c>
      <c r="C19" s="533" t="s">
        <v>55</v>
      </c>
      <c r="D19" s="92" t="str">
        <f t="array" ref="D19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NO ENVIÓ</v>
      </c>
      <c r="E19" s="146">
        <v>1</v>
      </c>
      <c r="F19" s="146">
        <v>8</v>
      </c>
      <c r="G19" s="146">
        <v>6</v>
      </c>
      <c r="H19" s="146"/>
      <c r="I19" s="534">
        <f t="shared" si="0"/>
        <v>2</v>
      </c>
      <c r="J19" s="146">
        <v>8</v>
      </c>
      <c r="K19" s="146">
        <v>3</v>
      </c>
      <c r="L19" s="146">
        <v>1</v>
      </c>
      <c r="M19" s="146"/>
      <c r="N19" s="534">
        <f t="shared" si="1"/>
        <v>2</v>
      </c>
      <c r="O19" s="146">
        <v>3</v>
      </c>
      <c r="P19" s="146">
        <v>6</v>
      </c>
      <c r="Q19" s="146">
        <v>2</v>
      </c>
      <c r="R19" s="146"/>
      <c r="S19" s="534">
        <f t="shared" si="2"/>
        <v>2</v>
      </c>
      <c r="T19" s="146">
        <v>6</v>
      </c>
      <c r="U19" s="146">
        <v>8</v>
      </c>
      <c r="V19" s="146">
        <v>4</v>
      </c>
      <c r="W19" s="146"/>
      <c r="X19" s="534">
        <f t="shared" si="3"/>
        <v>3.5</v>
      </c>
      <c r="Y19" s="146">
        <v>5</v>
      </c>
      <c r="Z19" s="146">
        <v>10</v>
      </c>
      <c r="AA19" s="146">
        <v>4</v>
      </c>
      <c r="AB19" s="146" t="s">
        <v>254</v>
      </c>
      <c r="AC19" s="534">
        <f t="shared" si="4"/>
        <v>4.5</v>
      </c>
      <c r="AD19" s="146">
        <v>2</v>
      </c>
      <c r="AE19" s="146">
        <v>7</v>
      </c>
      <c r="AF19" s="146">
        <v>5</v>
      </c>
      <c r="AG19" s="146"/>
      <c r="AH19" s="534">
        <f t="shared" si="5"/>
        <v>6</v>
      </c>
      <c r="AI19" s="146">
        <v>2</v>
      </c>
      <c r="AJ19" s="146">
        <v>4</v>
      </c>
      <c r="AK19" s="146">
        <v>3</v>
      </c>
      <c r="AL19" s="146"/>
      <c r="AM19" s="534">
        <f t="shared" si="6"/>
        <v>2</v>
      </c>
      <c r="AN19" s="146">
        <v>8</v>
      </c>
      <c r="AO19" s="146">
        <v>10</v>
      </c>
      <c r="AP19" s="146">
        <v>9</v>
      </c>
      <c r="AQ19" s="146" t="s">
        <v>254</v>
      </c>
      <c r="AR19" s="534">
        <f t="shared" si="7"/>
        <v>0</v>
      </c>
      <c r="AS19" s="146">
        <v>7</v>
      </c>
      <c r="AT19" s="146">
        <v>1</v>
      </c>
      <c r="AU19" s="146">
        <v>2</v>
      </c>
      <c r="AV19" s="146"/>
      <c r="AW19" s="534">
        <f t="shared" si="8"/>
        <v>0</v>
      </c>
      <c r="AX19" s="146">
        <v>9</v>
      </c>
      <c r="AY19" s="146">
        <v>1</v>
      </c>
      <c r="AZ19" s="146">
        <v>8</v>
      </c>
      <c r="BA19" s="146"/>
      <c r="BB19" s="534">
        <f t="shared" si="9"/>
        <v>2</v>
      </c>
      <c r="BC19" s="146">
        <v>2</v>
      </c>
      <c r="BD19" s="146">
        <v>4</v>
      </c>
      <c r="BE19" s="146">
        <v>6</v>
      </c>
      <c r="BF19" s="146"/>
      <c r="BG19" s="534">
        <f t="shared" si="10"/>
        <v>2</v>
      </c>
      <c r="BH19" s="146">
        <v>5</v>
      </c>
      <c r="BI19" s="146">
        <v>1</v>
      </c>
      <c r="BJ19" s="146">
        <v>6</v>
      </c>
      <c r="BK19" s="146"/>
      <c r="BL19" s="534">
        <f t="shared" si="11"/>
        <v>0</v>
      </c>
      <c r="BM19" s="146">
        <v>9</v>
      </c>
      <c r="BN19" s="146">
        <v>2</v>
      </c>
      <c r="BO19" s="146">
        <v>10</v>
      </c>
      <c r="BP19" s="146"/>
      <c r="BQ19" s="534">
        <f t="shared" si="12"/>
        <v>0</v>
      </c>
      <c r="BR19" s="146"/>
      <c r="BS19" s="146"/>
      <c r="BT19" s="146"/>
      <c r="BU19" s="146"/>
      <c r="BV19" s="534">
        <f t="shared" si="13"/>
        <v>0</v>
      </c>
      <c r="BW19" s="146"/>
      <c r="BX19" s="146"/>
      <c r="BY19" s="146"/>
      <c r="BZ19" s="146"/>
      <c r="CA19" s="534">
        <f t="shared" si="14"/>
        <v>0</v>
      </c>
      <c r="CB19" s="146"/>
      <c r="CC19" s="146"/>
      <c r="CD19" s="146"/>
      <c r="CE19" s="146"/>
      <c r="CF19" s="534">
        <f t="shared" si="15"/>
        <v>0</v>
      </c>
      <c r="CG19" s="162">
        <f>IF(BASE01[[#This Row],[1]]="",0,$B$4)</f>
        <v>13</v>
      </c>
      <c r="CH19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3</v>
      </c>
      <c r="CI19" s="164">
        <f>IF(BASE01[[#This Row],[Columna14]]=0,0,(CH19/CG19))</f>
        <v>0.23076923076923078</v>
      </c>
      <c r="CJ19" s="163">
        <f>IF(BASE01[[#This Row],[1]]="",0,$B$4)</f>
        <v>13</v>
      </c>
      <c r="CK19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9</v>
      </c>
      <c r="CL19" s="164">
        <f>IF(BASE01[[#This Row],[Columna14]]=0,0,(CK19/CJ19))</f>
        <v>0.69230769230769229</v>
      </c>
      <c r="CM19" s="162">
        <f>IF(BASE01[[#This Row],[1]]="",0,$B$4)</f>
        <v>13</v>
      </c>
      <c r="CN19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9</v>
      </c>
      <c r="CO19" s="164">
        <f>IF(BASE01[[#This Row],[Columna14]]=0,0,(CN19/CM19))</f>
        <v>0.69230769230769229</v>
      </c>
      <c r="CP19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2</v>
      </c>
      <c r="CQ19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Row],[Columna25]],$AX$5,BA19,"SF")+COUNTIFS(BASE01[[#This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1</v>
      </c>
      <c r="CR19" s="164">
        <f>IF(BASE01[[#This Row],[Columna14]]=0,0,(CQ19/CP19))</f>
        <v>0.5</v>
      </c>
      <c r="CS19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26</v>
      </c>
      <c r="CT19" s="93"/>
      <c r="CU19" s="536">
        <f t="shared" si="16"/>
        <v>26</v>
      </c>
      <c r="CV19" s="94" t="str">
        <f>IF(BASE01[[#This Row],[TIPO]]="PREMIO",$O$3,"0,00")</f>
        <v>0,00</v>
      </c>
      <c r="CW19" s="515"/>
      <c r="CY19" s="388">
        <v>12</v>
      </c>
      <c r="CZ19" s="349">
        <f>BI$6</f>
        <v>532.80999999999995</v>
      </c>
      <c r="DB19" s="537" t="str">
        <f>BASE01[[#This Row],[COD]]</f>
        <v>COD 12</v>
      </c>
      <c r="DC19" s="390" t="str">
        <f t="array" ref="DC19">IFERROR(IF(AND(INDEX($E$8:$CE$57, MATCH($C19, $C$8:$C$57, 0), (COLUMNS($DC19:DC19)-1)*5 + 1) = INDEX($E$5:$CE$5, 1, (COLUMNS($DC19:DC19)-1)*5 + 1), INDEX($E$8:$CE$57, MATCH($C19, $C$8:$C$57, 0), (COLUMNS($DC19:DC19)-1)*5 + 4) = "F"), INDEX($CZ$8:$CZ$23, COLUMNS($DC19:DC19)), "0"), "")</f>
        <v>0</v>
      </c>
      <c r="DD19" s="390" t="str">
        <f t="array" ref="DD19">IFERROR(IF(AND(INDEX($E$8:$CE$57, MATCH($C19, $C$8:$C$57, 0), (COLUMNS($DC19:DD19)-1)*5 + 1) = INDEX($E$5:$CE$5, 1, (COLUMNS($DC19:DD19)-1)*5 + 1), INDEX($E$8:$CE$57, MATCH($C19, $C$8:$C$57, 0), (COLUMNS($DC19:DD19)-1)*5 + 4) = "F"), INDEX($CZ$8:$CZ$23, COLUMNS($DC19:DD19)), "0"), "")</f>
        <v>0</v>
      </c>
      <c r="DE19" s="390" t="str">
        <f t="array" ref="DE19">IFERROR(IF(AND(INDEX($E$8:$CE$57, MATCH($C19, $C$8:$C$57, 0), (COLUMNS($DC19:DE19)-1)*5 + 1) = INDEX($E$5:$CE$5, 1, (COLUMNS($DC19:DE19)-1)*5 + 1), INDEX($E$8:$CE$57, MATCH($C19, $C$8:$C$57, 0), (COLUMNS($DC19:DE19)-1)*5 + 4) = "F"), INDEX($CZ$8:$CZ$23, COLUMNS($DC19:DE19)), "0"), "")</f>
        <v>0</v>
      </c>
      <c r="DF19" s="390" t="str">
        <f t="array" ref="DF19">IFERROR(IF(AND(INDEX($E$8:$CE$57, MATCH($C19, $C$8:$C$57, 0), (COLUMNS($DC19:DF19)-1)*5 + 1) = INDEX($E$5:$CE$5, 1, (COLUMNS($DC19:DF19)-1)*5 + 1), INDEX($E$8:$CE$57, MATCH($C19, $C$8:$C$57, 0), (COLUMNS($DC19:DF19)-1)*5 + 4) = "F"), INDEX($CZ$8:$CZ$23, COLUMNS($DC19:DF19)), "0"), "")</f>
        <v>0</v>
      </c>
      <c r="DG19" s="390">
        <f t="array" ref="DG19">IFERROR(IF(AND(INDEX($E$8:$CE$57, MATCH($C19, $C$8:$C$57, 0), (COLUMNS($DC19:DG19)-1)*5 + 1) = INDEX($E$5:$CE$5, 1, (COLUMNS($DC19:DG19)-1)*5 + 1), INDEX($E$8:$CE$57, MATCH($C19, $C$8:$C$57, 0), (COLUMNS($DC19:DG19)-1)*5 + 4) = "F"), INDEX($CZ$8:$CZ$23, COLUMNS($DC19:DG19)), "0"), "")</f>
        <v>110</v>
      </c>
      <c r="DH19" s="390" t="str">
        <f t="array" ref="DH19">IFERROR(IF(AND(INDEX($E$8:$CE$57, MATCH($C19, $C$8:$C$57, 0), (COLUMNS($DC19:DH19)-1)*5 + 1) = INDEX($E$5:$CE$5, 1, (COLUMNS($DC19:DH19)-1)*5 + 1), INDEX($E$8:$CE$57, MATCH($C19, $C$8:$C$57, 0), (COLUMNS($DC19:DH19)-1)*5 + 4) = "F"), INDEX($CZ$8:$CZ$23, COLUMNS($DC19:DH19)), "0"), "")</f>
        <v>0</v>
      </c>
      <c r="DI19" s="390" t="str">
        <f t="array" ref="DI19">IFERROR(IF(AND(INDEX($E$8:$CE$57, MATCH($C19, $C$8:$C$57, 0), (COLUMNS($DC19:DI19)-1)*5 + 1) = INDEX($E$5:$CE$5, 1, (COLUMNS($DC19:DI19)-1)*5 + 1), INDEX($E$8:$CE$57, MATCH($C19, $C$8:$C$57, 0), (COLUMNS($DC19:DI19)-1)*5 + 4) = "F"), INDEX($CZ$8:$CZ$23, COLUMNS($DC19:DI19)), "0"), "")</f>
        <v>0</v>
      </c>
      <c r="DJ19" s="390" t="str">
        <f t="array" ref="DJ19">IFERROR(IF(AND(INDEX($E$8:$CE$57, MATCH($C19, $C$8:$C$57, 0), (COLUMNS($DC19:DJ19)-1)*5 + 1) = INDEX($E$5:$CE$5, 1, (COLUMNS($DC19:DJ19)-1)*5 + 1), INDEX($E$8:$CE$57, MATCH($C19, $C$8:$C$57, 0), (COLUMNS($DC19:DJ19)-1)*5 + 4) = "F"), INDEX($CZ$8:$CZ$23, COLUMNS($DC19:DJ19)), "0"), "")</f>
        <v>0</v>
      </c>
      <c r="DK19" s="390" t="str">
        <f t="array" ref="DK19">IFERROR(IF(AND(INDEX($E$8:$CE$57, MATCH($C19, $C$8:$C$57, 0), (COLUMNS($DC19:DK19)-1)*5 + 1) = INDEX($E$5:$CE$5, 1, (COLUMNS($DC19:DK19)-1)*5 + 1), INDEX($E$8:$CE$57, MATCH($C19, $C$8:$C$57, 0), (COLUMNS($DC19:DK19)-1)*5 + 4) = "F"), INDEX($CZ$8:$CZ$23, COLUMNS($DC19:DK19)), "0"), "")</f>
        <v>0</v>
      </c>
      <c r="DL19" s="390" t="str">
        <f t="array" ref="DL19">IFERROR(IF(AND(INDEX($E$8:$CE$57, MATCH($C19, $C$8:$C$57, 0), (COLUMNS($DC19:DL19)-1)*5 + 1) = INDEX($E$5:$CE$5, 1, (COLUMNS($DC19:DL19)-1)*5 + 1), INDEX($E$8:$CE$57, MATCH($C19, $C$8:$C$57, 0), (COLUMNS($DC19:DL19)-1)*5 + 4) = "F"), INDEX($CZ$8:$CZ$23, COLUMNS($DC19:DL19)), "0"), "")</f>
        <v>0</v>
      </c>
      <c r="DM19" s="390" t="str">
        <f t="array" ref="DM19">IFERROR(IF(AND(INDEX($E$8:$CE$57, MATCH($C19, $C$8:$C$57, 0), (COLUMNS($DC19:DM19)-1)*5 + 1) = INDEX($E$5:$CE$5, 1, (COLUMNS($DC19:DM19)-1)*5 + 1), INDEX($E$8:$CE$57, MATCH($C19, $C$8:$C$57, 0), (COLUMNS($DC19:DM19)-1)*5 + 4) = "F"), INDEX($CZ$8:$CZ$23, COLUMNS($DC19:DM19)), "0"), "")</f>
        <v>0</v>
      </c>
      <c r="DN19" s="390" t="str">
        <f t="array" ref="DN19">IFERROR(IF(AND(INDEX($E$8:$CE$57, MATCH($C19, $C$8:$C$57, 0), (COLUMNS($DC19:DN19)-1)*5 + 1) = INDEX($E$5:$CE$5, 1, (COLUMNS($DC19:DN19)-1)*5 + 1), INDEX($E$8:$CE$57, MATCH($C19, $C$8:$C$57, 0), (COLUMNS($DC19:DN19)-1)*5 + 4) = "F"), INDEX($CZ$8:$CZ$23, COLUMNS($DC19:DN19)), "0"), "")</f>
        <v>0</v>
      </c>
      <c r="DO19" s="390" t="str">
        <f t="array" ref="DO19">IFERROR(IF(AND(INDEX($E$8:$CE$57, MATCH($C19, $C$8:$C$57, 0), (COLUMNS($DC19:DO19)-1)*5 + 1) = INDEX($E$5:$CE$5, 1, (COLUMNS($DC19:DO19)-1)*5 + 1), INDEX($E$8:$CE$57, MATCH($C19, $C$8:$C$57, 0), (COLUMNS($DC19:DO19)-1)*5 + 4) = "F"), INDEX($CZ$8:$CZ$23, COLUMNS($DC19:DO19)), "0"), "")</f>
        <v>0</v>
      </c>
      <c r="DP19" s="390" t="str">
        <f t="array" ref="DP19">IFERROR(IF(AND(INDEX($E$8:$CE$57, MATCH($C19, $C$8:$C$57, 0), (COLUMNS($DC19:DP19)-1)*5 + 1) = INDEX($E$5:$CE$5, 1, (COLUMNS($DC19:DP19)-1)*5 + 1), INDEX($E$8:$CE$57, MATCH($C19, $C$8:$C$57, 0), (COLUMNS($DC19:DP19)-1)*5 + 4) = "F"), INDEX($CZ$8:$CZ$23, COLUMNS($DC19:DP19)), "0"), "")</f>
        <v>0</v>
      </c>
      <c r="DQ19" s="390" t="str">
        <f t="array" ref="DQ19">IFERROR(IF(AND(INDEX($E$8:$CE$57, MATCH($C19, $C$8:$C$57, 0), (COLUMNS($DC19:DQ19)-1)*5 + 1) = INDEX($E$5:$CE$5, 1, (COLUMNS($DC19:DQ19)-1)*5 + 1), INDEX($E$8:$CE$57, MATCH($C19, $C$8:$C$57, 0), (COLUMNS($DC19:DQ19)-1)*5 + 4) = "F"), INDEX($CZ$8:$CZ$23, COLUMNS($DC19:DQ19)), "0"), "")</f>
        <v>0</v>
      </c>
      <c r="DR19" s="390" t="str">
        <f t="array" ref="DR19">IFERROR(IF(AND(INDEX($E$8:$CE$57, MATCH($C19, $C$8:$C$57, 0), (COLUMNS($DC19:DR19)-1)*5 + 1) = INDEX($E$5:$CE$5, 1, (COLUMNS($DC19:DR19)-1)*5 + 1), INDEX($E$8:$CE$57, MATCH($C19, $C$8:$C$57, 0), (COLUMNS($DC19:DR19)-1)*5 + 4) = "F"), INDEX($CZ$8:$CZ$23, COLUMNS($DC19:DR19)), "0"), "")</f>
        <v>0</v>
      </c>
      <c r="DT19" s="537" t="str">
        <f>BASE01[[#This Row],[COD]]</f>
        <v>COD 12</v>
      </c>
      <c r="DU19" s="390" t="str">
        <f t="array" ref="DU19">IFERROR(IF(AND(INDEX($E$8:$CE$57, MATCH($C19, $C$8:$C$57, 0), (COLUMNS($DU19:DU19)-1)*5 + 1) = INDEX($E$5:$CE$5, 1, (COLUMNS($DU19:DU19)-1)*5 + 1), INDEX($E$8:$CE$57, MATCH($C19, $C$8:$C$57, 0), (COLUMNS($DU19:DU19)-1)*5 + 4) = "SF"), INDEX($CZ$8:$CZ$23, COLUMNS($DU19:DU19)), "0"), "")</f>
        <v>0</v>
      </c>
      <c r="DV19" s="390" t="str">
        <f t="array" ref="DV19">IFERROR(IF(AND(INDEX($E$8:$CE$57, MATCH($C19, $C$8:$C$57, 0), (COLUMNS($DU19:DV19)-1)*5 + 1) = INDEX($E$5:$CE$5, 1, (COLUMNS($DU19:DV19)-1)*5 + 1), INDEX($E$8:$CE$57, MATCH($C19, $C$8:$C$57, 0), (COLUMNS($DU19:DV19)-1)*5 + 4) = "SF"), INDEX($CZ$8:$CZ$23, COLUMNS($DU19:DV19)), "0"), "")</f>
        <v>0</v>
      </c>
      <c r="DW19" s="390" t="str">
        <f t="array" ref="DW19">IFERROR(IF(AND(INDEX($E$8:$CE$57, MATCH($C19, $C$8:$C$57, 0), (COLUMNS($DU19:DW19)-1)*5 + 1) = INDEX($E$5:$CE$5, 1, (COLUMNS($DU19:DW19)-1)*5 + 1), INDEX($E$8:$CE$57, MATCH($C19, $C$8:$C$57, 0), (COLUMNS($DU19:DW19)-1)*5 + 4) = "SF"), INDEX($CZ$8:$CZ$23, COLUMNS($DU19:DW19)), "0"), "")</f>
        <v>0</v>
      </c>
      <c r="DX19" s="390" t="str">
        <f t="array" ref="DX19">IFERROR(IF(AND(INDEX($E$8:$CE$57, MATCH($C19, $C$8:$C$57, 0), (COLUMNS($DU19:DX19)-1)*5 + 1) = INDEX($E$5:$CE$5, 1, (COLUMNS($DU19:DX19)-1)*5 + 1), INDEX($E$8:$CE$57, MATCH($C19, $C$8:$C$57, 0), (COLUMNS($DU19:DX19)-1)*5 + 4) = "SF"), INDEX($CZ$8:$CZ$23, COLUMNS($DU19:DX19)), "0"), "")</f>
        <v>0</v>
      </c>
      <c r="DY19" s="390" t="str">
        <f t="array" ref="DY19">IFERROR(IF(AND(INDEX($E$8:$CE$57, MATCH($C19, $C$8:$C$57, 0), (COLUMNS($DU19:DY19)-1)*5 + 1) = INDEX($E$5:$CE$5, 1, (COLUMNS($DU19:DY19)-1)*5 + 1), INDEX($E$8:$CE$57, MATCH($C19, $C$8:$C$57, 0), (COLUMNS($DU19:DY19)-1)*5 + 4) = "SF"), INDEX($CZ$8:$CZ$23, COLUMNS($DU19:DY19)), "0"), "")</f>
        <v>0</v>
      </c>
      <c r="DZ19" s="390" t="str">
        <f t="array" ref="DZ19">IFERROR(IF(AND(INDEX($E$8:$CE$57, MATCH($C19, $C$8:$C$57, 0), (COLUMNS($DU19:DZ19)-1)*5 + 1) = INDEX($E$5:$CE$5, 1, (COLUMNS($DU19:DZ19)-1)*5 + 1), INDEX($E$8:$CE$57, MATCH($C19, $C$8:$C$57, 0), (COLUMNS($DU19:DZ19)-1)*5 + 4) = "SF"), INDEX($CZ$8:$CZ$23, COLUMNS($DU19:DZ19)), "0"), "")</f>
        <v>0</v>
      </c>
      <c r="EA19" s="390" t="str">
        <f t="array" ref="EA19">IFERROR(IF(AND(INDEX($E$8:$CE$57, MATCH($C19, $C$8:$C$57, 0), (COLUMNS($DU19:EA19)-1)*5 + 1) = INDEX($E$5:$CE$5, 1, (COLUMNS($DU19:EA19)-1)*5 + 1), INDEX($E$8:$CE$57, MATCH($C19, $C$8:$C$57, 0), (COLUMNS($DU19:EA19)-1)*5 + 4) = "SF"), INDEX($CZ$8:$CZ$23, COLUMNS($DU19:EA19)), "0"), "")</f>
        <v>0</v>
      </c>
      <c r="EB19" s="390" t="str">
        <f t="array" ref="EB19">IFERROR(IF(AND(INDEX($E$8:$CE$57, MATCH($C19, $C$8:$C$57, 0), (COLUMNS($DU19:EB19)-1)*5 + 1) = INDEX($E$5:$CE$5, 1, (COLUMNS($DU19:EB19)-1)*5 + 1), INDEX($E$8:$CE$57, MATCH($C19, $C$8:$C$57, 0), (COLUMNS($DU19:EB19)-1)*5 + 4) = "SF"), INDEX($CZ$8:$CZ$23, COLUMNS($DU19:EB19)), "0"), "")</f>
        <v>0</v>
      </c>
      <c r="EC19" s="390" t="str">
        <f t="array" ref="EC19">IFERROR(IF(AND(INDEX($E$8:$CE$57, MATCH($C19, $C$8:$C$57, 0), (COLUMNS($DU19:EC19)-1)*5 + 1) = INDEX($E$5:$CE$5, 1, (COLUMNS($DU19:EC19)-1)*5 + 1), INDEX($E$8:$CE$57, MATCH($C19, $C$8:$C$57, 0), (COLUMNS($DU19:EC19)-1)*5 + 4) = "SF"), INDEX($CZ$8:$CZ$23, COLUMNS($DU19:EC19)), "0"), "")</f>
        <v>0</v>
      </c>
      <c r="ED19" s="390" t="str">
        <f t="array" ref="ED19">IFERROR(IF(AND(INDEX($E$8:$CE$57, MATCH($C19, $C$8:$C$57, 0), (COLUMNS($DU19:ED19)-1)*5 + 1) = INDEX($E$5:$CE$5, 1, (COLUMNS($DU19:ED19)-1)*5 + 1), INDEX($E$8:$CE$57, MATCH($C19, $C$8:$C$57, 0), (COLUMNS($DU19:ED19)-1)*5 + 4) = "SF"), INDEX($CZ$8:$CZ$23, COLUMNS($DU19:ED19)), "0"), "")</f>
        <v>0</v>
      </c>
      <c r="EE19" s="390" t="str">
        <f t="array" ref="EE19">IFERROR(IF(AND(INDEX($E$8:$CE$57, MATCH($C19, $C$8:$C$57, 0), (COLUMNS($DU19:EE19)-1)*5 + 1) = INDEX($E$5:$CE$5, 1, (COLUMNS($DU19:EE19)-1)*5 + 1), INDEX($E$8:$CE$57, MATCH($C19, $C$8:$C$57, 0), (COLUMNS($DU19:EE19)-1)*5 + 4) = "SF"), INDEX($CZ$8:$CZ$23, COLUMNS($DU19:EE19)), "0"), "")</f>
        <v>0</v>
      </c>
      <c r="EF19" s="390" t="str">
        <f t="array" ref="EF19">IFERROR(IF(AND(INDEX($E$8:$CE$57, MATCH($C19, $C$8:$C$57, 0), (COLUMNS($DU19:EF19)-1)*5 + 1) = INDEX($E$5:$CE$5, 1, (COLUMNS($DU19:EF19)-1)*5 + 1), INDEX($E$8:$CE$57, MATCH($C19, $C$8:$C$57, 0), (COLUMNS($DU19:EF19)-1)*5 + 4) = "SF"), INDEX($CZ$8:$CZ$23, COLUMNS($DU19:EF19)), "0"), "")</f>
        <v>0</v>
      </c>
      <c r="EG19" s="390" t="str">
        <f t="array" ref="EG19">IFERROR(IF(AND(INDEX($E$8:$CE$57, MATCH($C19, $C$8:$C$57, 0), (COLUMNS($DU19:EG19)-1)*5 + 1) = INDEX($E$5:$CE$5, 1, (COLUMNS($DU19:EG19)-1)*5 + 1), INDEX($E$8:$CE$57, MATCH($C19, $C$8:$C$57, 0), (COLUMNS($DU19:EG19)-1)*5 + 4) = "SF"), INDEX($CZ$8:$CZ$23, COLUMNS($DU19:EG19)), "0"), "")</f>
        <v>0</v>
      </c>
      <c r="EH19" s="390" t="str">
        <f t="array" ref="EH19">IFERROR(IF(AND(INDEX($E$8:$CE$57, MATCH($C19, $C$8:$C$57, 0), (COLUMNS($DU19:EH19)-1)*5 + 1) = INDEX($E$5:$CE$5, 1, (COLUMNS($DU19:EH19)-1)*5 + 1), INDEX($E$8:$CE$57, MATCH($C19, $C$8:$C$57, 0), (COLUMNS($DU19:EH19)-1)*5 + 4) = "SF"), INDEX($CZ$8:$CZ$23, COLUMNS($DU19:EH19)), "0"), "")</f>
        <v>0</v>
      </c>
      <c r="EI19" s="390" t="str">
        <f t="array" ref="EI19">IFERROR(IF(AND(INDEX($E$8:$CE$57, MATCH($C19, $C$8:$C$57, 0), (COLUMNS($DU19:EI19)-1)*5 + 1) = INDEX($E$5:$CE$5, 1, (COLUMNS($DU19:EI19)-1)*5 + 1), INDEX($E$8:$CE$57, MATCH($C19, $C$8:$C$57, 0), (COLUMNS($DU19:EI19)-1)*5 + 4) = "SF"), INDEX($CZ$8:$CZ$23, COLUMNS($DU19:EI19)), "0"), "")</f>
        <v>0</v>
      </c>
      <c r="EJ19" s="390" t="str">
        <f t="array" ref="EJ19">IFERROR(IF(AND(INDEX($E$8:$CE$57, MATCH($C19, $C$8:$C$57, 0), (COLUMNS($DU19:EJ19)-1)*5 + 1) = INDEX($E$5:$CE$5, 1, (COLUMNS($DU19:EJ19)-1)*5 + 1), INDEX($E$8:$CE$57, MATCH($C19, $C$8:$C$57, 0), (COLUMNS($DU19:EJ19)-1)*5 + 4) = "SF"), INDEX($CZ$8:$CZ$23, COLUMNS($DU19:EJ19)), "0"), "")</f>
        <v>0</v>
      </c>
    </row>
    <row r="20" spans="1:140" ht="20.100000000000001" customHeight="1" x14ac:dyDescent="0.35">
      <c r="A20" s="515"/>
      <c r="B20" s="91">
        <f>IF(BASE01[[#This Row],[COD]]&lt;&gt;"",B19+1,"")</f>
        <v>13</v>
      </c>
      <c r="C20" s="533" t="s">
        <v>56</v>
      </c>
      <c r="D20" s="92" t="str">
        <f t="array" ref="D20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MEETING</v>
      </c>
      <c r="E20" s="143">
        <v>6</v>
      </c>
      <c r="F20" s="144">
        <v>8</v>
      </c>
      <c r="G20" s="144">
        <v>1</v>
      </c>
      <c r="H20" s="144"/>
      <c r="I20" s="534">
        <f t="shared" si="0"/>
        <v>2</v>
      </c>
      <c r="J20" s="143">
        <v>8</v>
      </c>
      <c r="K20" s="144">
        <v>3</v>
      </c>
      <c r="L20" s="144">
        <v>1</v>
      </c>
      <c r="M20" s="144"/>
      <c r="N20" s="534">
        <f t="shared" si="1"/>
        <v>2</v>
      </c>
      <c r="O20" s="143">
        <v>3</v>
      </c>
      <c r="P20" s="144">
        <v>8</v>
      </c>
      <c r="Q20" s="144">
        <v>1</v>
      </c>
      <c r="R20" s="144"/>
      <c r="S20" s="534">
        <f t="shared" si="2"/>
        <v>0</v>
      </c>
      <c r="T20" s="143">
        <v>6</v>
      </c>
      <c r="U20" s="144">
        <v>4</v>
      </c>
      <c r="V20" s="144">
        <v>7</v>
      </c>
      <c r="W20" s="144" t="s">
        <v>254</v>
      </c>
      <c r="X20" s="534">
        <f t="shared" si="3"/>
        <v>4.5</v>
      </c>
      <c r="Y20" s="143">
        <v>4</v>
      </c>
      <c r="Z20" s="144">
        <v>5</v>
      </c>
      <c r="AA20" s="144">
        <v>10</v>
      </c>
      <c r="AB20" s="144"/>
      <c r="AC20" s="534">
        <f t="shared" si="4"/>
        <v>1.5</v>
      </c>
      <c r="AD20" s="143">
        <v>5</v>
      </c>
      <c r="AE20" s="144">
        <v>7</v>
      </c>
      <c r="AF20" s="144">
        <v>2</v>
      </c>
      <c r="AG20" s="144"/>
      <c r="AH20" s="534">
        <f t="shared" si="5"/>
        <v>3</v>
      </c>
      <c r="AI20" s="143">
        <v>4</v>
      </c>
      <c r="AJ20" s="144">
        <v>3</v>
      </c>
      <c r="AK20" s="144">
        <v>2</v>
      </c>
      <c r="AL20" s="144"/>
      <c r="AM20" s="534">
        <f t="shared" si="6"/>
        <v>5</v>
      </c>
      <c r="AN20" s="143">
        <v>8</v>
      </c>
      <c r="AO20" s="144">
        <v>9</v>
      </c>
      <c r="AP20" s="144">
        <v>1</v>
      </c>
      <c r="AQ20" s="144" t="s">
        <v>254</v>
      </c>
      <c r="AR20" s="534">
        <f t="shared" si="7"/>
        <v>0</v>
      </c>
      <c r="AS20" s="143">
        <v>2</v>
      </c>
      <c r="AT20" s="144">
        <v>1</v>
      </c>
      <c r="AU20" s="144">
        <v>6</v>
      </c>
      <c r="AV20" s="144"/>
      <c r="AW20" s="534">
        <f t="shared" si="8"/>
        <v>0</v>
      </c>
      <c r="AX20" s="143">
        <v>1</v>
      </c>
      <c r="AY20" s="144"/>
      <c r="AZ20" s="144"/>
      <c r="BA20" s="144" t="s">
        <v>255</v>
      </c>
      <c r="BB20" s="534">
        <f t="shared" si="9"/>
        <v>8</v>
      </c>
      <c r="BC20" s="143">
        <v>2</v>
      </c>
      <c r="BD20" s="144">
        <v>6</v>
      </c>
      <c r="BE20" s="144">
        <v>4</v>
      </c>
      <c r="BF20" s="144"/>
      <c r="BG20" s="534">
        <f t="shared" si="10"/>
        <v>1</v>
      </c>
      <c r="BH20" s="143">
        <v>5</v>
      </c>
      <c r="BI20" s="144">
        <v>6</v>
      </c>
      <c r="BJ20" s="144">
        <v>1</v>
      </c>
      <c r="BK20" s="144"/>
      <c r="BL20" s="534">
        <f t="shared" si="11"/>
        <v>0</v>
      </c>
      <c r="BM20" s="143">
        <v>9</v>
      </c>
      <c r="BN20" s="144">
        <v>2</v>
      </c>
      <c r="BO20" s="144">
        <v>1</v>
      </c>
      <c r="BP20" s="144"/>
      <c r="BQ20" s="534">
        <f t="shared" si="12"/>
        <v>0</v>
      </c>
      <c r="BR20" s="143"/>
      <c r="BS20" s="144"/>
      <c r="BT20" s="144"/>
      <c r="BU20" s="144"/>
      <c r="BV20" s="534">
        <f t="shared" si="13"/>
        <v>0</v>
      </c>
      <c r="BW20" s="143"/>
      <c r="BX20" s="144"/>
      <c r="BY20" s="144"/>
      <c r="BZ20" s="144"/>
      <c r="CA20" s="534">
        <f t="shared" si="14"/>
        <v>0</v>
      </c>
      <c r="CB20" s="143"/>
      <c r="CC20" s="144"/>
      <c r="CD20" s="144"/>
      <c r="CE20" s="144"/>
      <c r="CF20" s="534">
        <f t="shared" si="15"/>
        <v>0</v>
      </c>
      <c r="CG20" s="162">
        <f>IF(BASE01[[#This Row],[1]]="",0,$B$4)</f>
        <v>13</v>
      </c>
      <c r="CH20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3</v>
      </c>
      <c r="CI20" s="164">
        <f>IF(BASE01[[#This Row],[Columna14]]=0,0,(CH20/CG20))</f>
        <v>0.23076923076923078</v>
      </c>
      <c r="CJ20" s="163">
        <f>IF(BASE01[[#This Row],[1]]="",0,$B$4)</f>
        <v>13</v>
      </c>
      <c r="CK20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6</v>
      </c>
      <c r="CL20" s="164">
        <f>IF(BASE01[[#This Row],[Columna14]]=0,0,(CK20/CJ20))</f>
        <v>0.46153846153846156</v>
      </c>
      <c r="CM20" s="162">
        <f>IF(BASE01[[#This Row],[1]]="",0,$B$4)</f>
        <v>13</v>
      </c>
      <c r="CN20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8</v>
      </c>
      <c r="CO20" s="164">
        <f>IF(BASE01[[#This Row],[Columna14]]=0,0,(CN20/CM20))</f>
        <v>0.61538461538461542</v>
      </c>
      <c r="CP20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20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Row],[Columna25]],$AX$5,BA20,"SF")+COUNTIFS(BASE01[[#This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20" s="164">
        <f>IF(BASE01[[#This Row],[Columna14]]=0,0,(CQ20/CP20))</f>
        <v>0.66666666666666663</v>
      </c>
      <c r="CS20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27</v>
      </c>
      <c r="CT20" s="93"/>
      <c r="CU20" s="536">
        <f t="shared" si="16"/>
        <v>27</v>
      </c>
      <c r="CV20" s="94" t="str">
        <f>IF(BASE01[[#This Row],[TIPO]]="PREMIO",$O$3,"0,00")</f>
        <v>0,00</v>
      </c>
      <c r="CW20" s="515"/>
      <c r="CY20" s="388">
        <v>13</v>
      </c>
      <c r="CZ20" s="349">
        <f>BN$6</f>
        <v>272.76</v>
      </c>
      <c r="DB20" s="537" t="str">
        <f>BASE01[[#This Row],[COD]]</f>
        <v>COD 13</v>
      </c>
      <c r="DC20" s="390" t="str">
        <f t="array" ref="DC20">IFERROR(IF(AND(INDEX($E$8:$CE$57, MATCH($C20, $C$8:$C$57, 0), (COLUMNS($DC20:DC20)-1)*5 + 1) = INDEX($E$5:$CE$5, 1, (COLUMNS($DC20:DC20)-1)*5 + 1), INDEX($E$8:$CE$57, MATCH($C20, $C$8:$C$57, 0), (COLUMNS($DC20:DC20)-1)*5 + 4) = "F"), INDEX($CZ$8:$CZ$23, COLUMNS($DC20:DC20)), "0"), "")</f>
        <v>0</v>
      </c>
      <c r="DD20" s="390" t="str">
        <f t="array" ref="DD20">IFERROR(IF(AND(INDEX($E$8:$CE$57, MATCH($C20, $C$8:$C$57, 0), (COLUMNS($DC20:DD20)-1)*5 + 1) = INDEX($E$5:$CE$5, 1, (COLUMNS($DC20:DD20)-1)*5 + 1), INDEX($E$8:$CE$57, MATCH($C20, $C$8:$C$57, 0), (COLUMNS($DC20:DD20)-1)*5 + 4) = "F"), INDEX($CZ$8:$CZ$23, COLUMNS($DC20:DD20)), "0"), "")</f>
        <v>0</v>
      </c>
      <c r="DE20" s="390" t="str">
        <f t="array" ref="DE20">IFERROR(IF(AND(INDEX($E$8:$CE$57, MATCH($C20, $C$8:$C$57, 0), (COLUMNS($DC20:DE20)-1)*5 + 1) = INDEX($E$5:$CE$5, 1, (COLUMNS($DC20:DE20)-1)*5 + 1), INDEX($E$8:$CE$57, MATCH($C20, $C$8:$C$57, 0), (COLUMNS($DC20:DE20)-1)*5 + 4) = "F"), INDEX($CZ$8:$CZ$23, COLUMNS($DC20:DE20)), "0"), "")</f>
        <v>0</v>
      </c>
      <c r="DF20" s="390">
        <f t="array" ref="DF20">IFERROR(IF(AND(INDEX($E$8:$CE$57, MATCH($C20, $C$8:$C$57, 0), (COLUMNS($DC20:DF20)-1)*5 + 1) = INDEX($E$5:$CE$5, 1, (COLUMNS($DC20:DF20)-1)*5 + 1), INDEX($E$8:$CE$57, MATCH($C20, $C$8:$C$57, 0), (COLUMNS($DC20:DF20)-1)*5 + 4) = "F"), INDEX($CZ$8:$CZ$23, COLUMNS($DC20:DF20)), "0"), "")</f>
        <v>110</v>
      </c>
      <c r="DG20" s="390" t="str">
        <f t="array" ref="DG20">IFERROR(IF(AND(INDEX($E$8:$CE$57, MATCH($C20, $C$8:$C$57, 0), (COLUMNS($DC20:DG20)-1)*5 + 1) = INDEX($E$5:$CE$5, 1, (COLUMNS($DC20:DG20)-1)*5 + 1), INDEX($E$8:$CE$57, MATCH($C20, $C$8:$C$57, 0), (COLUMNS($DC20:DG20)-1)*5 + 4) = "F"), INDEX($CZ$8:$CZ$23, COLUMNS($DC20:DG20)), "0"), "")</f>
        <v>0</v>
      </c>
      <c r="DH20" s="390" t="str">
        <f t="array" ref="DH20">IFERROR(IF(AND(INDEX($E$8:$CE$57, MATCH($C20, $C$8:$C$57, 0), (COLUMNS($DC20:DH20)-1)*5 + 1) = INDEX($E$5:$CE$5, 1, (COLUMNS($DC20:DH20)-1)*5 + 1), INDEX($E$8:$CE$57, MATCH($C20, $C$8:$C$57, 0), (COLUMNS($DC20:DH20)-1)*5 + 4) = "F"), INDEX($CZ$8:$CZ$23, COLUMNS($DC20:DH20)), "0"), "")</f>
        <v>0</v>
      </c>
      <c r="DI20" s="390" t="str">
        <f t="array" ref="DI20">IFERROR(IF(AND(INDEX($E$8:$CE$57, MATCH($C20, $C$8:$C$57, 0), (COLUMNS($DC20:DI20)-1)*5 + 1) = INDEX($E$5:$CE$5, 1, (COLUMNS($DC20:DI20)-1)*5 + 1), INDEX($E$8:$CE$57, MATCH($C20, $C$8:$C$57, 0), (COLUMNS($DC20:DI20)-1)*5 + 4) = "F"), INDEX($CZ$8:$CZ$23, COLUMNS($DC20:DI20)), "0"), "")</f>
        <v>0</v>
      </c>
      <c r="DJ20" s="390" t="str">
        <f t="array" ref="DJ20">IFERROR(IF(AND(INDEX($E$8:$CE$57, MATCH($C20, $C$8:$C$57, 0), (COLUMNS($DC20:DJ20)-1)*5 + 1) = INDEX($E$5:$CE$5, 1, (COLUMNS($DC20:DJ20)-1)*5 + 1), INDEX($E$8:$CE$57, MATCH($C20, $C$8:$C$57, 0), (COLUMNS($DC20:DJ20)-1)*5 + 4) = "F"), INDEX($CZ$8:$CZ$23, COLUMNS($DC20:DJ20)), "0"), "")</f>
        <v>0</v>
      </c>
      <c r="DK20" s="390" t="str">
        <f t="array" ref="DK20">IFERROR(IF(AND(INDEX($E$8:$CE$57, MATCH($C20, $C$8:$C$57, 0), (COLUMNS($DC20:DK20)-1)*5 + 1) = INDEX($E$5:$CE$5, 1, (COLUMNS($DC20:DK20)-1)*5 + 1), INDEX($E$8:$CE$57, MATCH($C20, $C$8:$C$57, 0), (COLUMNS($DC20:DK20)-1)*5 + 4) = "F"), INDEX($CZ$8:$CZ$23, COLUMNS($DC20:DK20)), "0"), "")</f>
        <v>0</v>
      </c>
      <c r="DL20" s="390" t="str">
        <f t="array" ref="DL20">IFERROR(IF(AND(INDEX($E$8:$CE$57, MATCH($C20, $C$8:$C$57, 0), (COLUMNS($DC20:DL20)-1)*5 + 1) = INDEX($E$5:$CE$5, 1, (COLUMNS($DC20:DL20)-1)*5 + 1), INDEX($E$8:$CE$57, MATCH($C20, $C$8:$C$57, 0), (COLUMNS($DC20:DL20)-1)*5 + 4) = "F"), INDEX($CZ$8:$CZ$23, COLUMNS($DC20:DL20)), "0"), "")</f>
        <v>0</v>
      </c>
      <c r="DM20" s="390" t="str">
        <f t="array" ref="DM20">IFERROR(IF(AND(INDEX($E$8:$CE$57, MATCH($C20, $C$8:$C$57, 0), (COLUMNS($DC20:DM20)-1)*5 + 1) = INDEX($E$5:$CE$5, 1, (COLUMNS($DC20:DM20)-1)*5 + 1), INDEX($E$8:$CE$57, MATCH($C20, $C$8:$C$57, 0), (COLUMNS($DC20:DM20)-1)*5 + 4) = "F"), INDEX($CZ$8:$CZ$23, COLUMNS($DC20:DM20)), "0"), "")</f>
        <v>0</v>
      </c>
      <c r="DN20" s="390" t="str">
        <f t="array" ref="DN20">IFERROR(IF(AND(INDEX($E$8:$CE$57, MATCH($C20, $C$8:$C$57, 0), (COLUMNS($DC20:DN20)-1)*5 + 1) = INDEX($E$5:$CE$5, 1, (COLUMNS($DC20:DN20)-1)*5 + 1), INDEX($E$8:$CE$57, MATCH($C20, $C$8:$C$57, 0), (COLUMNS($DC20:DN20)-1)*5 + 4) = "F"), INDEX($CZ$8:$CZ$23, COLUMNS($DC20:DN20)), "0"), "")</f>
        <v>0</v>
      </c>
      <c r="DO20" s="390" t="str">
        <f t="array" ref="DO20">IFERROR(IF(AND(INDEX($E$8:$CE$57, MATCH($C20, $C$8:$C$57, 0), (COLUMNS($DC20:DO20)-1)*5 + 1) = INDEX($E$5:$CE$5, 1, (COLUMNS($DC20:DO20)-1)*5 + 1), INDEX($E$8:$CE$57, MATCH($C20, $C$8:$C$57, 0), (COLUMNS($DC20:DO20)-1)*5 + 4) = "F"), INDEX($CZ$8:$CZ$23, COLUMNS($DC20:DO20)), "0"), "")</f>
        <v>0</v>
      </c>
      <c r="DP20" s="390" t="str">
        <f t="array" ref="DP20">IFERROR(IF(AND(INDEX($E$8:$CE$57, MATCH($C20, $C$8:$C$57, 0), (COLUMNS($DC20:DP20)-1)*5 + 1) = INDEX($E$5:$CE$5, 1, (COLUMNS($DC20:DP20)-1)*5 + 1), INDEX($E$8:$CE$57, MATCH($C20, $C$8:$C$57, 0), (COLUMNS($DC20:DP20)-1)*5 + 4) = "F"), INDEX($CZ$8:$CZ$23, COLUMNS($DC20:DP20)), "0"), "")</f>
        <v>0</v>
      </c>
      <c r="DQ20" s="390" t="str">
        <f t="array" ref="DQ20">IFERROR(IF(AND(INDEX($E$8:$CE$57, MATCH($C20, $C$8:$C$57, 0), (COLUMNS($DC20:DQ20)-1)*5 + 1) = INDEX($E$5:$CE$5, 1, (COLUMNS($DC20:DQ20)-1)*5 + 1), INDEX($E$8:$CE$57, MATCH($C20, $C$8:$C$57, 0), (COLUMNS($DC20:DQ20)-1)*5 + 4) = "F"), INDEX($CZ$8:$CZ$23, COLUMNS($DC20:DQ20)), "0"), "")</f>
        <v>0</v>
      </c>
      <c r="DR20" s="390" t="str">
        <f t="array" ref="DR20">IFERROR(IF(AND(INDEX($E$8:$CE$57, MATCH($C20, $C$8:$C$57, 0), (COLUMNS($DC20:DR20)-1)*5 + 1) = INDEX($E$5:$CE$5, 1, (COLUMNS($DC20:DR20)-1)*5 + 1), INDEX($E$8:$CE$57, MATCH($C20, $C$8:$C$57, 0), (COLUMNS($DC20:DR20)-1)*5 + 4) = "F"), INDEX($CZ$8:$CZ$23, COLUMNS($DC20:DR20)), "0"), "")</f>
        <v>0</v>
      </c>
      <c r="DT20" s="537" t="str">
        <f>BASE01[[#This Row],[COD]]</f>
        <v>COD 13</v>
      </c>
      <c r="DU20" s="390" t="str">
        <f t="array" ref="DU20">IFERROR(IF(AND(INDEX($E$8:$CE$57, MATCH($C20, $C$8:$C$57, 0), (COLUMNS($DU20:DU20)-1)*5 + 1) = INDEX($E$5:$CE$5, 1, (COLUMNS($DU20:DU20)-1)*5 + 1), INDEX($E$8:$CE$57, MATCH($C20, $C$8:$C$57, 0), (COLUMNS($DU20:DU20)-1)*5 + 4) = "SF"), INDEX($CZ$8:$CZ$23, COLUMNS($DU20:DU20)), "0"), "")</f>
        <v>0</v>
      </c>
      <c r="DV20" s="390" t="str">
        <f t="array" ref="DV20">IFERROR(IF(AND(INDEX($E$8:$CE$57, MATCH($C20, $C$8:$C$57, 0), (COLUMNS($DU20:DV20)-1)*5 + 1) = INDEX($E$5:$CE$5, 1, (COLUMNS($DU20:DV20)-1)*5 + 1), INDEX($E$8:$CE$57, MATCH($C20, $C$8:$C$57, 0), (COLUMNS($DU20:DV20)-1)*5 + 4) = "SF"), INDEX($CZ$8:$CZ$23, COLUMNS($DU20:DV20)), "0"), "")</f>
        <v>0</v>
      </c>
      <c r="DW20" s="390" t="str">
        <f t="array" ref="DW20">IFERROR(IF(AND(INDEX($E$8:$CE$57, MATCH($C20, $C$8:$C$57, 0), (COLUMNS($DU20:DW20)-1)*5 + 1) = INDEX($E$5:$CE$5, 1, (COLUMNS($DU20:DW20)-1)*5 + 1), INDEX($E$8:$CE$57, MATCH($C20, $C$8:$C$57, 0), (COLUMNS($DU20:DW20)-1)*5 + 4) = "SF"), INDEX($CZ$8:$CZ$23, COLUMNS($DU20:DW20)), "0"), "")</f>
        <v>0</v>
      </c>
      <c r="DX20" s="390" t="str">
        <f t="array" ref="DX20">IFERROR(IF(AND(INDEX($E$8:$CE$57, MATCH($C20, $C$8:$C$57, 0), (COLUMNS($DU20:DX20)-1)*5 + 1) = INDEX($E$5:$CE$5, 1, (COLUMNS($DU20:DX20)-1)*5 + 1), INDEX($E$8:$CE$57, MATCH($C20, $C$8:$C$57, 0), (COLUMNS($DU20:DX20)-1)*5 + 4) = "SF"), INDEX($CZ$8:$CZ$23, COLUMNS($DU20:DX20)), "0"), "")</f>
        <v>0</v>
      </c>
      <c r="DY20" s="390" t="str">
        <f t="array" ref="DY20">IFERROR(IF(AND(INDEX($E$8:$CE$57, MATCH($C20, $C$8:$C$57, 0), (COLUMNS($DU20:DY20)-1)*5 + 1) = INDEX($E$5:$CE$5, 1, (COLUMNS($DU20:DY20)-1)*5 + 1), INDEX($E$8:$CE$57, MATCH($C20, $C$8:$C$57, 0), (COLUMNS($DU20:DY20)-1)*5 + 4) = "SF"), INDEX($CZ$8:$CZ$23, COLUMNS($DU20:DY20)), "0"), "")</f>
        <v>0</v>
      </c>
      <c r="DZ20" s="390" t="str">
        <f t="array" ref="DZ20">IFERROR(IF(AND(INDEX($E$8:$CE$57, MATCH($C20, $C$8:$C$57, 0), (COLUMNS($DU20:DZ20)-1)*5 + 1) = INDEX($E$5:$CE$5, 1, (COLUMNS($DU20:DZ20)-1)*5 + 1), INDEX($E$8:$CE$57, MATCH($C20, $C$8:$C$57, 0), (COLUMNS($DU20:DZ20)-1)*5 + 4) = "SF"), INDEX($CZ$8:$CZ$23, COLUMNS($DU20:DZ20)), "0"), "")</f>
        <v>0</v>
      </c>
      <c r="EA20" s="390" t="str">
        <f t="array" ref="EA20">IFERROR(IF(AND(INDEX($E$8:$CE$57, MATCH($C20, $C$8:$C$57, 0), (COLUMNS($DU20:EA20)-1)*5 + 1) = INDEX($E$5:$CE$5, 1, (COLUMNS($DU20:EA20)-1)*5 + 1), INDEX($E$8:$CE$57, MATCH($C20, $C$8:$C$57, 0), (COLUMNS($DU20:EA20)-1)*5 + 4) = "SF"), INDEX($CZ$8:$CZ$23, COLUMNS($DU20:EA20)), "0"), "")</f>
        <v>0</v>
      </c>
      <c r="EB20" s="390" t="str">
        <f t="array" ref="EB20">IFERROR(IF(AND(INDEX($E$8:$CE$57, MATCH($C20, $C$8:$C$57, 0), (COLUMNS($DU20:EB20)-1)*5 + 1) = INDEX($E$5:$CE$5, 1, (COLUMNS($DU20:EB20)-1)*5 + 1), INDEX($E$8:$CE$57, MATCH($C20, $C$8:$C$57, 0), (COLUMNS($DU20:EB20)-1)*5 + 4) = "SF"), INDEX($CZ$8:$CZ$23, COLUMNS($DU20:EB20)), "0"), "")</f>
        <v>0</v>
      </c>
      <c r="EC20" s="390" t="str">
        <f t="array" ref="EC20">IFERROR(IF(AND(INDEX($E$8:$CE$57, MATCH($C20, $C$8:$C$57, 0), (COLUMNS($DU20:EC20)-1)*5 + 1) = INDEX($E$5:$CE$5, 1, (COLUMNS($DU20:EC20)-1)*5 + 1), INDEX($E$8:$CE$57, MATCH($C20, $C$8:$C$57, 0), (COLUMNS($DU20:EC20)-1)*5 + 4) = "SF"), INDEX($CZ$8:$CZ$23, COLUMNS($DU20:EC20)), "0"), "")</f>
        <v>0</v>
      </c>
      <c r="ED20" s="390">
        <f t="array" ref="ED20">IFERROR(IF(AND(INDEX($E$8:$CE$57, MATCH($C20, $C$8:$C$57, 0), (COLUMNS($DU20:ED20)-1)*5 + 1) = INDEX($E$5:$CE$5, 1, (COLUMNS($DU20:ED20)-1)*5 + 1), INDEX($E$8:$CE$57, MATCH($C20, $C$8:$C$57, 0), (COLUMNS($DU20:ED20)-1)*5 + 4) = "SF"), INDEX($CZ$8:$CZ$23, COLUMNS($DU20:ED20)), "0"), "")</f>
        <v>235.64</v>
      </c>
      <c r="EE20" s="390" t="str">
        <f t="array" ref="EE20">IFERROR(IF(AND(INDEX($E$8:$CE$57, MATCH($C20, $C$8:$C$57, 0), (COLUMNS($DU20:EE20)-1)*5 + 1) = INDEX($E$5:$CE$5, 1, (COLUMNS($DU20:EE20)-1)*5 + 1), INDEX($E$8:$CE$57, MATCH($C20, $C$8:$C$57, 0), (COLUMNS($DU20:EE20)-1)*5 + 4) = "SF"), INDEX($CZ$8:$CZ$23, COLUMNS($DU20:EE20)), "0"), "")</f>
        <v>0</v>
      </c>
      <c r="EF20" s="390" t="str">
        <f t="array" ref="EF20">IFERROR(IF(AND(INDEX($E$8:$CE$57, MATCH($C20, $C$8:$C$57, 0), (COLUMNS($DU20:EF20)-1)*5 + 1) = INDEX($E$5:$CE$5, 1, (COLUMNS($DU20:EF20)-1)*5 + 1), INDEX($E$8:$CE$57, MATCH($C20, $C$8:$C$57, 0), (COLUMNS($DU20:EF20)-1)*5 + 4) = "SF"), INDEX($CZ$8:$CZ$23, COLUMNS($DU20:EF20)), "0"), "")</f>
        <v>0</v>
      </c>
      <c r="EG20" s="390" t="str">
        <f t="array" ref="EG20">IFERROR(IF(AND(INDEX($E$8:$CE$57, MATCH($C20, $C$8:$C$57, 0), (COLUMNS($DU20:EG20)-1)*5 + 1) = INDEX($E$5:$CE$5, 1, (COLUMNS($DU20:EG20)-1)*5 + 1), INDEX($E$8:$CE$57, MATCH($C20, $C$8:$C$57, 0), (COLUMNS($DU20:EG20)-1)*5 + 4) = "SF"), INDEX($CZ$8:$CZ$23, COLUMNS($DU20:EG20)), "0"), "")</f>
        <v>0</v>
      </c>
      <c r="EH20" s="390" t="str">
        <f t="array" ref="EH20">IFERROR(IF(AND(INDEX($E$8:$CE$57, MATCH($C20, $C$8:$C$57, 0), (COLUMNS($DU20:EH20)-1)*5 + 1) = INDEX($E$5:$CE$5, 1, (COLUMNS($DU20:EH20)-1)*5 + 1), INDEX($E$8:$CE$57, MATCH($C20, $C$8:$C$57, 0), (COLUMNS($DU20:EH20)-1)*5 + 4) = "SF"), INDEX($CZ$8:$CZ$23, COLUMNS($DU20:EH20)), "0"), "")</f>
        <v>0</v>
      </c>
      <c r="EI20" s="390" t="str">
        <f t="array" ref="EI20">IFERROR(IF(AND(INDEX($E$8:$CE$57, MATCH($C20, $C$8:$C$57, 0), (COLUMNS($DU20:EI20)-1)*5 + 1) = INDEX($E$5:$CE$5, 1, (COLUMNS($DU20:EI20)-1)*5 + 1), INDEX($E$8:$CE$57, MATCH($C20, $C$8:$C$57, 0), (COLUMNS($DU20:EI20)-1)*5 + 4) = "SF"), INDEX($CZ$8:$CZ$23, COLUMNS($DU20:EI20)), "0"), "")</f>
        <v>0</v>
      </c>
      <c r="EJ20" s="390" t="str">
        <f t="array" ref="EJ20">IFERROR(IF(AND(INDEX($E$8:$CE$57, MATCH($C20, $C$8:$C$57, 0), (COLUMNS($DU20:EJ20)-1)*5 + 1) = INDEX($E$5:$CE$5, 1, (COLUMNS($DU20:EJ20)-1)*5 + 1), INDEX($E$8:$CE$57, MATCH($C20, $C$8:$C$57, 0), (COLUMNS($DU20:EJ20)-1)*5 + 4) = "SF"), INDEX($CZ$8:$CZ$23, COLUMNS($DU20:EJ20)), "0"), "")</f>
        <v>0</v>
      </c>
    </row>
    <row r="21" spans="1:140" ht="20.100000000000001" customHeight="1" x14ac:dyDescent="0.35">
      <c r="A21" s="515"/>
      <c r="B21" s="91">
        <f>IF(BASE01[[#This Row],[COD]]&lt;&gt;"",B20+1,"")</f>
        <v>14</v>
      </c>
      <c r="C21" s="533" t="s">
        <v>58</v>
      </c>
      <c r="D21" s="92" t="str">
        <f t="array" ref="D21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21" s="143">
        <v>1</v>
      </c>
      <c r="F21" s="144">
        <v>8</v>
      </c>
      <c r="G21" s="144">
        <v>2</v>
      </c>
      <c r="H21" s="144" t="s">
        <v>254</v>
      </c>
      <c r="I21" s="534">
        <f t="shared" si="0"/>
        <v>2</v>
      </c>
      <c r="J21" s="143">
        <v>8</v>
      </c>
      <c r="K21" s="144">
        <v>3</v>
      </c>
      <c r="L21" s="144">
        <v>5</v>
      </c>
      <c r="M21" s="144"/>
      <c r="N21" s="534">
        <f t="shared" si="1"/>
        <v>4</v>
      </c>
      <c r="O21" s="143">
        <v>8</v>
      </c>
      <c r="P21" s="144">
        <v>2</v>
      </c>
      <c r="Q21" s="144">
        <v>3</v>
      </c>
      <c r="R21" s="144"/>
      <c r="S21" s="534">
        <f t="shared" si="2"/>
        <v>0</v>
      </c>
      <c r="T21" s="143">
        <v>6</v>
      </c>
      <c r="U21" s="144">
        <v>8</v>
      </c>
      <c r="V21" s="144">
        <v>9</v>
      </c>
      <c r="W21" s="144"/>
      <c r="X21" s="534">
        <f t="shared" si="3"/>
        <v>3.5</v>
      </c>
      <c r="Y21" s="143">
        <v>5</v>
      </c>
      <c r="Z21" s="144">
        <v>3</v>
      </c>
      <c r="AA21" s="144">
        <v>4</v>
      </c>
      <c r="AB21" s="144"/>
      <c r="AC21" s="534">
        <f t="shared" si="4"/>
        <v>3.5</v>
      </c>
      <c r="AD21" s="143">
        <v>7</v>
      </c>
      <c r="AE21" s="144">
        <v>5</v>
      </c>
      <c r="AF21" s="144">
        <v>2</v>
      </c>
      <c r="AG21" s="144"/>
      <c r="AH21" s="534">
        <f t="shared" si="5"/>
        <v>3</v>
      </c>
      <c r="AI21" s="143">
        <v>7</v>
      </c>
      <c r="AJ21" s="144">
        <v>3</v>
      </c>
      <c r="AK21" s="144">
        <v>4</v>
      </c>
      <c r="AL21" s="144"/>
      <c r="AM21" s="534">
        <f t="shared" si="6"/>
        <v>1</v>
      </c>
      <c r="AN21" s="143">
        <v>8</v>
      </c>
      <c r="AO21" s="144">
        <v>9</v>
      </c>
      <c r="AP21" s="144">
        <v>1</v>
      </c>
      <c r="AQ21" s="144" t="s">
        <v>254</v>
      </c>
      <c r="AR21" s="534">
        <f t="shared" si="7"/>
        <v>0</v>
      </c>
      <c r="AS21" s="143">
        <v>1</v>
      </c>
      <c r="AT21" s="144">
        <v>2</v>
      </c>
      <c r="AU21" s="144">
        <v>4</v>
      </c>
      <c r="AV21" s="144"/>
      <c r="AW21" s="534">
        <f t="shared" si="8"/>
        <v>3</v>
      </c>
      <c r="AX21" s="143">
        <v>1</v>
      </c>
      <c r="AY21" s="144">
        <v>9</v>
      </c>
      <c r="AZ21" s="144">
        <v>8</v>
      </c>
      <c r="BA21" s="144"/>
      <c r="BB21" s="534">
        <f t="shared" si="9"/>
        <v>4</v>
      </c>
      <c r="BC21" s="143">
        <v>2</v>
      </c>
      <c r="BD21" s="144">
        <v>4</v>
      </c>
      <c r="BE21" s="144">
        <v>8</v>
      </c>
      <c r="BF21" s="144"/>
      <c r="BG21" s="534">
        <f t="shared" si="10"/>
        <v>2</v>
      </c>
      <c r="BH21" s="143">
        <v>5</v>
      </c>
      <c r="BI21" s="144"/>
      <c r="BJ21" s="144"/>
      <c r="BK21" s="144" t="s">
        <v>255</v>
      </c>
      <c r="BL21" s="534">
        <f t="shared" si="11"/>
        <v>0</v>
      </c>
      <c r="BM21" s="143">
        <v>1</v>
      </c>
      <c r="BN21" s="144">
        <v>3</v>
      </c>
      <c r="BO21" s="144">
        <v>2</v>
      </c>
      <c r="BP21" s="144"/>
      <c r="BQ21" s="534">
        <f t="shared" si="12"/>
        <v>2</v>
      </c>
      <c r="BR21" s="143"/>
      <c r="BS21" s="144"/>
      <c r="BT21" s="144"/>
      <c r="BU21" s="144"/>
      <c r="BV21" s="534">
        <f t="shared" si="13"/>
        <v>0</v>
      </c>
      <c r="BW21" s="143"/>
      <c r="BX21" s="144"/>
      <c r="BY21" s="144"/>
      <c r="BZ21" s="144"/>
      <c r="CA21" s="534">
        <f t="shared" si="14"/>
        <v>0</v>
      </c>
      <c r="CB21" s="143"/>
      <c r="CC21" s="144"/>
      <c r="CD21" s="144"/>
      <c r="CE21" s="144"/>
      <c r="CF21" s="534">
        <f t="shared" si="15"/>
        <v>0</v>
      </c>
      <c r="CG21" s="162">
        <f>IF(BASE01[[#This Row],[1]]="",0,$B$4)</f>
        <v>13</v>
      </c>
      <c r="CH21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3</v>
      </c>
      <c r="CI21" s="164">
        <f>IF(BASE01[[#This Row],[Columna14]]=0,0,(CH21/CG21))</f>
        <v>0.23076923076923078</v>
      </c>
      <c r="CJ21" s="163">
        <f>IF(BASE01[[#This Row],[1]]="",0,$B$4)</f>
        <v>13</v>
      </c>
      <c r="CK21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7</v>
      </c>
      <c r="CL21" s="164">
        <f>IF(BASE01[[#This Row],[Columna14]]=0,0,(CK21/CJ21))</f>
        <v>0.53846153846153844</v>
      </c>
      <c r="CM21" s="162">
        <f>IF(BASE01[[#This Row],[1]]="",0,$B$4)</f>
        <v>13</v>
      </c>
      <c r="CN21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10</v>
      </c>
      <c r="CO21" s="164">
        <f>IF(BASE01[[#This Row],[Columna14]]=0,0,(CN21/CM21))</f>
        <v>0.76923076923076927</v>
      </c>
      <c r="CP21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21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Row],[Columna25]],$AX$5,BA21,"SF")+COUNTIFS(BASE01[[#This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0</v>
      </c>
      <c r="CR21" s="164">
        <f>IF(BASE01[[#This Row],[Columna14]]=0,0,(CQ21/CP21))</f>
        <v>0</v>
      </c>
      <c r="CS21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28</v>
      </c>
      <c r="CT21" s="93"/>
      <c r="CU21" s="536">
        <f t="shared" si="16"/>
        <v>28</v>
      </c>
      <c r="CV21" s="94">
        <f>IF(BASE01[[#This Row],[TIPO]]="PREMIO",$O$3,"0,00")</f>
        <v>1000</v>
      </c>
      <c r="CW21" s="515"/>
      <c r="CY21" s="388">
        <v>14</v>
      </c>
      <c r="CZ21" s="349">
        <f>BS$6</f>
        <v>0</v>
      </c>
      <c r="DB21" s="537" t="str">
        <f>BASE01[[#This Row],[COD]]</f>
        <v>COD 14</v>
      </c>
      <c r="DC21" s="390" t="str">
        <f t="array" ref="DC21">IFERROR(IF(AND(INDEX($E$8:$CE$57, MATCH($C21, $C$8:$C$57, 0), (COLUMNS($DC21:DC21)-1)*5 + 1) = INDEX($E$5:$CE$5, 1, (COLUMNS($DC21:DC21)-1)*5 + 1), INDEX($E$8:$CE$57, MATCH($C21, $C$8:$C$57, 0), (COLUMNS($DC21:DC21)-1)*5 + 4) = "F"), INDEX($CZ$8:$CZ$23, COLUMNS($DC21:DC21)), "0"), "")</f>
        <v>0</v>
      </c>
      <c r="DD21" s="390" t="str">
        <f t="array" ref="DD21">IFERROR(IF(AND(INDEX($E$8:$CE$57, MATCH($C21, $C$8:$C$57, 0), (COLUMNS($DC21:DD21)-1)*5 + 1) = INDEX($E$5:$CE$5, 1, (COLUMNS($DC21:DD21)-1)*5 + 1), INDEX($E$8:$CE$57, MATCH($C21, $C$8:$C$57, 0), (COLUMNS($DC21:DD21)-1)*5 + 4) = "F"), INDEX($CZ$8:$CZ$23, COLUMNS($DC21:DD21)), "0"), "")</f>
        <v>0</v>
      </c>
      <c r="DE21" s="390" t="str">
        <f t="array" ref="DE21">IFERROR(IF(AND(INDEX($E$8:$CE$57, MATCH($C21, $C$8:$C$57, 0), (COLUMNS($DC21:DE21)-1)*5 + 1) = INDEX($E$5:$CE$5, 1, (COLUMNS($DC21:DE21)-1)*5 + 1), INDEX($E$8:$CE$57, MATCH($C21, $C$8:$C$57, 0), (COLUMNS($DC21:DE21)-1)*5 + 4) = "F"), INDEX($CZ$8:$CZ$23, COLUMNS($DC21:DE21)), "0"), "")</f>
        <v>0</v>
      </c>
      <c r="DF21" s="390" t="str">
        <f t="array" ref="DF21">IFERROR(IF(AND(INDEX($E$8:$CE$57, MATCH($C21, $C$8:$C$57, 0), (COLUMNS($DC21:DF21)-1)*5 + 1) = INDEX($E$5:$CE$5, 1, (COLUMNS($DC21:DF21)-1)*5 + 1), INDEX($E$8:$CE$57, MATCH($C21, $C$8:$C$57, 0), (COLUMNS($DC21:DF21)-1)*5 + 4) = "F"), INDEX($CZ$8:$CZ$23, COLUMNS($DC21:DF21)), "0"), "")</f>
        <v>0</v>
      </c>
      <c r="DG21" s="390" t="str">
        <f t="array" ref="DG21">IFERROR(IF(AND(INDEX($E$8:$CE$57, MATCH($C21, $C$8:$C$57, 0), (COLUMNS($DC21:DG21)-1)*5 + 1) = INDEX($E$5:$CE$5, 1, (COLUMNS($DC21:DG21)-1)*5 + 1), INDEX($E$8:$CE$57, MATCH($C21, $C$8:$C$57, 0), (COLUMNS($DC21:DG21)-1)*5 + 4) = "F"), INDEX($CZ$8:$CZ$23, COLUMNS($DC21:DG21)), "0"), "")</f>
        <v>0</v>
      </c>
      <c r="DH21" s="390" t="str">
        <f t="array" ref="DH21">IFERROR(IF(AND(INDEX($E$8:$CE$57, MATCH($C21, $C$8:$C$57, 0), (COLUMNS($DC21:DH21)-1)*5 + 1) = INDEX($E$5:$CE$5, 1, (COLUMNS($DC21:DH21)-1)*5 + 1), INDEX($E$8:$CE$57, MATCH($C21, $C$8:$C$57, 0), (COLUMNS($DC21:DH21)-1)*5 + 4) = "F"), INDEX($CZ$8:$CZ$23, COLUMNS($DC21:DH21)), "0"), "")</f>
        <v>0</v>
      </c>
      <c r="DI21" s="390" t="str">
        <f t="array" ref="DI21">IFERROR(IF(AND(INDEX($E$8:$CE$57, MATCH($C21, $C$8:$C$57, 0), (COLUMNS($DC21:DI21)-1)*5 + 1) = INDEX($E$5:$CE$5, 1, (COLUMNS($DC21:DI21)-1)*5 + 1), INDEX($E$8:$CE$57, MATCH($C21, $C$8:$C$57, 0), (COLUMNS($DC21:DI21)-1)*5 + 4) = "F"), INDEX($CZ$8:$CZ$23, COLUMNS($DC21:DI21)), "0"), "")</f>
        <v>0</v>
      </c>
      <c r="DJ21" s="390" t="str">
        <f t="array" ref="DJ21">IFERROR(IF(AND(INDEX($E$8:$CE$57, MATCH($C21, $C$8:$C$57, 0), (COLUMNS($DC21:DJ21)-1)*5 + 1) = INDEX($E$5:$CE$5, 1, (COLUMNS($DC21:DJ21)-1)*5 + 1), INDEX($E$8:$CE$57, MATCH($C21, $C$8:$C$57, 0), (COLUMNS($DC21:DJ21)-1)*5 + 4) = "F"), INDEX($CZ$8:$CZ$23, COLUMNS($DC21:DJ21)), "0"), "")</f>
        <v>0</v>
      </c>
      <c r="DK21" s="390" t="str">
        <f t="array" ref="DK21">IFERROR(IF(AND(INDEX($E$8:$CE$57, MATCH($C21, $C$8:$C$57, 0), (COLUMNS($DC21:DK21)-1)*5 + 1) = INDEX($E$5:$CE$5, 1, (COLUMNS($DC21:DK21)-1)*5 + 1), INDEX($E$8:$CE$57, MATCH($C21, $C$8:$C$57, 0), (COLUMNS($DC21:DK21)-1)*5 + 4) = "F"), INDEX($CZ$8:$CZ$23, COLUMNS($DC21:DK21)), "0"), "")</f>
        <v>0</v>
      </c>
      <c r="DL21" s="390" t="str">
        <f t="array" ref="DL21">IFERROR(IF(AND(INDEX($E$8:$CE$57, MATCH($C21, $C$8:$C$57, 0), (COLUMNS($DC21:DL21)-1)*5 + 1) = INDEX($E$5:$CE$5, 1, (COLUMNS($DC21:DL21)-1)*5 + 1), INDEX($E$8:$CE$57, MATCH($C21, $C$8:$C$57, 0), (COLUMNS($DC21:DL21)-1)*5 + 4) = "F"), INDEX($CZ$8:$CZ$23, COLUMNS($DC21:DL21)), "0"), "")</f>
        <v>0</v>
      </c>
      <c r="DM21" s="390" t="str">
        <f t="array" ref="DM21">IFERROR(IF(AND(INDEX($E$8:$CE$57, MATCH($C21, $C$8:$C$57, 0), (COLUMNS($DC21:DM21)-1)*5 + 1) = INDEX($E$5:$CE$5, 1, (COLUMNS($DC21:DM21)-1)*5 + 1), INDEX($E$8:$CE$57, MATCH($C21, $C$8:$C$57, 0), (COLUMNS($DC21:DM21)-1)*5 + 4) = "F"), INDEX($CZ$8:$CZ$23, COLUMNS($DC21:DM21)), "0"), "")</f>
        <v>0</v>
      </c>
      <c r="DN21" s="390" t="str">
        <f t="array" ref="DN21">IFERROR(IF(AND(INDEX($E$8:$CE$57, MATCH($C21, $C$8:$C$57, 0), (COLUMNS($DC21:DN21)-1)*5 + 1) = INDEX($E$5:$CE$5, 1, (COLUMNS($DC21:DN21)-1)*5 + 1), INDEX($E$8:$CE$57, MATCH($C21, $C$8:$C$57, 0), (COLUMNS($DC21:DN21)-1)*5 + 4) = "F"), INDEX($CZ$8:$CZ$23, COLUMNS($DC21:DN21)), "0"), "")</f>
        <v>0</v>
      </c>
      <c r="DO21" s="390" t="str">
        <f t="array" ref="DO21">IFERROR(IF(AND(INDEX($E$8:$CE$57, MATCH($C21, $C$8:$C$57, 0), (COLUMNS($DC21:DO21)-1)*5 + 1) = INDEX($E$5:$CE$5, 1, (COLUMNS($DC21:DO21)-1)*5 + 1), INDEX($E$8:$CE$57, MATCH($C21, $C$8:$C$57, 0), (COLUMNS($DC21:DO21)-1)*5 + 4) = "F"), INDEX($CZ$8:$CZ$23, COLUMNS($DC21:DO21)), "0"), "")</f>
        <v>0</v>
      </c>
      <c r="DP21" s="390" t="str">
        <f t="array" ref="DP21">IFERROR(IF(AND(INDEX($E$8:$CE$57, MATCH($C21, $C$8:$C$57, 0), (COLUMNS($DC21:DP21)-1)*5 + 1) = INDEX($E$5:$CE$5, 1, (COLUMNS($DC21:DP21)-1)*5 + 1), INDEX($E$8:$CE$57, MATCH($C21, $C$8:$C$57, 0), (COLUMNS($DC21:DP21)-1)*5 + 4) = "F"), INDEX($CZ$8:$CZ$23, COLUMNS($DC21:DP21)), "0"), "")</f>
        <v>0</v>
      </c>
      <c r="DQ21" s="390" t="str">
        <f t="array" ref="DQ21">IFERROR(IF(AND(INDEX($E$8:$CE$57, MATCH($C21, $C$8:$C$57, 0), (COLUMNS($DC21:DQ21)-1)*5 + 1) = INDEX($E$5:$CE$5, 1, (COLUMNS($DC21:DQ21)-1)*5 + 1), INDEX($E$8:$CE$57, MATCH($C21, $C$8:$C$57, 0), (COLUMNS($DC21:DQ21)-1)*5 + 4) = "F"), INDEX($CZ$8:$CZ$23, COLUMNS($DC21:DQ21)), "0"), "")</f>
        <v>0</v>
      </c>
      <c r="DR21" s="390" t="str">
        <f t="array" ref="DR21">IFERROR(IF(AND(INDEX($E$8:$CE$57, MATCH($C21, $C$8:$C$57, 0), (COLUMNS($DC21:DR21)-1)*5 + 1) = INDEX($E$5:$CE$5, 1, (COLUMNS($DC21:DR21)-1)*5 + 1), INDEX($E$8:$CE$57, MATCH($C21, $C$8:$C$57, 0), (COLUMNS($DC21:DR21)-1)*5 + 4) = "F"), INDEX($CZ$8:$CZ$23, COLUMNS($DC21:DR21)), "0"), "")</f>
        <v>0</v>
      </c>
      <c r="DT21" s="537" t="str">
        <f>BASE01[[#This Row],[COD]]</f>
        <v>COD 14</v>
      </c>
      <c r="DU21" s="390" t="str">
        <f t="array" ref="DU21">IFERROR(IF(AND(INDEX($E$8:$CE$57, MATCH($C21, $C$8:$C$57, 0), (COLUMNS($DU21:DU21)-1)*5 + 1) = INDEX($E$5:$CE$5, 1, (COLUMNS($DU21:DU21)-1)*5 + 1), INDEX($E$8:$CE$57, MATCH($C21, $C$8:$C$57, 0), (COLUMNS($DU21:DU21)-1)*5 + 4) = "SF"), INDEX($CZ$8:$CZ$23, COLUMNS($DU21:DU21)), "0"), "")</f>
        <v>0</v>
      </c>
      <c r="DV21" s="390" t="str">
        <f t="array" ref="DV21">IFERROR(IF(AND(INDEX($E$8:$CE$57, MATCH($C21, $C$8:$C$57, 0), (COLUMNS($DU21:DV21)-1)*5 + 1) = INDEX($E$5:$CE$5, 1, (COLUMNS($DU21:DV21)-1)*5 + 1), INDEX($E$8:$CE$57, MATCH($C21, $C$8:$C$57, 0), (COLUMNS($DU21:DV21)-1)*5 + 4) = "SF"), INDEX($CZ$8:$CZ$23, COLUMNS($DU21:DV21)), "0"), "")</f>
        <v>0</v>
      </c>
      <c r="DW21" s="390" t="str">
        <f t="array" ref="DW21">IFERROR(IF(AND(INDEX($E$8:$CE$57, MATCH($C21, $C$8:$C$57, 0), (COLUMNS($DU21:DW21)-1)*5 + 1) = INDEX($E$5:$CE$5, 1, (COLUMNS($DU21:DW21)-1)*5 + 1), INDEX($E$8:$CE$57, MATCH($C21, $C$8:$C$57, 0), (COLUMNS($DU21:DW21)-1)*5 + 4) = "SF"), INDEX($CZ$8:$CZ$23, COLUMNS($DU21:DW21)), "0"), "")</f>
        <v>0</v>
      </c>
      <c r="DX21" s="390" t="str">
        <f t="array" ref="DX21">IFERROR(IF(AND(INDEX($E$8:$CE$57, MATCH($C21, $C$8:$C$57, 0), (COLUMNS($DU21:DX21)-1)*5 + 1) = INDEX($E$5:$CE$5, 1, (COLUMNS($DU21:DX21)-1)*5 + 1), INDEX($E$8:$CE$57, MATCH($C21, $C$8:$C$57, 0), (COLUMNS($DU21:DX21)-1)*5 + 4) = "SF"), INDEX($CZ$8:$CZ$23, COLUMNS($DU21:DX21)), "0"), "")</f>
        <v>0</v>
      </c>
      <c r="DY21" s="390" t="str">
        <f t="array" ref="DY21">IFERROR(IF(AND(INDEX($E$8:$CE$57, MATCH($C21, $C$8:$C$57, 0), (COLUMNS($DU21:DY21)-1)*5 + 1) = INDEX($E$5:$CE$5, 1, (COLUMNS($DU21:DY21)-1)*5 + 1), INDEX($E$8:$CE$57, MATCH($C21, $C$8:$C$57, 0), (COLUMNS($DU21:DY21)-1)*5 + 4) = "SF"), INDEX($CZ$8:$CZ$23, COLUMNS($DU21:DY21)), "0"), "")</f>
        <v>0</v>
      </c>
      <c r="DZ21" s="390" t="str">
        <f t="array" ref="DZ21">IFERROR(IF(AND(INDEX($E$8:$CE$57, MATCH($C21, $C$8:$C$57, 0), (COLUMNS($DU21:DZ21)-1)*5 + 1) = INDEX($E$5:$CE$5, 1, (COLUMNS($DU21:DZ21)-1)*5 + 1), INDEX($E$8:$CE$57, MATCH($C21, $C$8:$C$57, 0), (COLUMNS($DU21:DZ21)-1)*5 + 4) = "SF"), INDEX($CZ$8:$CZ$23, COLUMNS($DU21:DZ21)), "0"), "")</f>
        <v>0</v>
      </c>
      <c r="EA21" s="390" t="str">
        <f t="array" ref="EA21">IFERROR(IF(AND(INDEX($E$8:$CE$57, MATCH($C21, $C$8:$C$57, 0), (COLUMNS($DU21:EA21)-1)*5 + 1) = INDEX($E$5:$CE$5, 1, (COLUMNS($DU21:EA21)-1)*5 + 1), INDEX($E$8:$CE$57, MATCH($C21, $C$8:$C$57, 0), (COLUMNS($DU21:EA21)-1)*5 + 4) = "SF"), INDEX($CZ$8:$CZ$23, COLUMNS($DU21:EA21)), "0"), "")</f>
        <v>0</v>
      </c>
      <c r="EB21" s="390" t="str">
        <f t="array" ref="EB21">IFERROR(IF(AND(INDEX($E$8:$CE$57, MATCH($C21, $C$8:$C$57, 0), (COLUMNS($DU21:EB21)-1)*5 + 1) = INDEX($E$5:$CE$5, 1, (COLUMNS($DU21:EB21)-1)*5 + 1), INDEX($E$8:$CE$57, MATCH($C21, $C$8:$C$57, 0), (COLUMNS($DU21:EB21)-1)*5 + 4) = "SF"), INDEX($CZ$8:$CZ$23, COLUMNS($DU21:EB21)), "0"), "")</f>
        <v>0</v>
      </c>
      <c r="EC21" s="390" t="str">
        <f t="array" ref="EC21">IFERROR(IF(AND(INDEX($E$8:$CE$57, MATCH($C21, $C$8:$C$57, 0), (COLUMNS($DU21:EC21)-1)*5 + 1) = INDEX($E$5:$CE$5, 1, (COLUMNS($DU21:EC21)-1)*5 + 1), INDEX($E$8:$CE$57, MATCH($C21, $C$8:$C$57, 0), (COLUMNS($DU21:EC21)-1)*5 + 4) = "SF"), INDEX($CZ$8:$CZ$23, COLUMNS($DU21:EC21)), "0"), "")</f>
        <v>0</v>
      </c>
      <c r="ED21" s="390" t="str">
        <f t="array" ref="ED21">IFERROR(IF(AND(INDEX($E$8:$CE$57, MATCH($C21, $C$8:$C$57, 0), (COLUMNS($DU21:ED21)-1)*5 + 1) = INDEX($E$5:$CE$5, 1, (COLUMNS($DU21:ED21)-1)*5 + 1), INDEX($E$8:$CE$57, MATCH($C21, $C$8:$C$57, 0), (COLUMNS($DU21:ED21)-1)*5 + 4) = "SF"), INDEX($CZ$8:$CZ$23, COLUMNS($DU21:ED21)), "0"), "")</f>
        <v>0</v>
      </c>
      <c r="EE21" s="390" t="str">
        <f t="array" ref="EE21">IFERROR(IF(AND(INDEX($E$8:$CE$57, MATCH($C21, $C$8:$C$57, 0), (COLUMNS($DU21:EE21)-1)*5 + 1) = INDEX($E$5:$CE$5, 1, (COLUMNS($DU21:EE21)-1)*5 + 1), INDEX($E$8:$CE$57, MATCH($C21, $C$8:$C$57, 0), (COLUMNS($DU21:EE21)-1)*5 + 4) = "SF"), INDEX($CZ$8:$CZ$23, COLUMNS($DU21:EE21)), "0"), "")</f>
        <v>0</v>
      </c>
      <c r="EF21" s="390" t="str">
        <f t="array" ref="EF21">IFERROR(IF(AND(INDEX($E$8:$CE$57, MATCH($C21, $C$8:$C$57, 0), (COLUMNS($DU21:EF21)-1)*5 + 1) = INDEX($E$5:$CE$5, 1, (COLUMNS($DU21:EF21)-1)*5 + 1), INDEX($E$8:$CE$57, MATCH($C21, $C$8:$C$57, 0), (COLUMNS($DU21:EF21)-1)*5 + 4) = "SF"), INDEX($CZ$8:$CZ$23, COLUMNS($DU21:EF21)), "0"), "")</f>
        <v>0</v>
      </c>
      <c r="EG21" s="390" t="str">
        <f t="array" ref="EG21">IFERROR(IF(AND(INDEX($E$8:$CE$57, MATCH($C21, $C$8:$C$57, 0), (COLUMNS($DU21:EG21)-1)*5 + 1) = INDEX($E$5:$CE$5, 1, (COLUMNS($DU21:EG21)-1)*5 + 1), INDEX($E$8:$CE$57, MATCH($C21, $C$8:$C$57, 0), (COLUMNS($DU21:EG21)-1)*5 + 4) = "SF"), INDEX($CZ$8:$CZ$23, COLUMNS($DU21:EG21)), "0"), "")</f>
        <v>0</v>
      </c>
      <c r="EH21" s="390" t="str">
        <f t="array" ref="EH21">IFERROR(IF(AND(INDEX($E$8:$CE$57, MATCH($C21, $C$8:$C$57, 0), (COLUMNS($DU21:EH21)-1)*5 + 1) = INDEX($E$5:$CE$5, 1, (COLUMNS($DU21:EH21)-1)*5 + 1), INDEX($E$8:$CE$57, MATCH($C21, $C$8:$C$57, 0), (COLUMNS($DU21:EH21)-1)*5 + 4) = "SF"), INDEX($CZ$8:$CZ$23, COLUMNS($DU21:EH21)), "0"), "")</f>
        <v>0</v>
      </c>
      <c r="EI21" s="390" t="str">
        <f t="array" ref="EI21">IFERROR(IF(AND(INDEX($E$8:$CE$57, MATCH($C21, $C$8:$C$57, 0), (COLUMNS($DU21:EI21)-1)*5 + 1) = INDEX($E$5:$CE$5, 1, (COLUMNS($DU21:EI21)-1)*5 + 1), INDEX($E$8:$CE$57, MATCH($C21, $C$8:$C$57, 0), (COLUMNS($DU21:EI21)-1)*5 + 4) = "SF"), INDEX($CZ$8:$CZ$23, COLUMNS($DU21:EI21)), "0"), "")</f>
        <v>0</v>
      </c>
      <c r="EJ21" s="390" t="str">
        <f t="array" ref="EJ21">IFERROR(IF(AND(INDEX($E$8:$CE$57, MATCH($C21, $C$8:$C$57, 0), (COLUMNS($DU21:EJ21)-1)*5 + 1) = INDEX($E$5:$CE$5, 1, (COLUMNS($DU21:EJ21)-1)*5 + 1), INDEX($E$8:$CE$57, MATCH($C21, $C$8:$C$57, 0), (COLUMNS($DU21:EJ21)-1)*5 + 4) = "SF"), INDEX($CZ$8:$CZ$23, COLUMNS($DU21:EJ21)), "0"), "")</f>
        <v>0</v>
      </c>
    </row>
    <row r="22" spans="1:140" ht="20.100000000000001" customHeight="1" x14ac:dyDescent="0.35">
      <c r="A22" s="515"/>
      <c r="B22" s="91">
        <f>IF(BASE01[[#This Row],[COD]]&lt;&gt;"",B21+1,"")</f>
        <v>15</v>
      </c>
      <c r="C22" s="533" t="s">
        <v>60</v>
      </c>
      <c r="D22" s="92" t="str">
        <f t="array" ref="D22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22" s="143">
        <v>6</v>
      </c>
      <c r="F22" s="145">
        <v>1</v>
      </c>
      <c r="G22" s="145">
        <v>8</v>
      </c>
      <c r="H22" s="145"/>
      <c r="I22" s="534">
        <f t="shared" si="0"/>
        <v>1</v>
      </c>
      <c r="J22" s="143">
        <v>3</v>
      </c>
      <c r="K22" s="145">
        <v>8</v>
      </c>
      <c r="L22" s="145">
        <v>5</v>
      </c>
      <c r="M22" s="145" t="s">
        <v>254</v>
      </c>
      <c r="N22" s="534">
        <f t="shared" si="1"/>
        <v>8</v>
      </c>
      <c r="O22" s="143">
        <v>3</v>
      </c>
      <c r="P22" s="145">
        <v>2</v>
      </c>
      <c r="Q22" s="145">
        <v>6</v>
      </c>
      <c r="R22" s="145"/>
      <c r="S22" s="534">
        <f t="shared" si="2"/>
        <v>1</v>
      </c>
      <c r="T22" s="143">
        <v>6</v>
      </c>
      <c r="U22" s="145">
        <v>8</v>
      </c>
      <c r="V22" s="145">
        <v>4</v>
      </c>
      <c r="W22" s="145"/>
      <c r="X22" s="534">
        <f t="shared" si="3"/>
        <v>3.5</v>
      </c>
      <c r="Y22" s="143">
        <v>5</v>
      </c>
      <c r="Z22" s="145"/>
      <c r="AA22" s="145"/>
      <c r="AB22" s="145" t="s">
        <v>255</v>
      </c>
      <c r="AC22" s="534">
        <f t="shared" si="4"/>
        <v>7.5</v>
      </c>
      <c r="AD22" s="143">
        <v>7</v>
      </c>
      <c r="AE22" s="145">
        <v>5</v>
      </c>
      <c r="AF22" s="145">
        <v>2</v>
      </c>
      <c r="AG22" s="145"/>
      <c r="AH22" s="534">
        <f t="shared" si="5"/>
        <v>3</v>
      </c>
      <c r="AI22" s="143">
        <v>7</v>
      </c>
      <c r="AJ22" s="145">
        <v>1</v>
      </c>
      <c r="AK22" s="145">
        <v>3</v>
      </c>
      <c r="AL22" s="145"/>
      <c r="AM22" s="534">
        <f t="shared" si="6"/>
        <v>0</v>
      </c>
      <c r="AN22" s="143">
        <v>8</v>
      </c>
      <c r="AO22" s="145">
        <v>9</v>
      </c>
      <c r="AP22" s="145">
        <v>5</v>
      </c>
      <c r="AQ22" s="145"/>
      <c r="AR22" s="534">
        <f t="shared" si="7"/>
        <v>2</v>
      </c>
      <c r="AS22" s="143">
        <v>1</v>
      </c>
      <c r="AT22" s="145">
        <v>7</v>
      </c>
      <c r="AU22" s="145">
        <v>2</v>
      </c>
      <c r="AV22" s="145"/>
      <c r="AW22" s="534">
        <f t="shared" si="8"/>
        <v>0</v>
      </c>
      <c r="AX22" s="143">
        <v>9</v>
      </c>
      <c r="AY22" s="145">
        <v>3</v>
      </c>
      <c r="AZ22" s="145">
        <v>1</v>
      </c>
      <c r="BA22" s="145"/>
      <c r="BB22" s="534">
        <f t="shared" si="9"/>
        <v>1</v>
      </c>
      <c r="BC22" s="143">
        <v>4</v>
      </c>
      <c r="BD22" s="145">
        <v>2</v>
      </c>
      <c r="BE22" s="145">
        <v>5</v>
      </c>
      <c r="BF22" s="145" t="s">
        <v>254</v>
      </c>
      <c r="BG22" s="534">
        <f t="shared" si="10"/>
        <v>6</v>
      </c>
      <c r="BH22" s="143">
        <v>5</v>
      </c>
      <c r="BI22" s="145">
        <v>6</v>
      </c>
      <c r="BJ22" s="145">
        <v>1</v>
      </c>
      <c r="BK22" s="145"/>
      <c r="BL22" s="534">
        <f t="shared" si="11"/>
        <v>0</v>
      </c>
      <c r="BM22" s="143">
        <v>9</v>
      </c>
      <c r="BN22" s="145">
        <v>10</v>
      </c>
      <c r="BO22" s="145">
        <v>3</v>
      </c>
      <c r="BP22" s="145"/>
      <c r="BQ22" s="534">
        <f t="shared" si="12"/>
        <v>1</v>
      </c>
      <c r="BR22" s="143"/>
      <c r="BS22" s="145"/>
      <c r="BT22" s="145"/>
      <c r="BU22" s="145"/>
      <c r="BV22" s="534">
        <f t="shared" si="13"/>
        <v>0</v>
      </c>
      <c r="BW22" s="143"/>
      <c r="BX22" s="145"/>
      <c r="BY22" s="145"/>
      <c r="BZ22" s="145"/>
      <c r="CA22" s="534">
        <f t="shared" si="14"/>
        <v>0</v>
      </c>
      <c r="CB22" s="143"/>
      <c r="CC22" s="145"/>
      <c r="CD22" s="145"/>
      <c r="CE22" s="145"/>
      <c r="CF22" s="534">
        <f t="shared" si="15"/>
        <v>0</v>
      </c>
      <c r="CG22" s="162">
        <f>IF(BASE01[[#This Row],[1]]="",0,$B$4)</f>
        <v>13</v>
      </c>
      <c r="CH22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4</v>
      </c>
      <c r="CI22" s="164">
        <f>IF(BASE01[[#This Row],[Columna14]]=0,0,(CH22/CG22))</f>
        <v>0.30769230769230771</v>
      </c>
      <c r="CJ22" s="163">
        <f>IF(BASE01[[#This Row],[1]]="",0,$B$4)</f>
        <v>13</v>
      </c>
      <c r="CK22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4</v>
      </c>
      <c r="CL22" s="164">
        <f>IF(BASE01[[#This Row],[Columna14]]=0,0,(CK22/CJ22))</f>
        <v>0.30769230769230771</v>
      </c>
      <c r="CM22" s="162">
        <f>IF(BASE01[[#This Row],[1]]="",0,$B$4)</f>
        <v>13</v>
      </c>
      <c r="CN22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10</v>
      </c>
      <c r="CO22" s="164">
        <f>IF(BASE01[[#This Row],[Columna14]]=0,0,(CN22/CM22))</f>
        <v>0.76923076923076927</v>
      </c>
      <c r="CP22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22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Row],[Columna25]],$AX$5,BA22,"SF")+COUNTIFS(BASE01[[#This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3</v>
      </c>
      <c r="CR22" s="164">
        <f>IF(BASE01[[#This Row],[Columna14]]=0,0,(CQ22/CP22))</f>
        <v>1</v>
      </c>
      <c r="CS22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34</v>
      </c>
      <c r="CT22" s="93"/>
      <c r="CU22" s="536">
        <f t="shared" si="16"/>
        <v>34</v>
      </c>
      <c r="CV22" s="94">
        <f>IF(BASE01[[#This Row],[TIPO]]="PREMIO",$O$3,"0,00")</f>
        <v>1000</v>
      </c>
      <c r="CW22" s="515"/>
      <c r="CY22" s="388">
        <v>15</v>
      </c>
      <c r="CZ22" s="349">
        <f>BX$6</f>
        <v>0</v>
      </c>
      <c r="DB22" s="537" t="str">
        <f>BASE01[[#This Row],[COD]]</f>
        <v>COD 15</v>
      </c>
      <c r="DC22" s="390" t="str">
        <f t="array" ref="DC22">IFERROR(IF(AND(INDEX($E$8:$CE$57, MATCH($C22, $C$8:$C$57, 0), (COLUMNS($DC22:DC22)-1)*5 + 1) = INDEX($E$5:$CE$5, 1, (COLUMNS($DC22:DC22)-1)*5 + 1), INDEX($E$8:$CE$57, MATCH($C22, $C$8:$C$57, 0), (COLUMNS($DC22:DC22)-1)*5 + 4) = "F"), INDEX($CZ$8:$CZ$23, COLUMNS($DC22:DC22)), "0"), "")</f>
        <v>0</v>
      </c>
      <c r="DD22" s="390">
        <f t="array" ref="DD22">IFERROR(IF(AND(INDEX($E$8:$CE$57, MATCH($C22, $C$8:$C$57, 0), (COLUMNS($DC22:DD22)-1)*5 + 1) = INDEX($E$5:$CE$5, 1, (COLUMNS($DC22:DD22)-1)*5 + 1), INDEX($E$8:$CE$57, MATCH($C22, $C$8:$C$57, 0), (COLUMNS($DC22:DD22)-1)*5 + 4) = "F"), INDEX($CZ$8:$CZ$23, COLUMNS($DC22:DD22)), "0"), "")</f>
        <v>211.39</v>
      </c>
      <c r="DE22" s="390" t="str">
        <f t="array" ref="DE22">IFERROR(IF(AND(INDEX($E$8:$CE$57, MATCH($C22, $C$8:$C$57, 0), (COLUMNS($DC22:DE22)-1)*5 + 1) = INDEX($E$5:$CE$5, 1, (COLUMNS($DC22:DE22)-1)*5 + 1), INDEX($E$8:$CE$57, MATCH($C22, $C$8:$C$57, 0), (COLUMNS($DC22:DE22)-1)*5 + 4) = "F"), INDEX($CZ$8:$CZ$23, COLUMNS($DC22:DE22)), "0"), "")</f>
        <v>0</v>
      </c>
      <c r="DF22" s="390" t="str">
        <f t="array" ref="DF22">IFERROR(IF(AND(INDEX($E$8:$CE$57, MATCH($C22, $C$8:$C$57, 0), (COLUMNS($DC22:DF22)-1)*5 + 1) = INDEX($E$5:$CE$5, 1, (COLUMNS($DC22:DF22)-1)*5 + 1), INDEX($E$8:$CE$57, MATCH($C22, $C$8:$C$57, 0), (COLUMNS($DC22:DF22)-1)*5 + 4) = "F"), INDEX($CZ$8:$CZ$23, COLUMNS($DC22:DF22)), "0"), "")</f>
        <v>0</v>
      </c>
      <c r="DG22" s="390" t="str">
        <f t="array" ref="DG22">IFERROR(IF(AND(INDEX($E$8:$CE$57, MATCH($C22, $C$8:$C$57, 0), (COLUMNS($DC22:DG22)-1)*5 + 1) = INDEX($E$5:$CE$5, 1, (COLUMNS($DC22:DG22)-1)*5 + 1), INDEX($E$8:$CE$57, MATCH($C22, $C$8:$C$57, 0), (COLUMNS($DC22:DG22)-1)*5 + 4) = "F"), INDEX($CZ$8:$CZ$23, COLUMNS($DC22:DG22)), "0"), "")</f>
        <v>0</v>
      </c>
      <c r="DH22" s="390" t="str">
        <f t="array" ref="DH22">IFERROR(IF(AND(INDEX($E$8:$CE$57, MATCH($C22, $C$8:$C$57, 0), (COLUMNS($DC22:DH22)-1)*5 + 1) = INDEX($E$5:$CE$5, 1, (COLUMNS($DC22:DH22)-1)*5 + 1), INDEX($E$8:$CE$57, MATCH($C22, $C$8:$C$57, 0), (COLUMNS($DC22:DH22)-1)*5 + 4) = "F"), INDEX($CZ$8:$CZ$23, COLUMNS($DC22:DH22)), "0"), "")</f>
        <v>0</v>
      </c>
      <c r="DI22" s="390" t="str">
        <f t="array" ref="DI22">IFERROR(IF(AND(INDEX($E$8:$CE$57, MATCH($C22, $C$8:$C$57, 0), (COLUMNS($DC22:DI22)-1)*5 + 1) = INDEX($E$5:$CE$5, 1, (COLUMNS($DC22:DI22)-1)*5 + 1), INDEX($E$8:$CE$57, MATCH($C22, $C$8:$C$57, 0), (COLUMNS($DC22:DI22)-1)*5 + 4) = "F"), INDEX($CZ$8:$CZ$23, COLUMNS($DC22:DI22)), "0"), "")</f>
        <v>0</v>
      </c>
      <c r="DJ22" s="390" t="str">
        <f t="array" ref="DJ22">IFERROR(IF(AND(INDEX($E$8:$CE$57, MATCH($C22, $C$8:$C$57, 0), (COLUMNS($DC22:DJ22)-1)*5 + 1) = INDEX($E$5:$CE$5, 1, (COLUMNS($DC22:DJ22)-1)*5 + 1), INDEX($E$8:$CE$57, MATCH($C22, $C$8:$C$57, 0), (COLUMNS($DC22:DJ22)-1)*5 + 4) = "F"), INDEX($CZ$8:$CZ$23, COLUMNS($DC22:DJ22)), "0"), "")</f>
        <v>0</v>
      </c>
      <c r="DK22" s="390" t="str">
        <f t="array" ref="DK22">IFERROR(IF(AND(INDEX($E$8:$CE$57, MATCH($C22, $C$8:$C$57, 0), (COLUMNS($DC22:DK22)-1)*5 + 1) = INDEX($E$5:$CE$5, 1, (COLUMNS($DC22:DK22)-1)*5 + 1), INDEX($E$8:$CE$57, MATCH($C22, $C$8:$C$57, 0), (COLUMNS($DC22:DK22)-1)*5 + 4) = "F"), INDEX($CZ$8:$CZ$23, COLUMNS($DC22:DK22)), "0"), "")</f>
        <v>0</v>
      </c>
      <c r="DL22" s="390" t="str">
        <f t="array" ref="DL22">IFERROR(IF(AND(INDEX($E$8:$CE$57, MATCH($C22, $C$8:$C$57, 0), (COLUMNS($DC22:DL22)-1)*5 + 1) = INDEX($E$5:$CE$5, 1, (COLUMNS($DC22:DL22)-1)*5 + 1), INDEX($E$8:$CE$57, MATCH($C22, $C$8:$C$57, 0), (COLUMNS($DC22:DL22)-1)*5 + 4) = "F"), INDEX($CZ$8:$CZ$23, COLUMNS($DC22:DL22)), "0"), "")</f>
        <v>0</v>
      </c>
      <c r="DM22" s="390">
        <f t="array" ref="DM22">IFERROR(IF(AND(INDEX($E$8:$CE$57, MATCH($C22, $C$8:$C$57, 0), (COLUMNS($DC22:DM22)-1)*5 + 1) = INDEX($E$5:$CE$5, 1, (COLUMNS($DC22:DM22)-1)*5 + 1), INDEX($E$8:$CE$57, MATCH($C22, $C$8:$C$57, 0), (COLUMNS($DC22:DM22)-1)*5 + 4) = "F"), INDEX($CZ$8:$CZ$23, COLUMNS($DC22:DM22)), "0"), "")</f>
        <v>184.94</v>
      </c>
      <c r="DN22" s="390" t="str">
        <f t="array" ref="DN22">IFERROR(IF(AND(INDEX($E$8:$CE$57, MATCH($C22, $C$8:$C$57, 0), (COLUMNS($DC22:DN22)-1)*5 + 1) = INDEX($E$5:$CE$5, 1, (COLUMNS($DC22:DN22)-1)*5 + 1), INDEX($E$8:$CE$57, MATCH($C22, $C$8:$C$57, 0), (COLUMNS($DC22:DN22)-1)*5 + 4) = "F"), INDEX($CZ$8:$CZ$23, COLUMNS($DC22:DN22)), "0"), "")</f>
        <v>0</v>
      </c>
      <c r="DO22" s="390" t="str">
        <f t="array" ref="DO22">IFERROR(IF(AND(INDEX($E$8:$CE$57, MATCH($C22, $C$8:$C$57, 0), (COLUMNS($DC22:DO22)-1)*5 + 1) = INDEX($E$5:$CE$5, 1, (COLUMNS($DC22:DO22)-1)*5 + 1), INDEX($E$8:$CE$57, MATCH($C22, $C$8:$C$57, 0), (COLUMNS($DC22:DO22)-1)*5 + 4) = "F"), INDEX($CZ$8:$CZ$23, COLUMNS($DC22:DO22)), "0"), "")</f>
        <v>0</v>
      </c>
      <c r="DP22" s="390" t="str">
        <f t="array" ref="DP22">IFERROR(IF(AND(INDEX($E$8:$CE$57, MATCH($C22, $C$8:$C$57, 0), (COLUMNS($DC22:DP22)-1)*5 + 1) = INDEX($E$5:$CE$5, 1, (COLUMNS($DC22:DP22)-1)*5 + 1), INDEX($E$8:$CE$57, MATCH($C22, $C$8:$C$57, 0), (COLUMNS($DC22:DP22)-1)*5 + 4) = "F"), INDEX($CZ$8:$CZ$23, COLUMNS($DC22:DP22)), "0"), "")</f>
        <v>0</v>
      </c>
      <c r="DQ22" s="390" t="str">
        <f t="array" ref="DQ22">IFERROR(IF(AND(INDEX($E$8:$CE$57, MATCH($C22, $C$8:$C$57, 0), (COLUMNS($DC22:DQ22)-1)*5 + 1) = INDEX($E$5:$CE$5, 1, (COLUMNS($DC22:DQ22)-1)*5 + 1), INDEX($E$8:$CE$57, MATCH($C22, $C$8:$C$57, 0), (COLUMNS($DC22:DQ22)-1)*5 + 4) = "F"), INDEX($CZ$8:$CZ$23, COLUMNS($DC22:DQ22)), "0"), "")</f>
        <v>0</v>
      </c>
      <c r="DR22" s="390" t="str">
        <f t="array" ref="DR22">IFERROR(IF(AND(INDEX($E$8:$CE$57, MATCH($C22, $C$8:$C$57, 0), (COLUMNS($DC22:DR22)-1)*5 + 1) = INDEX($E$5:$CE$5, 1, (COLUMNS($DC22:DR22)-1)*5 + 1), INDEX($E$8:$CE$57, MATCH($C22, $C$8:$C$57, 0), (COLUMNS($DC22:DR22)-1)*5 + 4) = "F"), INDEX($CZ$8:$CZ$23, COLUMNS($DC22:DR22)), "0"), "")</f>
        <v>0</v>
      </c>
      <c r="DT22" s="537" t="str">
        <f>BASE01[[#This Row],[COD]]</f>
        <v>COD 15</v>
      </c>
      <c r="DU22" s="390" t="str">
        <f t="array" ref="DU22">IFERROR(IF(AND(INDEX($E$8:$CE$57, MATCH($C22, $C$8:$C$57, 0), (COLUMNS($DU22:DU22)-1)*5 + 1) = INDEX($E$5:$CE$5, 1, (COLUMNS($DU22:DU22)-1)*5 + 1), INDEX($E$8:$CE$57, MATCH($C22, $C$8:$C$57, 0), (COLUMNS($DU22:DU22)-1)*5 + 4) = "SF"), INDEX($CZ$8:$CZ$23, COLUMNS($DU22:DU22)), "0"), "")</f>
        <v>0</v>
      </c>
      <c r="DV22" s="390" t="str">
        <f t="array" ref="DV22">IFERROR(IF(AND(INDEX($E$8:$CE$57, MATCH($C22, $C$8:$C$57, 0), (COLUMNS($DU22:DV22)-1)*5 + 1) = INDEX($E$5:$CE$5, 1, (COLUMNS($DU22:DV22)-1)*5 + 1), INDEX($E$8:$CE$57, MATCH($C22, $C$8:$C$57, 0), (COLUMNS($DU22:DV22)-1)*5 + 4) = "SF"), INDEX($CZ$8:$CZ$23, COLUMNS($DU22:DV22)), "0"), "")</f>
        <v>0</v>
      </c>
      <c r="DW22" s="390" t="str">
        <f t="array" ref="DW22">IFERROR(IF(AND(INDEX($E$8:$CE$57, MATCH($C22, $C$8:$C$57, 0), (COLUMNS($DU22:DW22)-1)*5 + 1) = INDEX($E$5:$CE$5, 1, (COLUMNS($DU22:DW22)-1)*5 + 1), INDEX($E$8:$CE$57, MATCH($C22, $C$8:$C$57, 0), (COLUMNS($DU22:DW22)-1)*5 + 4) = "SF"), INDEX($CZ$8:$CZ$23, COLUMNS($DU22:DW22)), "0"), "")</f>
        <v>0</v>
      </c>
      <c r="DX22" s="390" t="str">
        <f t="array" ref="DX22">IFERROR(IF(AND(INDEX($E$8:$CE$57, MATCH($C22, $C$8:$C$57, 0), (COLUMNS($DU22:DX22)-1)*5 + 1) = INDEX($E$5:$CE$5, 1, (COLUMNS($DU22:DX22)-1)*5 + 1), INDEX($E$8:$CE$57, MATCH($C22, $C$8:$C$57, 0), (COLUMNS($DU22:DX22)-1)*5 + 4) = "SF"), INDEX($CZ$8:$CZ$23, COLUMNS($DU22:DX22)), "0"), "")</f>
        <v>0</v>
      </c>
      <c r="DY22" s="390">
        <f t="array" ref="DY22">IFERROR(IF(AND(INDEX($E$8:$CE$57, MATCH($C22, $C$8:$C$57, 0), (COLUMNS($DU22:DY22)-1)*5 + 1) = INDEX($E$5:$CE$5, 1, (COLUMNS($DU22:DY22)-1)*5 + 1), INDEX($E$8:$CE$57, MATCH($C22, $C$8:$C$57, 0), (COLUMNS($DU22:DY22)-1)*5 + 4) = "SF"), INDEX($CZ$8:$CZ$23, COLUMNS($DU22:DY22)), "0"), "")</f>
        <v>110</v>
      </c>
      <c r="DZ22" s="390" t="str">
        <f t="array" ref="DZ22">IFERROR(IF(AND(INDEX($E$8:$CE$57, MATCH($C22, $C$8:$C$57, 0), (COLUMNS($DU22:DZ22)-1)*5 + 1) = INDEX($E$5:$CE$5, 1, (COLUMNS($DU22:DZ22)-1)*5 + 1), INDEX($E$8:$CE$57, MATCH($C22, $C$8:$C$57, 0), (COLUMNS($DU22:DZ22)-1)*5 + 4) = "SF"), INDEX($CZ$8:$CZ$23, COLUMNS($DU22:DZ22)), "0"), "")</f>
        <v>0</v>
      </c>
      <c r="EA22" s="390" t="str">
        <f t="array" ref="EA22">IFERROR(IF(AND(INDEX($E$8:$CE$57, MATCH($C22, $C$8:$C$57, 0), (COLUMNS($DU22:EA22)-1)*5 + 1) = INDEX($E$5:$CE$5, 1, (COLUMNS($DU22:EA22)-1)*5 + 1), INDEX($E$8:$CE$57, MATCH($C22, $C$8:$C$57, 0), (COLUMNS($DU22:EA22)-1)*5 + 4) = "SF"), INDEX($CZ$8:$CZ$23, COLUMNS($DU22:EA22)), "0"), "")</f>
        <v>0</v>
      </c>
      <c r="EB22" s="390" t="str">
        <f t="array" ref="EB22">IFERROR(IF(AND(INDEX($E$8:$CE$57, MATCH($C22, $C$8:$C$57, 0), (COLUMNS($DU22:EB22)-1)*5 + 1) = INDEX($E$5:$CE$5, 1, (COLUMNS($DU22:EB22)-1)*5 + 1), INDEX($E$8:$CE$57, MATCH($C22, $C$8:$C$57, 0), (COLUMNS($DU22:EB22)-1)*5 + 4) = "SF"), INDEX($CZ$8:$CZ$23, COLUMNS($DU22:EB22)), "0"), "")</f>
        <v>0</v>
      </c>
      <c r="EC22" s="390" t="str">
        <f t="array" ref="EC22">IFERROR(IF(AND(INDEX($E$8:$CE$57, MATCH($C22, $C$8:$C$57, 0), (COLUMNS($DU22:EC22)-1)*5 + 1) = INDEX($E$5:$CE$5, 1, (COLUMNS($DU22:EC22)-1)*5 + 1), INDEX($E$8:$CE$57, MATCH($C22, $C$8:$C$57, 0), (COLUMNS($DU22:EC22)-1)*5 + 4) = "SF"), INDEX($CZ$8:$CZ$23, COLUMNS($DU22:EC22)), "0"), "")</f>
        <v>0</v>
      </c>
      <c r="ED22" s="390" t="str">
        <f t="array" ref="ED22">IFERROR(IF(AND(INDEX($E$8:$CE$57, MATCH($C22, $C$8:$C$57, 0), (COLUMNS($DU22:ED22)-1)*5 + 1) = INDEX($E$5:$CE$5, 1, (COLUMNS($DU22:ED22)-1)*5 + 1), INDEX($E$8:$CE$57, MATCH($C22, $C$8:$C$57, 0), (COLUMNS($DU22:ED22)-1)*5 + 4) = "SF"), INDEX($CZ$8:$CZ$23, COLUMNS($DU22:ED22)), "0"), "")</f>
        <v>0</v>
      </c>
      <c r="EE22" s="390" t="str">
        <f t="array" ref="EE22">IFERROR(IF(AND(INDEX($E$8:$CE$57, MATCH($C22, $C$8:$C$57, 0), (COLUMNS($DU22:EE22)-1)*5 + 1) = INDEX($E$5:$CE$5, 1, (COLUMNS($DU22:EE22)-1)*5 + 1), INDEX($E$8:$CE$57, MATCH($C22, $C$8:$C$57, 0), (COLUMNS($DU22:EE22)-1)*5 + 4) = "SF"), INDEX($CZ$8:$CZ$23, COLUMNS($DU22:EE22)), "0"), "")</f>
        <v>0</v>
      </c>
      <c r="EF22" s="390" t="str">
        <f t="array" ref="EF22">IFERROR(IF(AND(INDEX($E$8:$CE$57, MATCH($C22, $C$8:$C$57, 0), (COLUMNS($DU22:EF22)-1)*5 + 1) = INDEX($E$5:$CE$5, 1, (COLUMNS($DU22:EF22)-1)*5 + 1), INDEX($E$8:$CE$57, MATCH($C22, $C$8:$C$57, 0), (COLUMNS($DU22:EF22)-1)*5 + 4) = "SF"), INDEX($CZ$8:$CZ$23, COLUMNS($DU22:EF22)), "0"), "")</f>
        <v>0</v>
      </c>
      <c r="EG22" s="390" t="str">
        <f t="array" ref="EG22">IFERROR(IF(AND(INDEX($E$8:$CE$57, MATCH($C22, $C$8:$C$57, 0), (COLUMNS($DU22:EG22)-1)*5 + 1) = INDEX($E$5:$CE$5, 1, (COLUMNS($DU22:EG22)-1)*5 + 1), INDEX($E$8:$CE$57, MATCH($C22, $C$8:$C$57, 0), (COLUMNS($DU22:EG22)-1)*5 + 4) = "SF"), INDEX($CZ$8:$CZ$23, COLUMNS($DU22:EG22)), "0"), "")</f>
        <v>0</v>
      </c>
      <c r="EH22" s="390" t="str">
        <f t="array" ref="EH22">IFERROR(IF(AND(INDEX($E$8:$CE$57, MATCH($C22, $C$8:$C$57, 0), (COLUMNS($DU22:EH22)-1)*5 + 1) = INDEX($E$5:$CE$5, 1, (COLUMNS($DU22:EH22)-1)*5 + 1), INDEX($E$8:$CE$57, MATCH($C22, $C$8:$C$57, 0), (COLUMNS($DU22:EH22)-1)*5 + 4) = "SF"), INDEX($CZ$8:$CZ$23, COLUMNS($DU22:EH22)), "0"), "")</f>
        <v>0</v>
      </c>
      <c r="EI22" s="390" t="str">
        <f t="array" ref="EI22">IFERROR(IF(AND(INDEX($E$8:$CE$57, MATCH($C22, $C$8:$C$57, 0), (COLUMNS($DU22:EI22)-1)*5 + 1) = INDEX($E$5:$CE$5, 1, (COLUMNS($DU22:EI22)-1)*5 + 1), INDEX($E$8:$CE$57, MATCH($C22, $C$8:$C$57, 0), (COLUMNS($DU22:EI22)-1)*5 + 4) = "SF"), INDEX($CZ$8:$CZ$23, COLUMNS($DU22:EI22)), "0"), "")</f>
        <v>0</v>
      </c>
      <c r="EJ22" s="390" t="str">
        <f t="array" ref="EJ22">IFERROR(IF(AND(INDEX($E$8:$CE$57, MATCH($C22, $C$8:$C$57, 0), (COLUMNS($DU22:EJ22)-1)*5 + 1) = INDEX($E$5:$CE$5, 1, (COLUMNS($DU22:EJ22)-1)*5 + 1), INDEX($E$8:$CE$57, MATCH($C22, $C$8:$C$57, 0), (COLUMNS($DU22:EJ22)-1)*5 + 4) = "SF"), INDEX($CZ$8:$CZ$23, COLUMNS($DU22:EJ22)), "0"), "")</f>
        <v>0</v>
      </c>
    </row>
    <row r="23" spans="1:140" ht="20.100000000000001" customHeight="1" x14ac:dyDescent="0.35">
      <c r="A23" s="515"/>
      <c r="B23" s="91">
        <f>IF(BASE01[[#This Row],[COD]]&lt;&gt;"",B22+1,"")</f>
        <v>16</v>
      </c>
      <c r="C23" s="533" t="s">
        <v>62</v>
      </c>
      <c r="D23" s="92" t="str">
        <f t="array" ref="D23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23" s="143">
        <v>1</v>
      </c>
      <c r="F23" s="145">
        <v>8</v>
      </c>
      <c r="G23" s="145">
        <v>6</v>
      </c>
      <c r="H23" s="145"/>
      <c r="I23" s="534">
        <f t="shared" si="0"/>
        <v>2</v>
      </c>
      <c r="J23" s="143">
        <v>8</v>
      </c>
      <c r="K23" s="145">
        <v>3</v>
      </c>
      <c r="L23" s="145">
        <v>1</v>
      </c>
      <c r="M23" s="145"/>
      <c r="N23" s="534">
        <f t="shared" si="1"/>
        <v>2</v>
      </c>
      <c r="O23" s="143">
        <v>3</v>
      </c>
      <c r="P23" s="145">
        <v>8</v>
      </c>
      <c r="Q23" s="145">
        <v>2</v>
      </c>
      <c r="R23" s="145"/>
      <c r="S23" s="534">
        <f t="shared" si="2"/>
        <v>0</v>
      </c>
      <c r="T23" s="143">
        <v>6</v>
      </c>
      <c r="U23" s="145">
        <v>9</v>
      </c>
      <c r="V23" s="145">
        <v>1</v>
      </c>
      <c r="W23" s="145" t="s">
        <v>254</v>
      </c>
      <c r="X23" s="534">
        <f t="shared" si="3"/>
        <v>5.5</v>
      </c>
      <c r="Y23" s="143">
        <v>5</v>
      </c>
      <c r="Z23" s="145"/>
      <c r="AA23" s="145"/>
      <c r="AB23" s="145" t="s">
        <v>255</v>
      </c>
      <c r="AC23" s="534">
        <f t="shared" si="4"/>
        <v>7.5</v>
      </c>
      <c r="AD23" s="143">
        <v>7</v>
      </c>
      <c r="AE23" s="145">
        <v>2</v>
      </c>
      <c r="AF23" s="145">
        <v>5</v>
      </c>
      <c r="AG23" s="145"/>
      <c r="AH23" s="534">
        <f t="shared" si="5"/>
        <v>4</v>
      </c>
      <c r="AI23" s="143">
        <v>4</v>
      </c>
      <c r="AJ23" s="145">
        <v>7</v>
      </c>
      <c r="AK23" s="145">
        <v>3</v>
      </c>
      <c r="AL23" s="145"/>
      <c r="AM23" s="534">
        <f t="shared" si="6"/>
        <v>4</v>
      </c>
      <c r="AN23" s="143">
        <v>8</v>
      </c>
      <c r="AO23" s="145">
        <v>9</v>
      </c>
      <c r="AP23" s="145">
        <v>11</v>
      </c>
      <c r="AQ23" s="145"/>
      <c r="AR23" s="534">
        <f t="shared" si="7"/>
        <v>0</v>
      </c>
      <c r="AS23" s="143">
        <v>1</v>
      </c>
      <c r="AT23" s="145">
        <v>7</v>
      </c>
      <c r="AU23" s="145">
        <v>2</v>
      </c>
      <c r="AV23" s="145"/>
      <c r="AW23" s="534">
        <f t="shared" si="8"/>
        <v>0</v>
      </c>
      <c r="AX23" s="143">
        <v>9</v>
      </c>
      <c r="AY23" s="145">
        <v>1</v>
      </c>
      <c r="AZ23" s="145">
        <v>8</v>
      </c>
      <c r="BA23" s="145"/>
      <c r="BB23" s="534">
        <f t="shared" si="9"/>
        <v>2</v>
      </c>
      <c r="BC23" s="143">
        <v>4</v>
      </c>
      <c r="BD23" s="145">
        <v>8</v>
      </c>
      <c r="BE23" s="145">
        <v>7</v>
      </c>
      <c r="BF23" s="145"/>
      <c r="BG23" s="534">
        <f t="shared" si="10"/>
        <v>4</v>
      </c>
      <c r="BH23" s="143">
        <v>5</v>
      </c>
      <c r="BI23" s="145">
        <v>1</v>
      </c>
      <c r="BJ23" s="145">
        <v>2</v>
      </c>
      <c r="BK23" s="145" t="s">
        <v>254</v>
      </c>
      <c r="BL23" s="534">
        <f t="shared" si="11"/>
        <v>2</v>
      </c>
      <c r="BM23" s="143">
        <v>1</v>
      </c>
      <c r="BN23" s="145">
        <v>3</v>
      </c>
      <c r="BO23" s="145">
        <v>9</v>
      </c>
      <c r="BP23" s="145"/>
      <c r="BQ23" s="534">
        <f t="shared" si="12"/>
        <v>2</v>
      </c>
      <c r="BR23" s="143"/>
      <c r="BS23" s="145"/>
      <c r="BT23" s="145"/>
      <c r="BU23" s="145"/>
      <c r="BV23" s="534">
        <f t="shared" si="13"/>
        <v>0</v>
      </c>
      <c r="BW23" s="143"/>
      <c r="BX23" s="145"/>
      <c r="BY23" s="145"/>
      <c r="BZ23" s="145"/>
      <c r="CA23" s="534">
        <f t="shared" si="14"/>
        <v>0</v>
      </c>
      <c r="CB23" s="143"/>
      <c r="CC23" s="145"/>
      <c r="CD23" s="145"/>
      <c r="CE23" s="145"/>
      <c r="CF23" s="534">
        <f t="shared" si="15"/>
        <v>0</v>
      </c>
      <c r="CG23" s="162">
        <f>IF(BASE01[[#This Row],[1]]="",0,$B$4)</f>
        <v>13</v>
      </c>
      <c r="CH23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4</v>
      </c>
      <c r="CI23" s="164">
        <f>IF(BASE01[[#This Row],[Columna14]]=0,0,(CH23/CG23))</f>
        <v>0.30769230769230771</v>
      </c>
      <c r="CJ23" s="163">
        <f>IF(BASE01[[#This Row],[1]]="",0,$B$4)</f>
        <v>13</v>
      </c>
      <c r="CK23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9</v>
      </c>
      <c r="CL23" s="164">
        <f>IF(BASE01[[#This Row],[Columna14]]=0,0,(CK23/CJ23))</f>
        <v>0.69230769230769229</v>
      </c>
      <c r="CM23" s="162">
        <f>IF(BASE01[[#This Row],[1]]="",0,$B$4)</f>
        <v>13</v>
      </c>
      <c r="CN23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10</v>
      </c>
      <c r="CO23" s="164">
        <f>IF(BASE01[[#This Row],[Columna14]]=0,0,(CN23/CM23))</f>
        <v>0.76923076923076927</v>
      </c>
      <c r="CP23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23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Row],[Columna25]],$AX$5,BA23,"SF")+COUNTIFS(BASE01[[#This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23" s="164">
        <f>IF(BASE01[[#This Row],[Columna14]]=0,0,(CQ23/CP23))</f>
        <v>0.66666666666666663</v>
      </c>
      <c r="CS23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35</v>
      </c>
      <c r="CT23" s="93"/>
      <c r="CU23" s="536">
        <f t="shared" si="16"/>
        <v>35</v>
      </c>
      <c r="CV23" s="94">
        <f>IF(BASE01[[#This Row],[TIPO]]="PREMIO",$O$3,"0,00")</f>
        <v>1000</v>
      </c>
      <c r="CW23" s="515"/>
      <c r="CY23" s="388">
        <v>16</v>
      </c>
      <c r="CZ23" s="349">
        <f>CC$6</f>
        <v>0</v>
      </c>
      <c r="DB23" s="537" t="str">
        <f>BASE01[[#This Row],[COD]]</f>
        <v>COD 16</v>
      </c>
      <c r="DC23" s="390" t="str">
        <f t="array" ref="DC23">IFERROR(IF(AND(INDEX($E$8:$CE$57, MATCH($C23, $C$8:$C$57, 0), (COLUMNS($DC23:DC23)-1)*5 + 1) = INDEX($E$5:$CE$5, 1, (COLUMNS($DC23:DC23)-1)*5 + 1), INDEX($E$8:$CE$57, MATCH($C23, $C$8:$C$57, 0), (COLUMNS($DC23:DC23)-1)*5 + 4) = "F"), INDEX($CZ$8:$CZ$23, COLUMNS($DC23:DC23)), "0"), "")</f>
        <v>0</v>
      </c>
      <c r="DD23" s="390" t="str">
        <f t="array" ref="DD23">IFERROR(IF(AND(INDEX($E$8:$CE$57, MATCH($C23, $C$8:$C$57, 0), (COLUMNS($DC23:DD23)-1)*5 + 1) = INDEX($E$5:$CE$5, 1, (COLUMNS($DC23:DD23)-1)*5 + 1), INDEX($E$8:$CE$57, MATCH($C23, $C$8:$C$57, 0), (COLUMNS($DC23:DD23)-1)*5 + 4) = "F"), INDEX($CZ$8:$CZ$23, COLUMNS($DC23:DD23)), "0"), "")</f>
        <v>0</v>
      </c>
      <c r="DE23" s="390" t="str">
        <f t="array" ref="DE23">IFERROR(IF(AND(INDEX($E$8:$CE$57, MATCH($C23, $C$8:$C$57, 0), (COLUMNS($DC23:DE23)-1)*5 + 1) = INDEX($E$5:$CE$5, 1, (COLUMNS($DC23:DE23)-1)*5 + 1), INDEX($E$8:$CE$57, MATCH($C23, $C$8:$C$57, 0), (COLUMNS($DC23:DE23)-1)*5 + 4) = "F"), INDEX($CZ$8:$CZ$23, COLUMNS($DC23:DE23)), "0"), "")</f>
        <v>0</v>
      </c>
      <c r="DF23" s="390">
        <f t="array" ref="DF23">IFERROR(IF(AND(INDEX($E$8:$CE$57, MATCH($C23, $C$8:$C$57, 0), (COLUMNS($DC23:DF23)-1)*5 + 1) = INDEX($E$5:$CE$5, 1, (COLUMNS($DC23:DF23)-1)*5 + 1), INDEX($E$8:$CE$57, MATCH($C23, $C$8:$C$57, 0), (COLUMNS($DC23:DF23)-1)*5 + 4) = "F"), INDEX($CZ$8:$CZ$23, COLUMNS($DC23:DF23)), "0"), "")</f>
        <v>110</v>
      </c>
      <c r="DG23" s="390" t="str">
        <f t="array" ref="DG23">IFERROR(IF(AND(INDEX($E$8:$CE$57, MATCH($C23, $C$8:$C$57, 0), (COLUMNS($DC23:DG23)-1)*5 + 1) = INDEX($E$5:$CE$5, 1, (COLUMNS($DC23:DG23)-1)*5 + 1), INDEX($E$8:$CE$57, MATCH($C23, $C$8:$C$57, 0), (COLUMNS($DC23:DG23)-1)*5 + 4) = "F"), INDEX($CZ$8:$CZ$23, COLUMNS($DC23:DG23)), "0"), "")</f>
        <v>0</v>
      </c>
      <c r="DH23" s="390" t="str">
        <f t="array" ref="DH23">IFERROR(IF(AND(INDEX($E$8:$CE$57, MATCH($C23, $C$8:$C$57, 0), (COLUMNS($DC23:DH23)-1)*5 + 1) = INDEX($E$5:$CE$5, 1, (COLUMNS($DC23:DH23)-1)*5 + 1), INDEX($E$8:$CE$57, MATCH($C23, $C$8:$C$57, 0), (COLUMNS($DC23:DH23)-1)*5 + 4) = "F"), INDEX($CZ$8:$CZ$23, COLUMNS($DC23:DH23)), "0"), "")</f>
        <v>0</v>
      </c>
      <c r="DI23" s="390" t="str">
        <f t="array" ref="DI23">IFERROR(IF(AND(INDEX($E$8:$CE$57, MATCH($C23, $C$8:$C$57, 0), (COLUMNS($DC23:DI23)-1)*5 + 1) = INDEX($E$5:$CE$5, 1, (COLUMNS($DC23:DI23)-1)*5 + 1), INDEX($E$8:$CE$57, MATCH($C23, $C$8:$C$57, 0), (COLUMNS($DC23:DI23)-1)*5 + 4) = "F"), INDEX($CZ$8:$CZ$23, COLUMNS($DC23:DI23)), "0"), "")</f>
        <v>0</v>
      </c>
      <c r="DJ23" s="390" t="str">
        <f t="array" ref="DJ23">IFERROR(IF(AND(INDEX($E$8:$CE$57, MATCH($C23, $C$8:$C$57, 0), (COLUMNS($DC23:DJ23)-1)*5 + 1) = INDEX($E$5:$CE$5, 1, (COLUMNS($DC23:DJ23)-1)*5 + 1), INDEX($E$8:$CE$57, MATCH($C23, $C$8:$C$57, 0), (COLUMNS($DC23:DJ23)-1)*5 + 4) = "F"), INDEX($CZ$8:$CZ$23, COLUMNS($DC23:DJ23)), "0"), "")</f>
        <v>0</v>
      </c>
      <c r="DK23" s="390" t="str">
        <f t="array" ref="DK23">IFERROR(IF(AND(INDEX($E$8:$CE$57, MATCH($C23, $C$8:$C$57, 0), (COLUMNS($DC23:DK23)-1)*5 + 1) = INDEX($E$5:$CE$5, 1, (COLUMNS($DC23:DK23)-1)*5 + 1), INDEX($E$8:$CE$57, MATCH($C23, $C$8:$C$57, 0), (COLUMNS($DC23:DK23)-1)*5 + 4) = "F"), INDEX($CZ$8:$CZ$23, COLUMNS($DC23:DK23)), "0"), "")</f>
        <v>0</v>
      </c>
      <c r="DL23" s="390" t="str">
        <f t="array" ref="DL23">IFERROR(IF(AND(INDEX($E$8:$CE$57, MATCH($C23, $C$8:$C$57, 0), (COLUMNS($DC23:DL23)-1)*5 + 1) = INDEX($E$5:$CE$5, 1, (COLUMNS($DC23:DL23)-1)*5 + 1), INDEX($E$8:$CE$57, MATCH($C23, $C$8:$C$57, 0), (COLUMNS($DC23:DL23)-1)*5 + 4) = "F"), INDEX($CZ$8:$CZ$23, COLUMNS($DC23:DL23)), "0"), "")</f>
        <v>0</v>
      </c>
      <c r="DM23" s="390" t="str">
        <f t="array" ref="DM23">IFERROR(IF(AND(INDEX($E$8:$CE$57, MATCH($C23, $C$8:$C$57, 0), (COLUMNS($DC23:DM23)-1)*5 + 1) = INDEX($E$5:$CE$5, 1, (COLUMNS($DC23:DM23)-1)*5 + 1), INDEX($E$8:$CE$57, MATCH($C23, $C$8:$C$57, 0), (COLUMNS($DC23:DM23)-1)*5 + 4) = "F"), INDEX($CZ$8:$CZ$23, COLUMNS($DC23:DM23)), "0"), "")</f>
        <v>0</v>
      </c>
      <c r="DN23" s="390" t="str">
        <f t="array" ref="DN23">IFERROR(IF(AND(INDEX($E$8:$CE$57, MATCH($C23, $C$8:$C$57, 0), (COLUMNS($DC23:DN23)-1)*5 + 1) = INDEX($E$5:$CE$5, 1, (COLUMNS($DC23:DN23)-1)*5 + 1), INDEX($E$8:$CE$57, MATCH($C23, $C$8:$C$57, 0), (COLUMNS($DC23:DN23)-1)*5 + 4) = "F"), INDEX($CZ$8:$CZ$23, COLUMNS($DC23:DN23)), "0"), "")</f>
        <v>0</v>
      </c>
      <c r="DO23" s="390" t="str">
        <f t="array" ref="DO23">IFERROR(IF(AND(INDEX($E$8:$CE$57, MATCH($C23, $C$8:$C$57, 0), (COLUMNS($DC23:DO23)-1)*5 + 1) = INDEX($E$5:$CE$5, 1, (COLUMNS($DC23:DO23)-1)*5 + 1), INDEX($E$8:$CE$57, MATCH($C23, $C$8:$C$57, 0), (COLUMNS($DC23:DO23)-1)*5 + 4) = "F"), INDEX($CZ$8:$CZ$23, COLUMNS($DC23:DO23)), "0"), "")</f>
        <v>0</v>
      </c>
      <c r="DP23" s="390" t="str">
        <f t="array" ref="DP23">IFERROR(IF(AND(INDEX($E$8:$CE$57, MATCH($C23, $C$8:$C$57, 0), (COLUMNS($DC23:DP23)-1)*5 + 1) = INDEX($E$5:$CE$5, 1, (COLUMNS($DC23:DP23)-1)*5 + 1), INDEX($E$8:$CE$57, MATCH($C23, $C$8:$C$57, 0), (COLUMNS($DC23:DP23)-1)*5 + 4) = "F"), INDEX($CZ$8:$CZ$23, COLUMNS($DC23:DP23)), "0"), "")</f>
        <v>0</v>
      </c>
      <c r="DQ23" s="390" t="str">
        <f t="array" ref="DQ23">IFERROR(IF(AND(INDEX($E$8:$CE$57, MATCH($C23, $C$8:$C$57, 0), (COLUMNS($DC23:DQ23)-1)*5 + 1) = INDEX($E$5:$CE$5, 1, (COLUMNS($DC23:DQ23)-1)*5 + 1), INDEX($E$8:$CE$57, MATCH($C23, $C$8:$C$57, 0), (COLUMNS($DC23:DQ23)-1)*5 + 4) = "F"), INDEX($CZ$8:$CZ$23, COLUMNS($DC23:DQ23)), "0"), "")</f>
        <v>0</v>
      </c>
      <c r="DR23" s="390" t="str">
        <f t="array" ref="DR23">IFERROR(IF(AND(INDEX($E$8:$CE$57, MATCH($C23, $C$8:$C$57, 0), (COLUMNS($DC23:DR23)-1)*5 + 1) = INDEX($E$5:$CE$5, 1, (COLUMNS($DC23:DR23)-1)*5 + 1), INDEX($E$8:$CE$57, MATCH($C23, $C$8:$C$57, 0), (COLUMNS($DC23:DR23)-1)*5 + 4) = "F"), INDEX($CZ$8:$CZ$23, COLUMNS($DC23:DR23)), "0"), "")</f>
        <v>0</v>
      </c>
      <c r="DT23" s="537" t="str">
        <f>BASE01[[#This Row],[COD]]</f>
        <v>COD 16</v>
      </c>
      <c r="DU23" s="390" t="str">
        <f t="array" ref="DU23">IFERROR(IF(AND(INDEX($E$8:$CE$57, MATCH($C23, $C$8:$C$57, 0), (COLUMNS($DU23:DU23)-1)*5 + 1) = INDEX($E$5:$CE$5, 1, (COLUMNS($DU23:DU23)-1)*5 + 1), INDEX($E$8:$CE$57, MATCH($C23, $C$8:$C$57, 0), (COLUMNS($DU23:DU23)-1)*5 + 4) = "SF"), INDEX($CZ$8:$CZ$23, COLUMNS($DU23:DU23)), "0"), "")</f>
        <v>0</v>
      </c>
      <c r="DV23" s="390" t="str">
        <f t="array" ref="DV23">IFERROR(IF(AND(INDEX($E$8:$CE$57, MATCH($C23, $C$8:$C$57, 0), (COLUMNS($DU23:DV23)-1)*5 + 1) = INDEX($E$5:$CE$5, 1, (COLUMNS($DU23:DV23)-1)*5 + 1), INDEX($E$8:$CE$57, MATCH($C23, $C$8:$C$57, 0), (COLUMNS($DU23:DV23)-1)*5 + 4) = "SF"), INDEX($CZ$8:$CZ$23, COLUMNS($DU23:DV23)), "0"), "")</f>
        <v>0</v>
      </c>
      <c r="DW23" s="390" t="str">
        <f t="array" ref="DW23">IFERROR(IF(AND(INDEX($E$8:$CE$57, MATCH($C23, $C$8:$C$57, 0), (COLUMNS($DU23:DW23)-1)*5 + 1) = INDEX($E$5:$CE$5, 1, (COLUMNS($DU23:DW23)-1)*5 + 1), INDEX($E$8:$CE$57, MATCH($C23, $C$8:$C$57, 0), (COLUMNS($DU23:DW23)-1)*5 + 4) = "SF"), INDEX($CZ$8:$CZ$23, COLUMNS($DU23:DW23)), "0"), "")</f>
        <v>0</v>
      </c>
      <c r="DX23" s="390" t="str">
        <f t="array" ref="DX23">IFERROR(IF(AND(INDEX($E$8:$CE$57, MATCH($C23, $C$8:$C$57, 0), (COLUMNS($DU23:DX23)-1)*5 + 1) = INDEX($E$5:$CE$5, 1, (COLUMNS($DU23:DX23)-1)*5 + 1), INDEX($E$8:$CE$57, MATCH($C23, $C$8:$C$57, 0), (COLUMNS($DU23:DX23)-1)*5 + 4) = "SF"), INDEX($CZ$8:$CZ$23, COLUMNS($DU23:DX23)), "0"), "")</f>
        <v>0</v>
      </c>
      <c r="DY23" s="390">
        <f t="array" ref="DY23">IFERROR(IF(AND(INDEX($E$8:$CE$57, MATCH($C23, $C$8:$C$57, 0), (COLUMNS($DU23:DY23)-1)*5 + 1) = INDEX($E$5:$CE$5, 1, (COLUMNS($DU23:DY23)-1)*5 + 1), INDEX($E$8:$CE$57, MATCH($C23, $C$8:$C$57, 0), (COLUMNS($DU23:DY23)-1)*5 + 4) = "SF"), INDEX($CZ$8:$CZ$23, COLUMNS($DU23:DY23)), "0"), "")</f>
        <v>110</v>
      </c>
      <c r="DZ23" s="390" t="str">
        <f t="array" ref="DZ23">IFERROR(IF(AND(INDEX($E$8:$CE$57, MATCH($C23, $C$8:$C$57, 0), (COLUMNS($DU23:DZ23)-1)*5 + 1) = INDEX($E$5:$CE$5, 1, (COLUMNS($DU23:DZ23)-1)*5 + 1), INDEX($E$8:$CE$57, MATCH($C23, $C$8:$C$57, 0), (COLUMNS($DU23:DZ23)-1)*5 + 4) = "SF"), INDEX($CZ$8:$CZ$23, COLUMNS($DU23:DZ23)), "0"), "")</f>
        <v>0</v>
      </c>
      <c r="EA23" s="390" t="str">
        <f t="array" ref="EA23">IFERROR(IF(AND(INDEX($E$8:$CE$57, MATCH($C23, $C$8:$C$57, 0), (COLUMNS($DU23:EA23)-1)*5 + 1) = INDEX($E$5:$CE$5, 1, (COLUMNS($DU23:EA23)-1)*5 + 1), INDEX($E$8:$CE$57, MATCH($C23, $C$8:$C$57, 0), (COLUMNS($DU23:EA23)-1)*5 + 4) = "SF"), INDEX($CZ$8:$CZ$23, COLUMNS($DU23:EA23)), "0"), "")</f>
        <v>0</v>
      </c>
      <c r="EB23" s="390" t="str">
        <f t="array" ref="EB23">IFERROR(IF(AND(INDEX($E$8:$CE$57, MATCH($C23, $C$8:$C$57, 0), (COLUMNS($DU23:EB23)-1)*5 + 1) = INDEX($E$5:$CE$5, 1, (COLUMNS($DU23:EB23)-1)*5 + 1), INDEX($E$8:$CE$57, MATCH($C23, $C$8:$C$57, 0), (COLUMNS($DU23:EB23)-1)*5 + 4) = "SF"), INDEX($CZ$8:$CZ$23, COLUMNS($DU23:EB23)), "0"), "")</f>
        <v>0</v>
      </c>
      <c r="EC23" s="390" t="str">
        <f t="array" ref="EC23">IFERROR(IF(AND(INDEX($E$8:$CE$57, MATCH($C23, $C$8:$C$57, 0), (COLUMNS($DU23:EC23)-1)*5 + 1) = INDEX($E$5:$CE$5, 1, (COLUMNS($DU23:EC23)-1)*5 + 1), INDEX($E$8:$CE$57, MATCH($C23, $C$8:$C$57, 0), (COLUMNS($DU23:EC23)-1)*5 + 4) = "SF"), INDEX($CZ$8:$CZ$23, COLUMNS($DU23:EC23)), "0"), "")</f>
        <v>0</v>
      </c>
      <c r="ED23" s="390" t="str">
        <f t="array" ref="ED23">IFERROR(IF(AND(INDEX($E$8:$CE$57, MATCH($C23, $C$8:$C$57, 0), (COLUMNS($DU23:ED23)-1)*5 + 1) = INDEX($E$5:$CE$5, 1, (COLUMNS($DU23:ED23)-1)*5 + 1), INDEX($E$8:$CE$57, MATCH($C23, $C$8:$C$57, 0), (COLUMNS($DU23:ED23)-1)*5 + 4) = "SF"), INDEX($CZ$8:$CZ$23, COLUMNS($DU23:ED23)), "0"), "")</f>
        <v>0</v>
      </c>
      <c r="EE23" s="390" t="str">
        <f t="array" ref="EE23">IFERROR(IF(AND(INDEX($E$8:$CE$57, MATCH($C23, $C$8:$C$57, 0), (COLUMNS($DU23:EE23)-1)*5 + 1) = INDEX($E$5:$CE$5, 1, (COLUMNS($DU23:EE23)-1)*5 + 1), INDEX($E$8:$CE$57, MATCH($C23, $C$8:$C$57, 0), (COLUMNS($DU23:EE23)-1)*5 + 4) = "SF"), INDEX($CZ$8:$CZ$23, COLUMNS($DU23:EE23)), "0"), "")</f>
        <v>0</v>
      </c>
      <c r="EF23" s="390" t="str">
        <f t="array" ref="EF23">IFERROR(IF(AND(INDEX($E$8:$CE$57, MATCH($C23, $C$8:$C$57, 0), (COLUMNS($DU23:EF23)-1)*5 + 1) = INDEX($E$5:$CE$5, 1, (COLUMNS($DU23:EF23)-1)*5 + 1), INDEX($E$8:$CE$57, MATCH($C23, $C$8:$C$57, 0), (COLUMNS($DU23:EF23)-1)*5 + 4) = "SF"), INDEX($CZ$8:$CZ$23, COLUMNS($DU23:EF23)), "0"), "")</f>
        <v>0</v>
      </c>
      <c r="EG23" s="390" t="str">
        <f t="array" ref="EG23">IFERROR(IF(AND(INDEX($E$8:$CE$57, MATCH($C23, $C$8:$C$57, 0), (COLUMNS($DU23:EG23)-1)*5 + 1) = INDEX($E$5:$CE$5, 1, (COLUMNS($DU23:EG23)-1)*5 + 1), INDEX($E$8:$CE$57, MATCH($C23, $C$8:$C$57, 0), (COLUMNS($DU23:EG23)-1)*5 + 4) = "SF"), INDEX($CZ$8:$CZ$23, COLUMNS($DU23:EG23)), "0"), "")</f>
        <v>0</v>
      </c>
      <c r="EH23" s="390" t="str">
        <f t="array" ref="EH23">IFERROR(IF(AND(INDEX($E$8:$CE$57, MATCH($C23, $C$8:$C$57, 0), (COLUMNS($DU23:EH23)-1)*5 + 1) = INDEX($E$5:$CE$5, 1, (COLUMNS($DU23:EH23)-1)*5 + 1), INDEX($E$8:$CE$57, MATCH($C23, $C$8:$C$57, 0), (COLUMNS($DU23:EH23)-1)*5 + 4) = "SF"), INDEX($CZ$8:$CZ$23, COLUMNS($DU23:EH23)), "0"), "")</f>
        <v>0</v>
      </c>
      <c r="EI23" s="390" t="str">
        <f t="array" ref="EI23">IFERROR(IF(AND(INDEX($E$8:$CE$57, MATCH($C23, $C$8:$C$57, 0), (COLUMNS($DU23:EI23)-1)*5 + 1) = INDEX($E$5:$CE$5, 1, (COLUMNS($DU23:EI23)-1)*5 + 1), INDEX($E$8:$CE$57, MATCH($C23, $C$8:$C$57, 0), (COLUMNS($DU23:EI23)-1)*5 + 4) = "SF"), INDEX($CZ$8:$CZ$23, COLUMNS($DU23:EI23)), "0"), "")</f>
        <v>0</v>
      </c>
      <c r="EJ23" s="390" t="str">
        <f t="array" ref="EJ23">IFERROR(IF(AND(INDEX($E$8:$CE$57, MATCH($C23, $C$8:$C$57, 0), (COLUMNS($DU23:EJ23)-1)*5 + 1) = INDEX($E$5:$CE$5, 1, (COLUMNS($DU23:EJ23)-1)*5 + 1), INDEX($E$8:$CE$57, MATCH($C23, $C$8:$C$57, 0), (COLUMNS($DU23:EJ23)-1)*5 + 4) = "SF"), INDEX($CZ$8:$CZ$23, COLUMNS($DU23:EJ23)), "0"), "")</f>
        <v>0</v>
      </c>
    </row>
    <row r="24" spans="1:140" ht="20.100000000000001" customHeight="1" x14ac:dyDescent="0.35">
      <c r="A24" s="515"/>
      <c r="B24" s="91">
        <f>IF(BASE01[[#This Row],[COD]]&lt;&gt;"",B23+1,"")</f>
        <v>17</v>
      </c>
      <c r="C24" s="533" t="s">
        <v>64</v>
      </c>
      <c r="D24" s="92" t="str">
        <f t="array" ref="D24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24" s="143">
        <v>1</v>
      </c>
      <c r="F24" s="145">
        <v>8</v>
      </c>
      <c r="G24" s="145">
        <v>4</v>
      </c>
      <c r="H24" s="145"/>
      <c r="I24" s="534">
        <f t="shared" si="0"/>
        <v>2</v>
      </c>
      <c r="J24" s="143">
        <v>3</v>
      </c>
      <c r="K24" s="145">
        <v>5</v>
      </c>
      <c r="L24" s="145">
        <v>2</v>
      </c>
      <c r="M24" s="145"/>
      <c r="N24" s="534">
        <f t="shared" si="1"/>
        <v>4</v>
      </c>
      <c r="O24" s="143">
        <v>8</v>
      </c>
      <c r="P24" s="145">
        <v>7</v>
      </c>
      <c r="Q24" s="145">
        <v>2</v>
      </c>
      <c r="R24" s="145"/>
      <c r="S24" s="534">
        <f t="shared" si="2"/>
        <v>0</v>
      </c>
      <c r="T24" s="143">
        <v>6</v>
      </c>
      <c r="U24" s="145">
        <v>9</v>
      </c>
      <c r="V24" s="145">
        <v>1</v>
      </c>
      <c r="W24" s="145" t="s">
        <v>254</v>
      </c>
      <c r="X24" s="534">
        <f t="shared" si="3"/>
        <v>5.5</v>
      </c>
      <c r="Y24" s="143">
        <v>5</v>
      </c>
      <c r="Z24" s="145"/>
      <c r="AA24" s="145"/>
      <c r="AB24" s="145" t="s">
        <v>255</v>
      </c>
      <c r="AC24" s="534">
        <f t="shared" si="4"/>
        <v>7.5</v>
      </c>
      <c r="AD24" s="143">
        <v>2</v>
      </c>
      <c r="AE24" s="145">
        <v>3</v>
      </c>
      <c r="AF24" s="145">
        <v>7</v>
      </c>
      <c r="AG24" s="145"/>
      <c r="AH24" s="534">
        <f t="shared" si="5"/>
        <v>4</v>
      </c>
      <c r="AI24" s="143">
        <v>7</v>
      </c>
      <c r="AJ24" s="145">
        <v>3</v>
      </c>
      <c r="AK24" s="145">
        <v>6</v>
      </c>
      <c r="AL24" s="145"/>
      <c r="AM24" s="534">
        <f t="shared" si="6"/>
        <v>0</v>
      </c>
      <c r="AN24" s="143">
        <v>9</v>
      </c>
      <c r="AO24" s="145">
        <v>1</v>
      </c>
      <c r="AP24" s="145">
        <v>5</v>
      </c>
      <c r="AQ24" s="145" t="s">
        <v>254</v>
      </c>
      <c r="AR24" s="534">
        <f t="shared" si="7"/>
        <v>2</v>
      </c>
      <c r="AS24" s="143">
        <v>7</v>
      </c>
      <c r="AT24" s="145">
        <v>1</v>
      </c>
      <c r="AU24" s="145">
        <v>3</v>
      </c>
      <c r="AV24" s="145"/>
      <c r="AW24" s="534">
        <f t="shared" si="8"/>
        <v>0</v>
      </c>
      <c r="AX24" s="143">
        <v>9</v>
      </c>
      <c r="AY24" s="145">
        <v>1</v>
      </c>
      <c r="AZ24" s="145">
        <v>8</v>
      </c>
      <c r="BA24" s="145"/>
      <c r="BB24" s="534">
        <f t="shared" si="9"/>
        <v>2</v>
      </c>
      <c r="BC24" s="143">
        <v>5</v>
      </c>
      <c r="BD24" s="145">
        <v>3</v>
      </c>
      <c r="BE24" s="145">
        <v>8</v>
      </c>
      <c r="BF24" s="145"/>
      <c r="BG24" s="534">
        <f t="shared" si="10"/>
        <v>0</v>
      </c>
      <c r="BH24" s="143">
        <v>1</v>
      </c>
      <c r="BI24" s="145">
        <v>3</v>
      </c>
      <c r="BJ24" s="145">
        <v>8</v>
      </c>
      <c r="BK24" s="145"/>
      <c r="BL24" s="534">
        <f t="shared" si="11"/>
        <v>0</v>
      </c>
      <c r="BM24" s="143">
        <v>1</v>
      </c>
      <c r="BN24" s="145">
        <v>3</v>
      </c>
      <c r="BO24" s="145">
        <v>5</v>
      </c>
      <c r="BP24" s="145"/>
      <c r="BQ24" s="534">
        <f t="shared" si="12"/>
        <v>2</v>
      </c>
      <c r="BR24" s="143"/>
      <c r="BS24" s="145"/>
      <c r="BT24" s="145"/>
      <c r="BU24" s="145"/>
      <c r="BV24" s="534">
        <f t="shared" si="13"/>
        <v>0</v>
      </c>
      <c r="BW24" s="143"/>
      <c r="BX24" s="145"/>
      <c r="BY24" s="145"/>
      <c r="BZ24" s="145"/>
      <c r="CA24" s="534">
        <f t="shared" si="14"/>
        <v>0</v>
      </c>
      <c r="CB24" s="143"/>
      <c r="CC24" s="145"/>
      <c r="CD24" s="145"/>
      <c r="CE24" s="145"/>
      <c r="CF24" s="534">
        <f t="shared" si="15"/>
        <v>0</v>
      </c>
      <c r="CG24" s="162">
        <f>IF(BASE01[[#This Row],[1]]="",0,$B$4)</f>
        <v>13</v>
      </c>
      <c r="CH24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4</v>
      </c>
      <c r="CI24" s="164">
        <f>IF(BASE01[[#This Row],[Columna14]]=0,0,(CH24/CG24))</f>
        <v>0.30769230769230771</v>
      </c>
      <c r="CJ24" s="163">
        <f>IF(BASE01[[#This Row],[1]]="",0,$B$4)</f>
        <v>13</v>
      </c>
      <c r="CK24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7</v>
      </c>
      <c r="CL24" s="164">
        <f>IF(BASE01[[#This Row],[Columna14]]=0,0,(CK24/CJ24))</f>
        <v>0.53846153846153844</v>
      </c>
      <c r="CM24" s="162">
        <f>IF(BASE01[[#This Row],[1]]="",0,$B$4)</f>
        <v>13</v>
      </c>
      <c r="CN24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8</v>
      </c>
      <c r="CO24" s="164">
        <f>IF(BASE01[[#This Row],[Columna14]]=0,0,(CN24/CM24))</f>
        <v>0.61538461538461542</v>
      </c>
      <c r="CP24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24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Row],[Columna25]],$AX$5,BA24,"SF")+COUNTIFS(BASE01[[#This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24" s="164">
        <f>IF(BASE01[[#This Row],[Columna14]]=0,0,(CQ24/CP24))</f>
        <v>0.66666666666666663</v>
      </c>
      <c r="CS24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29</v>
      </c>
      <c r="CT24" s="93"/>
      <c r="CU24" s="536">
        <f t="shared" si="16"/>
        <v>29</v>
      </c>
      <c r="CV24" s="94">
        <f>IF(BASE01[[#This Row],[TIPO]]="PREMIO",$O$3,"0,00")</f>
        <v>1000</v>
      </c>
      <c r="CW24" s="515"/>
      <c r="CY24" s="388" t="s">
        <v>256</v>
      </c>
      <c r="CZ24" s="350">
        <f>MAX(DIV_GAN_SEM_1[DIVIDENDO])</f>
        <v>3121.92</v>
      </c>
      <c r="DA24" s="389" t="s">
        <v>257</v>
      </c>
      <c r="DB24" s="537" t="str">
        <f>BASE01[[#This Row],[COD]]</f>
        <v>COD 17</v>
      </c>
      <c r="DC24" s="390" t="str">
        <f t="array" ref="DC24">IFERROR(IF(AND(INDEX($E$8:$CE$57, MATCH($C24, $C$8:$C$57, 0), (COLUMNS($DC24:DC24)-1)*5 + 1) = INDEX($E$5:$CE$5, 1, (COLUMNS($DC24:DC24)-1)*5 + 1), INDEX($E$8:$CE$57, MATCH($C24, $C$8:$C$57, 0), (COLUMNS($DC24:DC24)-1)*5 + 4) = "F"), INDEX($CZ$8:$CZ$23, COLUMNS($DC24:DC24)), "0"), "")</f>
        <v>0</v>
      </c>
      <c r="DD24" s="390" t="str">
        <f t="array" ref="DD24">IFERROR(IF(AND(INDEX($E$8:$CE$57, MATCH($C24, $C$8:$C$57, 0), (COLUMNS($DC24:DD24)-1)*5 + 1) = INDEX($E$5:$CE$5, 1, (COLUMNS($DC24:DD24)-1)*5 + 1), INDEX($E$8:$CE$57, MATCH($C24, $C$8:$C$57, 0), (COLUMNS($DC24:DD24)-1)*5 + 4) = "F"), INDEX($CZ$8:$CZ$23, COLUMNS($DC24:DD24)), "0"), "")</f>
        <v>0</v>
      </c>
      <c r="DE24" s="390" t="str">
        <f t="array" ref="DE24">IFERROR(IF(AND(INDEX($E$8:$CE$57, MATCH($C24, $C$8:$C$57, 0), (COLUMNS($DC24:DE24)-1)*5 + 1) = INDEX($E$5:$CE$5, 1, (COLUMNS($DC24:DE24)-1)*5 + 1), INDEX($E$8:$CE$57, MATCH($C24, $C$8:$C$57, 0), (COLUMNS($DC24:DE24)-1)*5 + 4) = "F"), INDEX($CZ$8:$CZ$23, COLUMNS($DC24:DE24)), "0"), "")</f>
        <v>0</v>
      </c>
      <c r="DF24" s="390">
        <f t="array" ref="DF24">IFERROR(IF(AND(INDEX($E$8:$CE$57, MATCH($C24, $C$8:$C$57, 0), (COLUMNS($DC24:DF24)-1)*5 + 1) = INDEX($E$5:$CE$5, 1, (COLUMNS($DC24:DF24)-1)*5 + 1), INDEX($E$8:$CE$57, MATCH($C24, $C$8:$C$57, 0), (COLUMNS($DC24:DF24)-1)*5 + 4) = "F"), INDEX($CZ$8:$CZ$23, COLUMNS($DC24:DF24)), "0"), "")</f>
        <v>110</v>
      </c>
      <c r="DG24" s="390" t="str">
        <f t="array" ref="DG24">IFERROR(IF(AND(INDEX($E$8:$CE$57, MATCH($C24, $C$8:$C$57, 0), (COLUMNS($DC24:DG24)-1)*5 + 1) = INDEX($E$5:$CE$5, 1, (COLUMNS($DC24:DG24)-1)*5 + 1), INDEX($E$8:$CE$57, MATCH($C24, $C$8:$C$57, 0), (COLUMNS($DC24:DG24)-1)*5 + 4) = "F"), INDEX($CZ$8:$CZ$23, COLUMNS($DC24:DG24)), "0"), "")</f>
        <v>0</v>
      </c>
      <c r="DH24" s="390" t="str">
        <f t="array" ref="DH24">IFERROR(IF(AND(INDEX($E$8:$CE$57, MATCH($C24, $C$8:$C$57, 0), (COLUMNS($DC24:DH24)-1)*5 + 1) = INDEX($E$5:$CE$5, 1, (COLUMNS($DC24:DH24)-1)*5 + 1), INDEX($E$8:$CE$57, MATCH($C24, $C$8:$C$57, 0), (COLUMNS($DC24:DH24)-1)*5 + 4) = "F"), INDEX($CZ$8:$CZ$23, COLUMNS($DC24:DH24)), "0"), "")</f>
        <v>0</v>
      </c>
      <c r="DI24" s="390" t="str">
        <f t="array" ref="DI24">IFERROR(IF(AND(INDEX($E$8:$CE$57, MATCH($C24, $C$8:$C$57, 0), (COLUMNS($DC24:DI24)-1)*5 + 1) = INDEX($E$5:$CE$5, 1, (COLUMNS($DC24:DI24)-1)*5 + 1), INDEX($E$8:$CE$57, MATCH($C24, $C$8:$C$57, 0), (COLUMNS($DC24:DI24)-1)*5 + 4) = "F"), INDEX($CZ$8:$CZ$23, COLUMNS($DC24:DI24)), "0"), "")</f>
        <v>0</v>
      </c>
      <c r="DJ24" s="390" t="str">
        <f t="array" ref="DJ24">IFERROR(IF(AND(INDEX($E$8:$CE$57, MATCH($C24, $C$8:$C$57, 0), (COLUMNS($DC24:DJ24)-1)*5 + 1) = INDEX($E$5:$CE$5, 1, (COLUMNS($DC24:DJ24)-1)*5 + 1), INDEX($E$8:$CE$57, MATCH($C24, $C$8:$C$57, 0), (COLUMNS($DC24:DJ24)-1)*5 + 4) = "F"), INDEX($CZ$8:$CZ$23, COLUMNS($DC24:DJ24)), "0"), "")</f>
        <v>0</v>
      </c>
      <c r="DK24" s="390" t="str">
        <f t="array" ref="DK24">IFERROR(IF(AND(INDEX($E$8:$CE$57, MATCH($C24, $C$8:$C$57, 0), (COLUMNS($DC24:DK24)-1)*5 + 1) = INDEX($E$5:$CE$5, 1, (COLUMNS($DC24:DK24)-1)*5 + 1), INDEX($E$8:$CE$57, MATCH($C24, $C$8:$C$57, 0), (COLUMNS($DC24:DK24)-1)*5 + 4) = "F"), INDEX($CZ$8:$CZ$23, COLUMNS($DC24:DK24)), "0"), "")</f>
        <v>0</v>
      </c>
      <c r="DL24" s="390" t="str">
        <f t="array" ref="DL24">IFERROR(IF(AND(INDEX($E$8:$CE$57, MATCH($C24, $C$8:$C$57, 0), (COLUMNS($DC24:DL24)-1)*5 + 1) = INDEX($E$5:$CE$5, 1, (COLUMNS($DC24:DL24)-1)*5 + 1), INDEX($E$8:$CE$57, MATCH($C24, $C$8:$C$57, 0), (COLUMNS($DC24:DL24)-1)*5 + 4) = "F"), INDEX($CZ$8:$CZ$23, COLUMNS($DC24:DL24)), "0"), "")</f>
        <v>0</v>
      </c>
      <c r="DM24" s="390" t="str">
        <f t="array" ref="DM24">IFERROR(IF(AND(INDEX($E$8:$CE$57, MATCH($C24, $C$8:$C$57, 0), (COLUMNS($DC24:DM24)-1)*5 + 1) = INDEX($E$5:$CE$5, 1, (COLUMNS($DC24:DM24)-1)*5 + 1), INDEX($E$8:$CE$57, MATCH($C24, $C$8:$C$57, 0), (COLUMNS($DC24:DM24)-1)*5 + 4) = "F"), INDEX($CZ$8:$CZ$23, COLUMNS($DC24:DM24)), "0"), "")</f>
        <v>0</v>
      </c>
      <c r="DN24" s="390" t="str">
        <f t="array" ref="DN24">IFERROR(IF(AND(INDEX($E$8:$CE$57, MATCH($C24, $C$8:$C$57, 0), (COLUMNS($DC24:DN24)-1)*5 + 1) = INDEX($E$5:$CE$5, 1, (COLUMNS($DC24:DN24)-1)*5 + 1), INDEX($E$8:$CE$57, MATCH($C24, $C$8:$C$57, 0), (COLUMNS($DC24:DN24)-1)*5 + 4) = "F"), INDEX($CZ$8:$CZ$23, COLUMNS($DC24:DN24)), "0"), "")</f>
        <v>0</v>
      </c>
      <c r="DO24" s="390" t="str">
        <f t="array" ref="DO24">IFERROR(IF(AND(INDEX($E$8:$CE$57, MATCH($C24, $C$8:$C$57, 0), (COLUMNS($DC24:DO24)-1)*5 + 1) = INDEX($E$5:$CE$5, 1, (COLUMNS($DC24:DO24)-1)*5 + 1), INDEX($E$8:$CE$57, MATCH($C24, $C$8:$C$57, 0), (COLUMNS($DC24:DO24)-1)*5 + 4) = "F"), INDEX($CZ$8:$CZ$23, COLUMNS($DC24:DO24)), "0"), "")</f>
        <v>0</v>
      </c>
      <c r="DP24" s="390" t="str">
        <f t="array" ref="DP24">IFERROR(IF(AND(INDEX($E$8:$CE$57, MATCH($C24, $C$8:$C$57, 0), (COLUMNS($DC24:DP24)-1)*5 + 1) = INDEX($E$5:$CE$5, 1, (COLUMNS($DC24:DP24)-1)*5 + 1), INDEX($E$8:$CE$57, MATCH($C24, $C$8:$C$57, 0), (COLUMNS($DC24:DP24)-1)*5 + 4) = "F"), INDEX($CZ$8:$CZ$23, COLUMNS($DC24:DP24)), "0"), "")</f>
        <v>0</v>
      </c>
      <c r="DQ24" s="390" t="str">
        <f t="array" ref="DQ24">IFERROR(IF(AND(INDEX($E$8:$CE$57, MATCH($C24, $C$8:$C$57, 0), (COLUMNS($DC24:DQ24)-1)*5 + 1) = INDEX($E$5:$CE$5, 1, (COLUMNS($DC24:DQ24)-1)*5 + 1), INDEX($E$8:$CE$57, MATCH($C24, $C$8:$C$57, 0), (COLUMNS($DC24:DQ24)-1)*5 + 4) = "F"), INDEX($CZ$8:$CZ$23, COLUMNS($DC24:DQ24)), "0"), "")</f>
        <v>0</v>
      </c>
      <c r="DR24" s="390" t="str">
        <f t="array" ref="DR24">IFERROR(IF(AND(INDEX($E$8:$CE$57, MATCH($C24, $C$8:$C$57, 0), (COLUMNS($DC24:DR24)-1)*5 + 1) = INDEX($E$5:$CE$5, 1, (COLUMNS($DC24:DR24)-1)*5 + 1), INDEX($E$8:$CE$57, MATCH($C24, $C$8:$C$57, 0), (COLUMNS($DC24:DR24)-1)*5 + 4) = "F"), INDEX($CZ$8:$CZ$23, COLUMNS($DC24:DR24)), "0"), "")</f>
        <v>0</v>
      </c>
      <c r="DT24" s="537" t="str">
        <f>BASE01[[#This Row],[COD]]</f>
        <v>COD 17</v>
      </c>
      <c r="DU24" s="390" t="str">
        <f t="array" ref="DU24">IFERROR(IF(AND(INDEX($E$8:$CE$57, MATCH($C24, $C$8:$C$57, 0), (COLUMNS($DU24:DU24)-1)*5 + 1) = INDEX($E$5:$CE$5, 1, (COLUMNS($DU24:DU24)-1)*5 + 1), INDEX($E$8:$CE$57, MATCH($C24, $C$8:$C$57, 0), (COLUMNS($DU24:DU24)-1)*5 + 4) = "SF"), INDEX($CZ$8:$CZ$23, COLUMNS($DU24:DU24)), "0"), "")</f>
        <v>0</v>
      </c>
      <c r="DV24" s="390" t="str">
        <f t="array" ref="DV24">IFERROR(IF(AND(INDEX($E$8:$CE$57, MATCH($C24, $C$8:$C$57, 0), (COLUMNS($DU24:DV24)-1)*5 + 1) = INDEX($E$5:$CE$5, 1, (COLUMNS($DU24:DV24)-1)*5 + 1), INDEX($E$8:$CE$57, MATCH($C24, $C$8:$C$57, 0), (COLUMNS($DU24:DV24)-1)*5 + 4) = "SF"), INDEX($CZ$8:$CZ$23, COLUMNS($DU24:DV24)), "0"), "")</f>
        <v>0</v>
      </c>
      <c r="DW24" s="390" t="str">
        <f t="array" ref="DW24">IFERROR(IF(AND(INDEX($E$8:$CE$57, MATCH($C24, $C$8:$C$57, 0), (COLUMNS($DU24:DW24)-1)*5 + 1) = INDEX($E$5:$CE$5, 1, (COLUMNS($DU24:DW24)-1)*5 + 1), INDEX($E$8:$CE$57, MATCH($C24, $C$8:$C$57, 0), (COLUMNS($DU24:DW24)-1)*5 + 4) = "SF"), INDEX($CZ$8:$CZ$23, COLUMNS($DU24:DW24)), "0"), "")</f>
        <v>0</v>
      </c>
      <c r="DX24" s="390" t="str">
        <f t="array" ref="DX24">IFERROR(IF(AND(INDEX($E$8:$CE$57, MATCH($C24, $C$8:$C$57, 0), (COLUMNS($DU24:DX24)-1)*5 + 1) = INDEX($E$5:$CE$5, 1, (COLUMNS($DU24:DX24)-1)*5 + 1), INDEX($E$8:$CE$57, MATCH($C24, $C$8:$C$57, 0), (COLUMNS($DU24:DX24)-1)*5 + 4) = "SF"), INDEX($CZ$8:$CZ$23, COLUMNS($DU24:DX24)), "0"), "")</f>
        <v>0</v>
      </c>
      <c r="DY24" s="390">
        <f t="array" ref="DY24">IFERROR(IF(AND(INDEX($E$8:$CE$57, MATCH($C24, $C$8:$C$57, 0), (COLUMNS($DU24:DY24)-1)*5 + 1) = INDEX($E$5:$CE$5, 1, (COLUMNS($DU24:DY24)-1)*5 + 1), INDEX($E$8:$CE$57, MATCH($C24, $C$8:$C$57, 0), (COLUMNS($DU24:DY24)-1)*5 + 4) = "SF"), INDEX($CZ$8:$CZ$23, COLUMNS($DU24:DY24)), "0"), "")</f>
        <v>110</v>
      </c>
      <c r="DZ24" s="390" t="str">
        <f t="array" ref="DZ24">IFERROR(IF(AND(INDEX($E$8:$CE$57, MATCH($C24, $C$8:$C$57, 0), (COLUMNS($DU24:DZ24)-1)*5 + 1) = INDEX($E$5:$CE$5, 1, (COLUMNS($DU24:DZ24)-1)*5 + 1), INDEX($E$8:$CE$57, MATCH($C24, $C$8:$C$57, 0), (COLUMNS($DU24:DZ24)-1)*5 + 4) = "SF"), INDEX($CZ$8:$CZ$23, COLUMNS($DU24:DZ24)), "0"), "")</f>
        <v>0</v>
      </c>
      <c r="EA24" s="390" t="str">
        <f t="array" ref="EA24">IFERROR(IF(AND(INDEX($E$8:$CE$57, MATCH($C24, $C$8:$C$57, 0), (COLUMNS($DU24:EA24)-1)*5 + 1) = INDEX($E$5:$CE$5, 1, (COLUMNS($DU24:EA24)-1)*5 + 1), INDEX($E$8:$CE$57, MATCH($C24, $C$8:$C$57, 0), (COLUMNS($DU24:EA24)-1)*5 + 4) = "SF"), INDEX($CZ$8:$CZ$23, COLUMNS($DU24:EA24)), "0"), "")</f>
        <v>0</v>
      </c>
      <c r="EB24" s="390" t="str">
        <f t="array" ref="EB24">IFERROR(IF(AND(INDEX($E$8:$CE$57, MATCH($C24, $C$8:$C$57, 0), (COLUMNS($DU24:EB24)-1)*5 + 1) = INDEX($E$5:$CE$5, 1, (COLUMNS($DU24:EB24)-1)*5 + 1), INDEX($E$8:$CE$57, MATCH($C24, $C$8:$C$57, 0), (COLUMNS($DU24:EB24)-1)*5 + 4) = "SF"), INDEX($CZ$8:$CZ$23, COLUMNS($DU24:EB24)), "0"), "")</f>
        <v>0</v>
      </c>
      <c r="EC24" s="390" t="str">
        <f t="array" ref="EC24">IFERROR(IF(AND(INDEX($E$8:$CE$57, MATCH($C24, $C$8:$C$57, 0), (COLUMNS($DU24:EC24)-1)*5 + 1) = INDEX($E$5:$CE$5, 1, (COLUMNS($DU24:EC24)-1)*5 + 1), INDEX($E$8:$CE$57, MATCH($C24, $C$8:$C$57, 0), (COLUMNS($DU24:EC24)-1)*5 + 4) = "SF"), INDEX($CZ$8:$CZ$23, COLUMNS($DU24:EC24)), "0"), "")</f>
        <v>0</v>
      </c>
      <c r="ED24" s="390" t="str">
        <f t="array" ref="ED24">IFERROR(IF(AND(INDEX($E$8:$CE$57, MATCH($C24, $C$8:$C$57, 0), (COLUMNS($DU24:ED24)-1)*5 + 1) = INDEX($E$5:$CE$5, 1, (COLUMNS($DU24:ED24)-1)*5 + 1), INDEX($E$8:$CE$57, MATCH($C24, $C$8:$C$57, 0), (COLUMNS($DU24:ED24)-1)*5 + 4) = "SF"), INDEX($CZ$8:$CZ$23, COLUMNS($DU24:ED24)), "0"), "")</f>
        <v>0</v>
      </c>
      <c r="EE24" s="390" t="str">
        <f t="array" ref="EE24">IFERROR(IF(AND(INDEX($E$8:$CE$57, MATCH($C24, $C$8:$C$57, 0), (COLUMNS($DU24:EE24)-1)*5 + 1) = INDEX($E$5:$CE$5, 1, (COLUMNS($DU24:EE24)-1)*5 + 1), INDEX($E$8:$CE$57, MATCH($C24, $C$8:$C$57, 0), (COLUMNS($DU24:EE24)-1)*5 + 4) = "SF"), INDEX($CZ$8:$CZ$23, COLUMNS($DU24:EE24)), "0"), "")</f>
        <v>0</v>
      </c>
      <c r="EF24" s="390" t="str">
        <f t="array" ref="EF24">IFERROR(IF(AND(INDEX($E$8:$CE$57, MATCH($C24, $C$8:$C$57, 0), (COLUMNS($DU24:EF24)-1)*5 + 1) = INDEX($E$5:$CE$5, 1, (COLUMNS($DU24:EF24)-1)*5 + 1), INDEX($E$8:$CE$57, MATCH($C24, $C$8:$C$57, 0), (COLUMNS($DU24:EF24)-1)*5 + 4) = "SF"), INDEX($CZ$8:$CZ$23, COLUMNS($DU24:EF24)), "0"), "")</f>
        <v>0</v>
      </c>
      <c r="EG24" s="390" t="str">
        <f t="array" ref="EG24">IFERROR(IF(AND(INDEX($E$8:$CE$57, MATCH($C24, $C$8:$C$57, 0), (COLUMNS($DU24:EG24)-1)*5 + 1) = INDEX($E$5:$CE$5, 1, (COLUMNS($DU24:EG24)-1)*5 + 1), INDEX($E$8:$CE$57, MATCH($C24, $C$8:$C$57, 0), (COLUMNS($DU24:EG24)-1)*5 + 4) = "SF"), INDEX($CZ$8:$CZ$23, COLUMNS($DU24:EG24)), "0"), "")</f>
        <v>0</v>
      </c>
      <c r="EH24" s="390" t="str">
        <f t="array" ref="EH24">IFERROR(IF(AND(INDEX($E$8:$CE$57, MATCH($C24, $C$8:$C$57, 0), (COLUMNS($DU24:EH24)-1)*5 + 1) = INDEX($E$5:$CE$5, 1, (COLUMNS($DU24:EH24)-1)*5 + 1), INDEX($E$8:$CE$57, MATCH($C24, $C$8:$C$57, 0), (COLUMNS($DU24:EH24)-1)*5 + 4) = "SF"), INDEX($CZ$8:$CZ$23, COLUMNS($DU24:EH24)), "0"), "")</f>
        <v>0</v>
      </c>
      <c r="EI24" s="390" t="str">
        <f t="array" ref="EI24">IFERROR(IF(AND(INDEX($E$8:$CE$57, MATCH($C24, $C$8:$C$57, 0), (COLUMNS($DU24:EI24)-1)*5 + 1) = INDEX($E$5:$CE$5, 1, (COLUMNS($DU24:EI24)-1)*5 + 1), INDEX($E$8:$CE$57, MATCH($C24, $C$8:$C$57, 0), (COLUMNS($DU24:EI24)-1)*5 + 4) = "SF"), INDEX($CZ$8:$CZ$23, COLUMNS($DU24:EI24)), "0"), "")</f>
        <v>0</v>
      </c>
      <c r="EJ24" s="390" t="str">
        <f t="array" ref="EJ24">IFERROR(IF(AND(INDEX($E$8:$CE$57, MATCH($C24, $C$8:$C$57, 0), (COLUMNS($DU24:EJ24)-1)*5 + 1) = INDEX($E$5:$CE$5, 1, (COLUMNS($DU24:EJ24)-1)*5 + 1), INDEX($E$8:$CE$57, MATCH($C24, $C$8:$C$57, 0), (COLUMNS($DU24:EJ24)-1)*5 + 4) = "SF"), INDEX($CZ$8:$CZ$23, COLUMNS($DU24:EJ24)), "0"), "")</f>
        <v>0</v>
      </c>
    </row>
    <row r="25" spans="1:140" ht="20.100000000000001" customHeight="1" x14ac:dyDescent="0.35">
      <c r="A25" s="515"/>
      <c r="B25" s="91">
        <f>IF(BASE01[[#This Row],[COD]]&lt;&gt;"",B24+1,"")</f>
        <v>18</v>
      </c>
      <c r="C25" s="533" t="s">
        <v>66</v>
      </c>
      <c r="D25" s="92" t="str">
        <f t="array" ref="D25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PAGO PENDIENTE</v>
      </c>
      <c r="E25" s="143">
        <v>6</v>
      </c>
      <c r="F25" s="143">
        <v>8</v>
      </c>
      <c r="G25" s="143">
        <v>1</v>
      </c>
      <c r="H25" s="143"/>
      <c r="I25" s="534">
        <f t="shared" si="0"/>
        <v>2</v>
      </c>
      <c r="J25" s="143">
        <v>8</v>
      </c>
      <c r="K25" s="143">
        <v>1</v>
      </c>
      <c r="L25" s="143">
        <v>3</v>
      </c>
      <c r="M25" s="143"/>
      <c r="N25" s="534">
        <f t="shared" si="1"/>
        <v>1</v>
      </c>
      <c r="O25" s="143">
        <v>3</v>
      </c>
      <c r="P25" s="143">
        <v>5</v>
      </c>
      <c r="Q25" s="143">
        <v>8</v>
      </c>
      <c r="R25" s="143"/>
      <c r="S25" s="534">
        <f t="shared" si="2"/>
        <v>0</v>
      </c>
      <c r="T25" s="143">
        <v>6</v>
      </c>
      <c r="U25" s="143">
        <v>8</v>
      </c>
      <c r="V25" s="143">
        <v>4</v>
      </c>
      <c r="W25" s="143" t="s">
        <v>254</v>
      </c>
      <c r="X25" s="534">
        <f t="shared" si="3"/>
        <v>4.5</v>
      </c>
      <c r="Y25" s="143">
        <v>5</v>
      </c>
      <c r="Z25" s="143">
        <v>3</v>
      </c>
      <c r="AA25" s="143">
        <v>10</v>
      </c>
      <c r="AB25" s="143"/>
      <c r="AC25" s="534">
        <f t="shared" si="4"/>
        <v>3.5</v>
      </c>
      <c r="AD25" s="143">
        <v>5</v>
      </c>
      <c r="AE25" s="143">
        <v>7</v>
      </c>
      <c r="AF25" s="143">
        <v>2</v>
      </c>
      <c r="AG25" s="143"/>
      <c r="AH25" s="534">
        <f t="shared" si="5"/>
        <v>3</v>
      </c>
      <c r="AI25" s="143">
        <v>3</v>
      </c>
      <c r="AJ25" s="143">
        <v>4</v>
      </c>
      <c r="AK25" s="143">
        <v>7</v>
      </c>
      <c r="AL25" s="143"/>
      <c r="AM25" s="534">
        <f t="shared" si="6"/>
        <v>2</v>
      </c>
      <c r="AN25" s="143">
        <v>8</v>
      </c>
      <c r="AO25" s="143">
        <v>9</v>
      </c>
      <c r="AP25" s="143">
        <v>5</v>
      </c>
      <c r="AQ25" s="143" t="s">
        <v>254</v>
      </c>
      <c r="AR25" s="534">
        <f t="shared" si="7"/>
        <v>2</v>
      </c>
      <c r="AS25" s="143">
        <v>7</v>
      </c>
      <c r="AT25" s="143">
        <v>2</v>
      </c>
      <c r="AU25" s="143">
        <v>3</v>
      </c>
      <c r="AV25" s="143"/>
      <c r="AW25" s="534">
        <f t="shared" si="8"/>
        <v>0</v>
      </c>
      <c r="AX25" s="143">
        <v>9</v>
      </c>
      <c r="AY25" s="143">
        <v>1</v>
      </c>
      <c r="AZ25" s="143">
        <v>8</v>
      </c>
      <c r="BA25" s="143"/>
      <c r="BB25" s="534">
        <f t="shared" si="9"/>
        <v>2</v>
      </c>
      <c r="BC25" s="143">
        <v>4</v>
      </c>
      <c r="BD25" s="143"/>
      <c r="BE25" s="143"/>
      <c r="BF25" s="143" t="s">
        <v>255</v>
      </c>
      <c r="BG25" s="534">
        <f t="shared" si="10"/>
        <v>8</v>
      </c>
      <c r="BH25" s="143">
        <v>5</v>
      </c>
      <c r="BI25" s="143">
        <v>6</v>
      </c>
      <c r="BJ25" s="143">
        <v>1</v>
      </c>
      <c r="BK25" s="143"/>
      <c r="BL25" s="534">
        <f t="shared" si="11"/>
        <v>0</v>
      </c>
      <c r="BM25" s="143">
        <v>1</v>
      </c>
      <c r="BN25" s="143">
        <v>12</v>
      </c>
      <c r="BO25" s="143">
        <v>3</v>
      </c>
      <c r="BP25" s="143"/>
      <c r="BQ25" s="534">
        <f t="shared" si="12"/>
        <v>1</v>
      </c>
      <c r="BR25" s="143"/>
      <c r="BS25" s="143"/>
      <c r="BT25" s="143"/>
      <c r="BU25" s="143"/>
      <c r="BV25" s="534">
        <f t="shared" si="13"/>
        <v>0</v>
      </c>
      <c r="BW25" s="143"/>
      <c r="BX25" s="143"/>
      <c r="BY25" s="143"/>
      <c r="BZ25" s="143"/>
      <c r="CA25" s="534">
        <f t="shared" si="14"/>
        <v>0</v>
      </c>
      <c r="CB25" s="143"/>
      <c r="CC25" s="143"/>
      <c r="CD25" s="143"/>
      <c r="CE25" s="143"/>
      <c r="CF25" s="534">
        <f t="shared" si="15"/>
        <v>0</v>
      </c>
      <c r="CG25" s="162">
        <f>IF(BASE01[[#This Row],[1]]="",0,$B$4)</f>
        <v>13</v>
      </c>
      <c r="CH25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3</v>
      </c>
      <c r="CI25" s="164">
        <f>IF(BASE01[[#This Row],[Columna14]]=0,0,(CH25/CG25))</f>
        <v>0.23076923076923078</v>
      </c>
      <c r="CJ25" s="163">
        <f>IF(BASE01[[#This Row],[1]]="",0,$B$4)</f>
        <v>13</v>
      </c>
      <c r="CK25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6</v>
      </c>
      <c r="CL25" s="164">
        <f>IF(BASE01[[#This Row],[Columna14]]=0,0,(CK25/CJ25))</f>
        <v>0.46153846153846156</v>
      </c>
      <c r="CM25" s="162">
        <f>IF(BASE01[[#This Row],[1]]="",0,$B$4)</f>
        <v>13</v>
      </c>
      <c r="CN25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10</v>
      </c>
      <c r="CO25" s="164">
        <f>IF(BASE01[[#This Row],[Columna14]]=0,0,(CN25/CM25))</f>
        <v>0.76923076923076927</v>
      </c>
      <c r="CP25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25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Row],[Columna25]],$AX$5,BA25,"SF")+COUNTIFS(BASE01[[#This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25" s="164">
        <f>IF(BASE01[[#This Row],[Columna14]]=0,0,(CQ25/CP25))</f>
        <v>0.66666666666666663</v>
      </c>
      <c r="CS25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29</v>
      </c>
      <c r="CT25" s="93"/>
      <c r="CU25" s="536">
        <f t="shared" si="16"/>
        <v>29</v>
      </c>
      <c r="CV25" s="94" t="str">
        <f>IF(BASE01[[#This Row],[TIPO]]="PREMIO",$O$3,"0,00")</f>
        <v>0,00</v>
      </c>
      <c r="CW25" s="515"/>
      <c r="CY25" s="388" t="s">
        <v>252</v>
      </c>
      <c r="CZ25" s="388">
        <f>_xlfn.XLOOKUP(CZ24,DIV_GAN_SEM_1[DIVIDENDO],DIV_GAN_SEM_1[CARRERA],"")</f>
        <v>9</v>
      </c>
      <c r="DA25" s="389">
        <f t="array" ref="DA25">INDEX(E5:CB5, 1, ($CZ$25-1)*5 + 1)</f>
        <v>4</v>
      </c>
      <c r="DB25" s="537" t="str">
        <f>BASE01[[#This Row],[COD]]</f>
        <v>COD 18</v>
      </c>
      <c r="DC25" s="390" t="str">
        <f t="array" ref="DC25">IFERROR(IF(AND(INDEX($E$8:$CE$57, MATCH($C25, $C$8:$C$57, 0), (COLUMNS($DC25:DC25)-1)*5 + 1) = INDEX($E$5:$CE$5, 1, (COLUMNS($DC25:DC25)-1)*5 + 1), INDEX($E$8:$CE$57, MATCH($C25, $C$8:$C$57, 0), (COLUMNS($DC25:DC25)-1)*5 + 4) = "F"), INDEX($CZ$8:$CZ$23, COLUMNS($DC25:DC25)), "0"), "")</f>
        <v>0</v>
      </c>
      <c r="DD25" s="390" t="str">
        <f t="array" ref="DD25">IFERROR(IF(AND(INDEX($E$8:$CE$57, MATCH($C25, $C$8:$C$57, 0), (COLUMNS($DC25:DD25)-1)*5 + 1) = INDEX($E$5:$CE$5, 1, (COLUMNS($DC25:DD25)-1)*5 + 1), INDEX($E$8:$CE$57, MATCH($C25, $C$8:$C$57, 0), (COLUMNS($DC25:DD25)-1)*5 + 4) = "F"), INDEX($CZ$8:$CZ$23, COLUMNS($DC25:DD25)), "0"), "")</f>
        <v>0</v>
      </c>
      <c r="DE25" s="390" t="str">
        <f t="array" ref="DE25">IFERROR(IF(AND(INDEX($E$8:$CE$57, MATCH($C25, $C$8:$C$57, 0), (COLUMNS($DC25:DE25)-1)*5 + 1) = INDEX($E$5:$CE$5, 1, (COLUMNS($DC25:DE25)-1)*5 + 1), INDEX($E$8:$CE$57, MATCH($C25, $C$8:$C$57, 0), (COLUMNS($DC25:DE25)-1)*5 + 4) = "F"), INDEX($CZ$8:$CZ$23, COLUMNS($DC25:DE25)), "0"), "")</f>
        <v>0</v>
      </c>
      <c r="DF25" s="390">
        <f t="array" ref="DF25">IFERROR(IF(AND(INDEX($E$8:$CE$57, MATCH($C25, $C$8:$C$57, 0), (COLUMNS($DC25:DF25)-1)*5 + 1) = INDEX($E$5:$CE$5, 1, (COLUMNS($DC25:DF25)-1)*5 + 1), INDEX($E$8:$CE$57, MATCH($C25, $C$8:$C$57, 0), (COLUMNS($DC25:DF25)-1)*5 + 4) = "F"), INDEX($CZ$8:$CZ$23, COLUMNS($DC25:DF25)), "0"), "")</f>
        <v>110</v>
      </c>
      <c r="DG25" s="390" t="str">
        <f t="array" ref="DG25">IFERROR(IF(AND(INDEX($E$8:$CE$57, MATCH($C25, $C$8:$C$57, 0), (COLUMNS($DC25:DG25)-1)*5 + 1) = INDEX($E$5:$CE$5, 1, (COLUMNS($DC25:DG25)-1)*5 + 1), INDEX($E$8:$CE$57, MATCH($C25, $C$8:$C$57, 0), (COLUMNS($DC25:DG25)-1)*5 + 4) = "F"), INDEX($CZ$8:$CZ$23, COLUMNS($DC25:DG25)), "0"), "")</f>
        <v>0</v>
      </c>
      <c r="DH25" s="390" t="str">
        <f t="array" ref="DH25">IFERROR(IF(AND(INDEX($E$8:$CE$57, MATCH($C25, $C$8:$C$57, 0), (COLUMNS($DC25:DH25)-1)*5 + 1) = INDEX($E$5:$CE$5, 1, (COLUMNS($DC25:DH25)-1)*5 + 1), INDEX($E$8:$CE$57, MATCH($C25, $C$8:$C$57, 0), (COLUMNS($DC25:DH25)-1)*5 + 4) = "F"), INDEX($CZ$8:$CZ$23, COLUMNS($DC25:DH25)), "0"), "")</f>
        <v>0</v>
      </c>
      <c r="DI25" s="390" t="str">
        <f t="array" ref="DI25">IFERROR(IF(AND(INDEX($E$8:$CE$57, MATCH($C25, $C$8:$C$57, 0), (COLUMNS($DC25:DI25)-1)*5 + 1) = INDEX($E$5:$CE$5, 1, (COLUMNS($DC25:DI25)-1)*5 + 1), INDEX($E$8:$CE$57, MATCH($C25, $C$8:$C$57, 0), (COLUMNS($DC25:DI25)-1)*5 + 4) = "F"), INDEX($CZ$8:$CZ$23, COLUMNS($DC25:DI25)), "0"), "")</f>
        <v>0</v>
      </c>
      <c r="DJ25" s="390" t="str">
        <f t="array" ref="DJ25">IFERROR(IF(AND(INDEX($E$8:$CE$57, MATCH($C25, $C$8:$C$57, 0), (COLUMNS($DC25:DJ25)-1)*5 + 1) = INDEX($E$5:$CE$5, 1, (COLUMNS($DC25:DJ25)-1)*5 + 1), INDEX($E$8:$CE$57, MATCH($C25, $C$8:$C$57, 0), (COLUMNS($DC25:DJ25)-1)*5 + 4) = "F"), INDEX($CZ$8:$CZ$23, COLUMNS($DC25:DJ25)), "0"), "")</f>
        <v>0</v>
      </c>
      <c r="DK25" s="390" t="str">
        <f t="array" ref="DK25">IFERROR(IF(AND(INDEX($E$8:$CE$57, MATCH($C25, $C$8:$C$57, 0), (COLUMNS($DC25:DK25)-1)*5 + 1) = INDEX($E$5:$CE$5, 1, (COLUMNS($DC25:DK25)-1)*5 + 1), INDEX($E$8:$CE$57, MATCH($C25, $C$8:$C$57, 0), (COLUMNS($DC25:DK25)-1)*5 + 4) = "F"), INDEX($CZ$8:$CZ$23, COLUMNS($DC25:DK25)), "0"), "")</f>
        <v>0</v>
      </c>
      <c r="DL25" s="390" t="str">
        <f t="array" ref="DL25">IFERROR(IF(AND(INDEX($E$8:$CE$57, MATCH($C25, $C$8:$C$57, 0), (COLUMNS($DC25:DL25)-1)*5 + 1) = INDEX($E$5:$CE$5, 1, (COLUMNS($DC25:DL25)-1)*5 + 1), INDEX($E$8:$CE$57, MATCH($C25, $C$8:$C$57, 0), (COLUMNS($DC25:DL25)-1)*5 + 4) = "F"), INDEX($CZ$8:$CZ$23, COLUMNS($DC25:DL25)), "0"), "")</f>
        <v>0</v>
      </c>
      <c r="DM25" s="390" t="str">
        <f t="array" ref="DM25">IFERROR(IF(AND(INDEX($E$8:$CE$57, MATCH($C25, $C$8:$C$57, 0), (COLUMNS($DC25:DM25)-1)*5 + 1) = INDEX($E$5:$CE$5, 1, (COLUMNS($DC25:DM25)-1)*5 + 1), INDEX($E$8:$CE$57, MATCH($C25, $C$8:$C$57, 0), (COLUMNS($DC25:DM25)-1)*5 + 4) = "F"), INDEX($CZ$8:$CZ$23, COLUMNS($DC25:DM25)), "0"), "")</f>
        <v>0</v>
      </c>
      <c r="DN25" s="390" t="str">
        <f t="array" ref="DN25">IFERROR(IF(AND(INDEX($E$8:$CE$57, MATCH($C25, $C$8:$C$57, 0), (COLUMNS($DC25:DN25)-1)*5 + 1) = INDEX($E$5:$CE$5, 1, (COLUMNS($DC25:DN25)-1)*5 + 1), INDEX($E$8:$CE$57, MATCH($C25, $C$8:$C$57, 0), (COLUMNS($DC25:DN25)-1)*5 + 4) = "F"), INDEX($CZ$8:$CZ$23, COLUMNS($DC25:DN25)), "0"), "")</f>
        <v>0</v>
      </c>
      <c r="DO25" s="390" t="str">
        <f t="array" ref="DO25">IFERROR(IF(AND(INDEX($E$8:$CE$57, MATCH($C25, $C$8:$C$57, 0), (COLUMNS($DC25:DO25)-1)*5 + 1) = INDEX($E$5:$CE$5, 1, (COLUMNS($DC25:DO25)-1)*5 + 1), INDEX($E$8:$CE$57, MATCH($C25, $C$8:$C$57, 0), (COLUMNS($DC25:DO25)-1)*5 + 4) = "F"), INDEX($CZ$8:$CZ$23, COLUMNS($DC25:DO25)), "0"), "")</f>
        <v>0</v>
      </c>
      <c r="DP25" s="390" t="str">
        <f t="array" ref="DP25">IFERROR(IF(AND(INDEX($E$8:$CE$57, MATCH($C25, $C$8:$C$57, 0), (COLUMNS($DC25:DP25)-1)*5 + 1) = INDEX($E$5:$CE$5, 1, (COLUMNS($DC25:DP25)-1)*5 + 1), INDEX($E$8:$CE$57, MATCH($C25, $C$8:$C$57, 0), (COLUMNS($DC25:DP25)-1)*5 + 4) = "F"), INDEX($CZ$8:$CZ$23, COLUMNS($DC25:DP25)), "0"), "")</f>
        <v>0</v>
      </c>
      <c r="DQ25" s="390" t="str">
        <f t="array" ref="DQ25">IFERROR(IF(AND(INDEX($E$8:$CE$57, MATCH($C25, $C$8:$C$57, 0), (COLUMNS($DC25:DQ25)-1)*5 + 1) = INDEX($E$5:$CE$5, 1, (COLUMNS($DC25:DQ25)-1)*5 + 1), INDEX($E$8:$CE$57, MATCH($C25, $C$8:$C$57, 0), (COLUMNS($DC25:DQ25)-1)*5 + 4) = "F"), INDEX($CZ$8:$CZ$23, COLUMNS($DC25:DQ25)), "0"), "")</f>
        <v>0</v>
      </c>
      <c r="DR25" s="390" t="str">
        <f t="array" ref="DR25">IFERROR(IF(AND(INDEX($E$8:$CE$57, MATCH($C25, $C$8:$C$57, 0), (COLUMNS($DC25:DR25)-1)*5 + 1) = INDEX($E$5:$CE$5, 1, (COLUMNS($DC25:DR25)-1)*5 + 1), INDEX($E$8:$CE$57, MATCH($C25, $C$8:$C$57, 0), (COLUMNS($DC25:DR25)-1)*5 + 4) = "F"), INDEX($CZ$8:$CZ$23, COLUMNS($DC25:DR25)), "0"), "")</f>
        <v>0</v>
      </c>
      <c r="DT25" s="537" t="str">
        <f>BASE01[[#This Row],[COD]]</f>
        <v>COD 18</v>
      </c>
      <c r="DU25" s="390" t="str">
        <f t="array" ref="DU25">IFERROR(IF(AND(INDEX($E$8:$CE$57, MATCH($C25, $C$8:$C$57, 0), (COLUMNS($DU25:DU25)-1)*5 + 1) = INDEX($E$5:$CE$5, 1, (COLUMNS($DU25:DU25)-1)*5 + 1), INDEX($E$8:$CE$57, MATCH($C25, $C$8:$C$57, 0), (COLUMNS($DU25:DU25)-1)*5 + 4) = "SF"), INDEX($CZ$8:$CZ$23, COLUMNS($DU25:DU25)), "0"), "")</f>
        <v>0</v>
      </c>
      <c r="DV25" s="390" t="str">
        <f t="array" ref="DV25">IFERROR(IF(AND(INDEX($E$8:$CE$57, MATCH($C25, $C$8:$C$57, 0), (COLUMNS($DU25:DV25)-1)*5 + 1) = INDEX($E$5:$CE$5, 1, (COLUMNS($DU25:DV25)-1)*5 + 1), INDEX($E$8:$CE$57, MATCH($C25, $C$8:$C$57, 0), (COLUMNS($DU25:DV25)-1)*5 + 4) = "SF"), INDEX($CZ$8:$CZ$23, COLUMNS($DU25:DV25)), "0"), "")</f>
        <v>0</v>
      </c>
      <c r="DW25" s="390" t="str">
        <f t="array" ref="DW25">IFERROR(IF(AND(INDEX($E$8:$CE$57, MATCH($C25, $C$8:$C$57, 0), (COLUMNS($DU25:DW25)-1)*5 + 1) = INDEX($E$5:$CE$5, 1, (COLUMNS($DU25:DW25)-1)*5 + 1), INDEX($E$8:$CE$57, MATCH($C25, $C$8:$C$57, 0), (COLUMNS($DU25:DW25)-1)*5 + 4) = "SF"), INDEX($CZ$8:$CZ$23, COLUMNS($DU25:DW25)), "0"), "")</f>
        <v>0</v>
      </c>
      <c r="DX25" s="390" t="str">
        <f t="array" ref="DX25">IFERROR(IF(AND(INDEX($E$8:$CE$57, MATCH($C25, $C$8:$C$57, 0), (COLUMNS($DU25:DX25)-1)*5 + 1) = INDEX($E$5:$CE$5, 1, (COLUMNS($DU25:DX25)-1)*5 + 1), INDEX($E$8:$CE$57, MATCH($C25, $C$8:$C$57, 0), (COLUMNS($DU25:DX25)-1)*5 + 4) = "SF"), INDEX($CZ$8:$CZ$23, COLUMNS($DU25:DX25)), "0"), "")</f>
        <v>0</v>
      </c>
      <c r="DY25" s="390" t="str">
        <f t="array" ref="DY25">IFERROR(IF(AND(INDEX($E$8:$CE$57, MATCH($C25, $C$8:$C$57, 0), (COLUMNS($DU25:DY25)-1)*5 + 1) = INDEX($E$5:$CE$5, 1, (COLUMNS($DU25:DY25)-1)*5 + 1), INDEX($E$8:$CE$57, MATCH($C25, $C$8:$C$57, 0), (COLUMNS($DU25:DY25)-1)*5 + 4) = "SF"), INDEX($CZ$8:$CZ$23, COLUMNS($DU25:DY25)), "0"), "")</f>
        <v>0</v>
      </c>
      <c r="DZ25" s="390" t="str">
        <f t="array" ref="DZ25">IFERROR(IF(AND(INDEX($E$8:$CE$57, MATCH($C25, $C$8:$C$57, 0), (COLUMNS($DU25:DZ25)-1)*5 + 1) = INDEX($E$5:$CE$5, 1, (COLUMNS($DU25:DZ25)-1)*5 + 1), INDEX($E$8:$CE$57, MATCH($C25, $C$8:$C$57, 0), (COLUMNS($DU25:DZ25)-1)*5 + 4) = "SF"), INDEX($CZ$8:$CZ$23, COLUMNS($DU25:DZ25)), "0"), "")</f>
        <v>0</v>
      </c>
      <c r="EA25" s="390" t="str">
        <f t="array" ref="EA25">IFERROR(IF(AND(INDEX($E$8:$CE$57, MATCH($C25, $C$8:$C$57, 0), (COLUMNS($DU25:EA25)-1)*5 + 1) = INDEX($E$5:$CE$5, 1, (COLUMNS($DU25:EA25)-1)*5 + 1), INDEX($E$8:$CE$57, MATCH($C25, $C$8:$C$57, 0), (COLUMNS($DU25:EA25)-1)*5 + 4) = "SF"), INDEX($CZ$8:$CZ$23, COLUMNS($DU25:EA25)), "0"), "")</f>
        <v>0</v>
      </c>
      <c r="EB25" s="390" t="str">
        <f t="array" ref="EB25">IFERROR(IF(AND(INDEX($E$8:$CE$57, MATCH($C25, $C$8:$C$57, 0), (COLUMNS($DU25:EB25)-1)*5 + 1) = INDEX($E$5:$CE$5, 1, (COLUMNS($DU25:EB25)-1)*5 + 1), INDEX($E$8:$CE$57, MATCH($C25, $C$8:$C$57, 0), (COLUMNS($DU25:EB25)-1)*5 + 4) = "SF"), INDEX($CZ$8:$CZ$23, COLUMNS($DU25:EB25)), "0"), "")</f>
        <v>0</v>
      </c>
      <c r="EC25" s="390" t="str">
        <f t="array" ref="EC25">IFERROR(IF(AND(INDEX($E$8:$CE$57, MATCH($C25, $C$8:$C$57, 0), (COLUMNS($DU25:EC25)-1)*5 + 1) = INDEX($E$5:$CE$5, 1, (COLUMNS($DU25:EC25)-1)*5 + 1), INDEX($E$8:$CE$57, MATCH($C25, $C$8:$C$57, 0), (COLUMNS($DU25:EC25)-1)*5 + 4) = "SF"), INDEX($CZ$8:$CZ$23, COLUMNS($DU25:EC25)), "0"), "")</f>
        <v>0</v>
      </c>
      <c r="ED25" s="390" t="str">
        <f t="array" ref="ED25">IFERROR(IF(AND(INDEX($E$8:$CE$57, MATCH($C25, $C$8:$C$57, 0), (COLUMNS($DU25:ED25)-1)*5 + 1) = INDEX($E$5:$CE$5, 1, (COLUMNS($DU25:ED25)-1)*5 + 1), INDEX($E$8:$CE$57, MATCH($C25, $C$8:$C$57, 0), (COLUMNS($DU25:ED25)-1)*5 + 4) = "SF"), INDEX($CZ$8:$CZ$23, COLUMNS($DU25:ED25)), "0"), "")</f>
        <v>0</v>
      </c>
      <c r="EE25" s="390">
        <f t="array" ref="EE25">IFERROR(IF(AND(INDEX($E$8:$CE$57, MATCH($C25, $C$8:$C$57, 0), (COLUMNS($DU25:EE25)-1)*5 + 1) = INDEX($E$5:$CE$5, 1, (COLUMNS($DU25:EE25)-1)*5 + 1), INDEX($E$8:$CE$57, MATCH($C25, $C$8:$C$57, 0), (COLUMNS($DU25:EE25)-1)*5 + 4) = "SF"), INDEX($CZ$8:$CZ$23, COLUMNS($DU25:EE25)), "0"), "")</f>
        <v>184.94</v>
      </c>
      <c r="EF25" s="390" t="str">
        <f t="array" ref="EF25">IFERROR(IF(AND(INDEX($E$8:$CE$57, MATCH($C25, $C$8:$C$57, 0), (COLUMNS($DU25:EF25)-1)*5 + 1) = INDEX($E$5:$CE$5, 1, (COLUMNS($DU25:EF25)-1)*5 + 1), INDEX($E$8:$CE$57, MATCH($C25, $C$8:$C$57, 0), (COLUMNS($DU25:EF25)-1)*5 + 4) = "SF"), INDEX($CZ$8:$CZ$23, COLUMNS($DU25:EF25)), "0"), "")</f>
        <v>0</v>
      </c>
      <c r="EG25" s="390" t="str">
        <f t="array" ref="EG25">IFERROR(IF(AND(INDEX($E$8:$CE$57, MATCH($C25, $C$8:$C$57, 0), (COLUMNS($DU25:EG25)-1)*5 + 1) = INDEX($E$5:$CE$5, 1, (COLUMNS($DU25:EG25)-1)*5 + 1), INDEX($E$8:$CE$57, MATCH($C25, $C$8:$C$57, 0), (COLUMNS($DU25:EG25)-1)*5 + 4) = "SF"), INDEX($CZ$8:$CZ$23, COLUMNS($DU25:EG25)), "0"), "")</f>
        <v>0</v>
      </c>
      <c r="EH25" s="390" t="str">
        <f t="array" ref="EH25">IFERROR(IF(AND(INDEX($E$8:$CE$57, MATCH($C25, $C$8:$C$57, 0), (COLUMNS($DU25:EH25)-1)*5 + 1) = INDEX($E$5:$CE$5, 1, (COLUMNS($DU25:EH25)-1)*5 + 1), INDEX($E$8:$CE$57, MATCH($C25, $C$8:$C$57, 0), (COLUMNS($DU25:EH25)-1)*5 + 4) = "SF"), INDEX($CZ$8:$CZ$23, COLUMNS($DU25:EH25)), "0"), "")</f>
        <v>0</v>
      </c>
      <c r="EI25" s="390" t="str">
        <f t="array" ref="EI25">IFERROR(IF(AND(INDEX($E$8:$CE$57, MATCH($C25, $C$8:$C$57, 0), (COLUMNS($DU25:EI25)-1)*5 + 1) = INDEX($E$5:$CE$5, 1, (COLUMNS($DU25:EI25)-1)*5 + 1), INDEX($E$8:$CE$57, MATCH($C25, $C$8:$C$57, 0), (COLUMNS($DU25:EI25)-1)*5 + 4) = "SF"), INDEX($CZ$8:$CZ$23, COLUMNS($DU25:EI25)), "0"), "")</f>
        <v>0</v>
      </c>
      <c r="EJ25" s="390" t="str">
        <f t="array" ref="EJ25">IFERROR(IF(AND(INDEX($E$8:$CE$57, MATCH($C25, $C$8:$C$57, 0), (COLUMNS($DU25:EJ25)-1)*5 + 1) = INDEX($E$5:$CE$5, 1, (COLUMNS($DU25:EJ25)-1)*5 + 1), INDEX($E$8:$CE$57, MATCH($C25, $C$8:$C$57, 0), (COLUMNS($DU25:EJ25)-1)*5 + 4) = "SF"), INDEX($CZ$8:$CZ$23, COLUMNS($DU25:EJ25)), "0"), "")</f>
        <v>0</v>
      </c>
    </row>
    <row r="26" spans="1:140" ht="20.100000000000001" customHeight="1" x14ac:dyDescent="0.35">
      <c r="A26" s="515"/>
      <c r="B26" s="91">
        <f>IF(BASE01[[#This Row],[COD]]&lt;&gt;"",B25+1,"")</f>
        <v>19</v>
      </c>
      <c r="C26" s="533" t="s">
        <v>69</v>
      </c>
      <c r="D26" s="92" t="str">
        <f t="array" ref="D26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26" s="143">
        <v>8</v>
      </c>
      <c r="F26" s="149">
        <v>6</v>
      </c>
      <c r="G26" s="149">
        <v>2</v>
      </c>
      <c r="H26" s="149"/>
      <c r="I26" s="534">
        <f t="shared" si="0"/>
        <v>5</v>
      </c>
      <c r="J26" s="143">
        <v>8</v>
      </c>
      <c r="K26" s="149">
        <v>3</v>
      </c>
      <c r="L26" s="149">
        <v>5</v>
      </c>
      <c r="M26" s="149"/>
      <c r="N26" s="534">
        <f t="shared" si="1"/>
        <v>4</v>
      </c>
      <c r="O26" s="143">
        <v>8</v>
      </c>
      <c r="P26" s="149">
        <v>3</v>
      </c>
      <c r="Q26" s="149">
        <v>5</v>
      </c>
      <c r="R26" s="149"/>
      <c r="S26" s="534">
        <f t="shared" si="2"/>
        <v>0</v>
      </c>
      <c r="T26" s="143">
        <v>6</v>
      </c>
      <c r="U26" s="149"/>
      <c r="V26" s="149"/>
      <c r="W26" s="149" t="s">
        <v>255</v>
      </c>
      <c r="X26" s="534">
        <f t="shared" si="3"/>
        <v>7.5</v>
      </c>
      <c r="Y26" s="143">
        <v>5</v>
      </c>
      <c r="Z26" s="149">
        <v>10</v>
      </c>
      <c r="AA26" s="149">
        <v>3</v>
      </c>
      <c r="AB26" s="149" t="s">
        <v>254</v>
      </c>
      <c r="AC26" s="534">
        <f t="shared" si="4"/>
        <v>4.5</v>
      </c>
      <c r="AD26" s="143">
        <v>7</v>
      </c>
      <c r="AE26" s="149">
        <v>2</v>
      </c>
      <c r="AF26" s="149">
        <v>5</v>
      </c>
      <c r="AG26" s="149"/>
      <c r="AH26" s="534">
        <f t="shared" si="5"/>
        <v>4</v>
      </c>
      <c r="AI26" s="143">
        <v>7</v>
      </c>
      <c r="AJ26" s="149">
        <v>1</v>
      </c>
      <c r="AK26" s="149">
        <v>3</v>
      </c>
      <c r="AL26" s="149"/>
      <c r="AM26" s="534">
        <f t="shared" si="6"/>
        <v>0</v>
      </c>
      <c r="AN26" s="143">
        <v>8</v>
      </c>
      <c r="AO26" s="149">
        <v>11</v>
      </c>
      <c r="AP26" s="149">
        <v>9</v>
      </c>
      <c r="AQ26" s="149"/>
      <c r="AR26" s="534">
        <f t="shared" si="7"/>
        <v>0</v>
      </c>
      <c r="AS26" s="143">
        <v>7</v>
      </c>
      <c r="AT26" s="149">
        <v>6</v>
      </c>
      <c r="AU26" s="149">
        <v>2</v>
      </c>
      <c r="AV26" s="149"/>
      <c r="AW26" s="534">
        <f t="shared" si="8"/>
        <v>0</v>
      </c>
      <c r="AX26" s="143">
        <v>9</v>
      </c>
      <c r="AY26" s="149">
        <v>8</v>
      </c>
      <c r="AZ26" s="149">
        <v>1</v>
      </c>
      <c r="BA26" s="149"/>
      <c r="BB26" s="534">
        <f t="shared" si="9"/>
        <v>1</v>
      </c>
      <c r="BC26" s="143">
        <v>4</v>
      </c>
      <c r="BD26" s="149">
        <v>2</v>
      </c>
      <c r="BE26" s="149">
        <v>8</v>
      </c>
      <c r="BF26" s="149"/>
      <c r="BG26" s="534">
        <f t="shared" si="10"/>
        <v>5</v>
      </c>
      <c r="BH26" s="143">
        <v>6</v>
      </c>
      <c r="BI26" s="149">
        <v>5</v>
      </c>
      <c r="BJ26" s="149">
        <v>2</v>
      </c>
      <c r="BK26" s="149" t="s">
        <v>254</v>
      </c>
      <c r="BL26" s="534">
        <f t="shared" si="11"/>
        <v>4</v>
      </c>
      <c r="BM26" s="143">
        <v>12</v>
      </c>
      <c r="BN26" s="149">
        <v>1</v>
      </c>
      <c r="BO26" s="149">
        <v>2</v>
      </c>
      <c r="BP26" s="149"/>
      <c r="BQ26" s="534">
        <f t="shared" si="12"/>
        <v>0</v>
      </c>
      <c r="BR26" s="143"/>
      <c r="BS26" s="149"/>
      <c r="BT26" s="149"/>
      <c r="BU26" s="149"/>
      <c r="BV26" s="534">
        <f t="shared" si="13"/>
        <v>0</v>
      </c>
      <c r="BW26" s="143"/>
      <c r="BX26" s="149"/>
      <c r="BY26" s="149"/>
      <c r="BZ26" s="149"/>
      <c r="CA26" s="534">
        <f t="shared" si="14"/>
        <v>0</v>
      </c>
      <c r="CB26" s="143"/>
      <c r="CC26" s="149"/>
      <c r="CD26" s="149"/>
      <c r="CE26" s="149"/>
      <c r="CF26" s="534">
        <f t="shared" si="15"/>
        <v>0</v>
      </c>
      <c r="CG26" s="162">
        <f>IF(BASE01[[#This Row],[1]]="",0,$B$4)</f>
        <v>13</v>
      </c>
      <c r="CH26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4</v>
      </c>
      <c r="CI26" s="164">
        <f>IF(BASE01[[#This Row],[Columna14]]=0,0,(CH26/CG26))</f>
        <v>0.30769230769230771</v>
      </c>
      <c r="CJ26" s="163">
        <f>IF(BASE01[[#This Row],[1]]="",0,$B$4)</f>
        <v>13</v>
      </c>
      <c r="CK26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6</v>
      </c>
      <c r="CL26" s="164">
        <f>IF(BASE01[[#This Row],[Columna14]]=0,0,(CK26/CJ26))</f>
        <v>0.46153846153846156</v>
      </c>
      <c r="CM26" s="162">
        <f>IF(BASE01[[#This Row],[1]]="",0,$B$4)</f>
        <v>13</v>
      </c>
      <c r="CN26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8</v>
      </c>
      <c r="CO26" s="164">
        <f>IF(BASE01[[#This Row],[Columna14]]=0,0,(CN26/CM26))</f>
        <v>0.61538461538461542</v>
      </c>
      <c r="CP26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26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Row],[Columna25]],$AX$5,BA26,"SF")+COUNTIFS(BASE01[[#This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26" s="164">
        <f>IF(BASE01[[#This Row],[Columna14]]=0,0,(CQ26/CP26))</f>
        <v>0.66666666666666663</v>
      </c>
      <c r="CS26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35</v>
      </c>
      <c r="CT26" s="93"/>
      <c r="CU26" s="536">
        <f t="shared" si="16"/>
        <v>35</v>
      </c>
      <c r="CV26" s="94">
        <f>IF(BASE01[[#This Row],[TIPO]]="PREMIO",$O$3,"0,00")</f>
        <v>1000</v>
      </c>
      <c r="CW26" s="515"/>
      <c r="CY26" s="387" t="s">
        <v>252</v>
      </c>
      <c r="CZ26" s="387" t="s">
        <v>9</v>
      </c>
      <c r="DA26" s="387" t="s">
        <v>258</v>
      </c>
      <c r="DB26" s="537" t="str">
        <f>BASE01[[#This Row],[COD]]</f>
        <v>COD 19</v>
      </c>
      <c r="DC26" s="390" t="str">
        <f t="array" ref="DC26">IFERROR(IF(AND(INDEX($E$8:$CE$57, MATCH($C26, $C$8:$C$57, 0), (COLUMNS($DC26:DC26)-1)*5 + 1) = INDEX($E$5:$CE$5, 1, (COLUMNS($DC26:DC26)-1)*5 + 1), INDEX($E$8:$CE$57, MATCH($C26, $C$8:$C$57, 0), (COLUMNS($DC26:DC26)-1)*5 + 4) = "F"), INDEX($CZ$8:$CZ$23, COLUMNS($DC26:DC26)), "0"), "")</f>
        <v>0</v>
      </c>
      <c r="DD26" s="390" t="str">
        <f t="array" ref="DD26">IFERROR(IF(AND(INDEX($E$8:$CE$57, MATCH($C26, $C$8:$C$57, 0), (COLUMNS($DC26:DD26)-1)*5 + 1) = INDEX($E$5:$CE$5, 1, (COLUMNS($DC26:DD26)-1)*5 + 1), INDEX($E$8:$CE$57, MATCH($C26, $C$8:$C$57, 0), (COLUMNS($DC26:DD26)-1)*5 + 4) = "F"), INDEX($CZ$8:$CZ$23, COLUMNS($DC26:DD26)), "0"), "")</f>
        <v>0</v>
      </c>
      <c r="DE26" s="390" t="str">
        <f t="array" ref="DE26">IFERROR(IF(AND(INDEX($E$8:$CE$57, MATCH($C26, $C$8:$C$57, 0), (COLUMNS($DC26:DE26)-1)*5 + 1) = INDEX($E$5:$CE$5, 1, (COLUMNS($DC26:DE26)-1)*5 + 1), INDEX($E$8:$CE$57, MATCH($C26, $C$8:$C$57, 0), (COLUMNS($DC26:DE26)-1)*5 + 4) = "F"), INDEX($CZ$8:$CZ$23, COLUMNS($DC26:DE26)), "0"), "")</f>
        <v>0</v>
      </c>
      <c r="DF26" s="390" t="str">
        <f t="array" ref="DF26">IFERROR(IF(AND(INDEX($E$8:$CE$57, MATCH($C26, $C$8:$C$57, 0), (COLUMNS($DC26:DF26)-1)*5 + 1) = INDEX($E$5:$CE$5, 1, (COLUMNS($DC26:DF26)-1)*5 + 1), INDEX($E$8:$CE$57, MATCH($C26, $C$8:$C$57, 0), (COLUMNS($DC26:DF26)-1)*5 + 4) = "F"), INDEX($CZ$8:$CZ$23, COLUMNS($DC26:DF26)), "0"), "")</f>
        <v>0</v>
      </c>
      <c r="DG26" s="390">
        <f t="array" ref="DG26">IFERROR(IF(AND(INDEX($E$8:$CE$57, MATCH($C26, $C$8:$C$57, 0), (COLUMNS($DC26:DG26)-1)*5 + 1) = INDEX($E$5:$CE$5, 1, (COLUMNS($DC26:DG26)-1)*5 + 1), INDEX($E$8:$CE$57, MATCH($C26, $C$8:$C$57, 0), (COLUMNS($DC26:DG26)-1)*5 + 4) = "F"), INDEX($CZ$8:$CZ$23, COLUMNS($DC26:DG26)), "0"), "")</f>
        <v>110</v>
      </c>
      <c r="DH26" s="390" t="str">
        <f t="array" ref="DH26">IFERROR(IF(AND(INDEX($E$8:$CE$57, MATCH($C26, $C$8:$C$57, 0), (COLUMNS($DC26:DH26)-1)*5 + 1) = INDEX($E$5:$CE$5, 1, (COLUMNS($DC26:DH26)-1)*5 + 1), INDEX($E$8:$CE$57, MATCH($C26, $C$8:$C$57, 0), (COLUMNS($DC26:DH26)-1)*5 + 4) = "F"), INDEX($CZ$8:$CZ$23, COLUMNS($DC26:DH26)), "0"), "")</f>
        <v>0</v>
      </c>
      <c r="DI26" s="390" t="str">
        <f t="array" ref="DI26">IFERROR(IF(AND(INDEX($E$8:$CE$57, MATCH($C26, $C$8:$C$57, 0), (COLUMNS($DC26:DI26)-1)*5 + 1) = INDEX($E$5:$CE$5, 1, (COLUMNS($DC26:DI26)-1)*5 + 1), INDEX($E$8:$CE$57, MATCH($C26, $C$8:$C$57, 0), (COLUMNS($DC26:DI26)-1)*5 + 4) = "F"), INDEX($CZ$8:$CZ$23, COLUMNS($DC26:DI26)), "0"), "")</f>
        <v>0</v>
      </c>
      <c r="DJ26" s="390" t="str">
        <f t="array" ref="DJ26">IFERROR(IF(AND(INDEX($E$8:$CE$57, MATCH($C26, $C$8:$C$57, 0), (COLUMNS($DC26:DJ26)-1)*5 + 1) = INDEX($E$5:$CE$5, 1, (COLUMNS($DC26:DJ26)-1)*5 + 1), INDEX($E$8:$CE$57, MATCH($C26, $C$8:$C$57, 0), (COLUMNS($DC26:DJ26)-1)*5 + 4) = "F"), INDEX($CZ$8:$CZ$23, COLUMNS($DC26:DJ26)), "0"), "")</f>
        <v>0</v>
      </c>
      <c r="DK26" s="390" t="str">
        <f t="array" ref="DK26">IFERROR(IF(AND(INDEX($E$8:$CE$57, MATCH($C26, $C$8:$C$57, 0), (COLUMNS($DC26:DK26)-1)*5 + 1) = INDEX($E$5:$CE$5, 1, (COLUMNS($DC26:DK26)-1)*5 + 1), INDEX($E$8:$CE$57, MATCH($C26, $C$8:$C$57, 0), (COLUMNS($DC26:DK26)-1)*5 + 4) = "F"), INDEX($CZ$8:$CZ$23, COLUMNS($DC26:DK26)), "0"), "")</f>
        <v>0</v>
      </c>
      <c r="DL26" s="390" t="str">
        <f t="array" ref="DL26">IFERROR(IF(AND(INDEX($E$8:$CE$57, MATCH($C26, $C$8:$C$57, 0), (COLUMNS($DC26:DL26)-1)*5 + 1) = INDEX($E$5:$CE$5, 1, (COLUMNS($DC26:DL26)-1)*5 + 1), INDEX($E$8:$CE$57, MATCH($C26, $C$8:$C$57, 0), (COLUMNS($DC26:DL26)-1)*5 + 4) = "F"), INDEX($CZ$8:$CZ$23, COLUMNS($DC26:DL26)), "0"), "")</f>
        <v>0</v>
      </c>
      <c r="DM26" s="390" t="str">
        <f t="array" ref="DM26">IFERROR(IF(AND(INDEX($E$8:$CE$57, MATCH($C26, $C$8:$C$57, 0), (COLUMNS($DC26:DM26)-1)*5 + 1) = INDEX($E$5:$CE$5, 1, (COLUMNS($DC26:DM26)-1)*5 + 1), INDEX($E$8:$CE$57, MATCH($C26, $C$8:$C$57, 0), (COLUMNS($DC26:DM26)-1)*5 + 4) = "F"), INDEX($CZ$8:$CZ$23, COLUMNS($DC26:DM26)), "0"), "")</f>
        <v>0</v>
      </c>
      <c r="DN26" s="390" t="str">
        <f t="array" ref="DN26">IFERROR(IF(AND(INDEX($E$8:$CE$57, MATCH($C26, $C$8:$C$57, 0), (COLUMNS($DC26:DN26)-1)*5 + 1) = INDEX($E$5:$CE$5, 1, (COLUMNS($DC26:DN26)-1)*5 + 1), INDEX($E$8:$CE$57, MATCH($C26, $C$8:$C$57, 0), (COLUMNS($DC26:DN26)-1)*5 + 4) = "F"), INDEX($CZ$8:$CZ$23, COLUMNS($DC26:DN26)), "0"), "")</f>
        <v>0</v>
      </c>
      <c r="DO26" s="390" t="str">
        <f t="array" ref="DO26">IFERROR(IF(AND(INDEX($E$8:$CE$57, MATCH($C26, $C$8:$C$57, 0), (COLUMNS($DC26:DO26)-1)*5 + 1) = INDEX($E$5:$CE$5, 1, (COLUMNS($DC26:DO26)-1)*5 + 1), INDEX($E$8:$CE$57, MATCH($C26, $C$8:$C$57, 0), (COLUMNS($DC26:DO26)-1)*5 + 4) = "F"), INDEX($CZ$8:$CZ$23, COLUMNS($DC26:DO26)), "0"), "")</f>
        <v>0</v>
      </c>
      <c r="DP26" s="390" t="str">
        <f t="array" ref="DP26">IFERROR(IF(AND(INDEX($E$8:$CE$57, MATCH($C26, $C$8:$C$57, 0), (COLUMNS($DC26:DP26)-1)*5 + 1) = INDEX($E$5:$CE$5, 1, (COLUMNS($DC26:DP26)-1)*5 + 1), INDEX($E$8:$CE$57, MATCH($C26, $C$8:$C$57, 0), (COLUMNS($DC26:DP26)-1)*5 + 4) = "F"), INDEX($CZ$8:$CZ$23, COLUMNS($DC26:DP26)), "0"), "")</f>
        <v>0</v>
      </c>
      <c r="DQ26" s="390" t="str">
        <f t="array" ref="DQ26">IFERROR(IF(AND(INDEX($E$8:$CE$57, MATCH($C26, $C$8:$C$57, 0), (COLUMNS($DC26:DQ26)-1)*5 + 1) = INDEX($E$5:$CE$5, 1, (COLUMNS($DC26:DQ26)-1)*5 + 1), INDEX($E$8:$CE$57, MATCH($C26, $C$8:$C$57, 0), (COLUMNS($DC26:DQ26)-1)*5 + 4) = "F"), INDEX($CZ$8:$CZ$23, COLUMNS($DC26:DQ26)), "0"), "")</f>
        <v>0</v>
      </c>
      <c r="DR26" s="390" t="str">
        <f t="array" ref="DR26">IFERROR(IF(AND(INDEX($E$8:$CE$57, MATCH($C26, $C$8:$C$57, 0), (COLUMNS($DC26:DR26)-1)*5 + 1) = INDEX($E$5:$CE$5, 1, (COLUMNS($DC26:DR26)-1)*5 + 1), INDEX($E$8:$CE$57, MATCH($C26, $C$8:$C$57, 0), (COLUMNS($DC26:DR26)-1)*5 + 4) = "F"), INDEX($CZ$8:$CZ$23, COLUMNS($DC26:DR26)), "0"), "")</f>
        <v>0</v>
      </c>
      <c r="DT26" s="537" t="str">
        <f>BASE01[[#This Row],[COD]]</f>
        <v>COD 19</v>
      </c>
      <c r="DU26" s="390" t="str">
        <f t="array" ref="DU26">IFERROR(IF(AND(INDEX($E$8:$CE$57, MATCH($C26, $C$8:$C$57, 0), (COLUMNS($DU26:DU26)-1)*5 + 1) = INDEX($E$5:$CE$5, 1, (COLUMNS($DU26:DU26)-1)*5 + 1), INDEX($E$8:$CE$57, MATCH($C26, $C$8:$C$57, 0), (COLUMNS($DU26:DU26)-1)*5 + 4) = "SF"), INDEX($CZ$8:$CZ$23, COLUMNS($DU26:DU26)), "0"), "")</f>
        <v>0</v>
      </c>
      <c r="DV26" s="390" t="str">
        <f t="array" ref="DV26">IFERROR(IF(AND(INDEX($E$8:$CE$57, MATCH($C26, $C$8:$C$57, 0), (COLUMNS($DU26:DV26)-1)*5 + 1) = INDEX($E$5:$CE$5, 1, (COLUMNS($DU26:DV26)-1)*5 + 1), INDEX($E$8:$CE$57, MATCH($C26, $C$8:$C$57, 0), (COLUMNS($DU26:DV26)-1)*5 + 4) = "SF"), INDEX($CZ$8:$CZ$23, COLUMNS($DU26:DV26)), "0"), "")</f>
        <v>0</v>
      </c>
      <c r="DW26" s="390" t="str">
        <f t="array" ref="DW26">IFERROR(IF(AND(INDEX($E$8:$CE$57, MATCH($C26, $C$8:$C$57, 0), (COLUMNS($DU26:DW26)-1)*5 + 1) = INDEX($E$5:$CE$5, 1, (COLUMNS($DU26:DW26)-1)*5 + 1), INDEX($E$8:$CE$57, MATCH($C26, $C$8:$C$57, 0), (COLUMNS($DU26:DW26)-1)*5 + 4) = "SF"), INDEX($CZ$8:$CZ$23, COLUMNS($DU26:DW26)), "0"), "")</f>
        <v>0</v>
      </c>
      <c r="DX26" s="390">
        <f t="array" ref="DX26">IFERROR(IF(AND(INDEX($E$8:$CE$57, MATCH($C26, $C$8:$C$57, 0), (COLUMNS($DU26:DX26)-1)*5 + 1) = INDEX($E$5:$CE$5, 1, (COLUMNS($DU26:DX26)-1)*5 + 1), INDEX($E$8:$CE$57, MATCH($C26, $C$8:$C$57, 0), (COLUMNS($DU26:DX26)-1)*5 + 4) = "SF"), INDEX($CZ$8:$CZ$23, COLUMNS($DU26:DX26)), "0"), "")</f>
        <v>110</v>
      </c>
      <c r="DY26" s="390" t="str">
        <f t="array" ref="DY26">IFERROR(IF(AND(INDEX($E$8:$CE$57, MATCH($C26, $C$8:$C$57, 0), (COLUMNS($DU26:DY26)-1)*5 + 1) = INDEX($E$5:$CE$5, 1, (COLUMNS($DU26:DY26)-1)*5 + 1), INDEX($E$8:$CE$57, MATCH($C26, $C$8:$C$57, 0), (COLUMNS($DU26:DY26)-1)*5 + 4) = "SF"), INDEX($CZ$8:$CZ$23, COLUMNS($DU26:DY26)), "0"), "")</f>
        <v>0</v>
      </c>
      <c r="DZ26" s="390" t="str">
        <f t="array" ref="DZ26">IFERROR(IF(AND(INDEX($E$8:$CE$57, MATCH($C26, $C$8:$C$57, 0), (COLUMNS($DU26:DZ26)-1)*5 + 1) = INDEX($E$5:$CE$5, 1, (COLUMNS($DU26:DZ26)-1)*5 + 1), INDEX($E$8:$CE$57, MATCH($C26, $C$8:$C$57, 0), (COLUMNS($DU26:DZ26)-1)*5 + 4) = "SF"), INDEX($CZ$8:$CZ$23, COLUMNS($DU26:DZ26)), "0"), "")</f>
        <v>0</v>
      </c>
      <c r="EA26" s="390" t="str">
        <f t="array" ref="EA26">IFERROR(IF(AND(INDEX($E$8:$CE$57, MATCH($C26, $C$8:$C$57, 0), (COLUMNS($DU26:EA26)-1)*5 + 1) = INDEX($E$5:$CE$5, 1, (COLUMNS($DU26:EA26)-1)*5 + 1), INDEX($E$8:$CE$57, MATCH($C26, $C$8:$C$57, 0), (COLUMNS($DU26:EA26)-1)*5 + 4) = "SF"), INDEX($CZ$8:$CZ$23, COLUMNS($DU26:EA26)), "0"), "")</f>
        <v>0</v>
      </c>
      <c r="EB26" s="390" t="str">
        <f t="array" ref="EB26">IFERROR(IF(AND(INDEX($E$8:$CE$57, MATCH($C26, $C$8:$C$57, 0), (COLUMNS($DU26:EB26)-1)*5 + 1) = INDEX($E$5:$CE$5, 1, (COLUMNS($DU26:EB26)-1)*5 + 1), INDEX($E$8:$CE$57, MATCH($C26, $C$8:$C$57, 0), (COLUMNS($DU26:EB26)-1)*5 + 4) = "SF"), INDEX($CZ$8:$CZ$23, COLUMNS($DU26:EB26)), "0"), "")</f>
        <v>0</v>
      </c>
      <c r="EC26" s="390" t="str">
        <f t="array" ref="EC26">IFERROR(IF(AND(INDEX($E$8:$CE$57, MATCH($C26, $C$8:$C$57, 0), (COLUMNS($DU26:EC26)-1)*5 + 1) = INDEX($E$5:$CE$5, 1, (COLUMNS($DU26:EC26)-1)*5 + 1), INDEX($E$8:$CE$57, MATCH($C26, $C$8:$C$57, 0), (COLUMNS($DU26:EC26)-1)*5 + 4) = "SF"), INDEX($CZ$8:$CZ$23, COLUMNS($DU26:EC26)), "0"), "")</f>
        <v>0</v>
      </c>
      <c r="ED26" s="390" t="str">
        <f t="array" ref="ED26">IFERROR(IF(AND(INDEX($E$8:$CE$57, MATCH($C26, $C$8:$C$57, 0), (COLUMNS($DU26:ED26)-1)*5 + 1) = INDEX($E$5:$CE$5, 1, (COLUMNS($DU26:ED26)-1)*5 + 1), INDEX($E$8:$CE$57, MATCH($C26, $C$8:$C$57, 0), (COLUMNS($DU26:ED26)-1)*5 + 4) = "SF"), INDEX($CZ$8:$CZ$23, COLUMNS($DU26:ED26)), "0"), "")</f>
        <v>0</v>
      </c>
      <c r="EE26" s="390" t="str">
        <f t="array" ref="EE26">IFERROR(IF(AND(INDEX($E$8:$CE$57, MATCH($C26, $C$8:$C$57, 0), (COLUMNS($DU26:EE26)-1)*5 + 1) = INDEX($E$5:$CE$5, 1, (COLUMNS($DU26:EE26)-1)*5 + 1), INDEX($E$8:$CE$57, MATCH($C26, $C$8:$C$57, 0), (COLUMNS($DU26:EE26)-1)*5 + 4) = "SF"), INDEX($CZ$8:$CZ$23, COLUMNS($DU26:EE26)), "0"), "")</f>
        <v>0</v>
      </c>
      <c r="EF26" s="390" t="str">
        <f t="array" ref="EF26">IFERROR(IF(AND(INDEX($E$8:$CE$57, MATCH($C26, $C$8:$C$57, 0), (COLUMNS($DU26:EF26)-1)*5 + 1) = INDEX($E$5:$CE$5, 1, (COLUMNS($DU26:EF26)-1)*5 + 1), INDEX($E$8:$CE$57, MATCH($C26, $C$8:$C$57, 0), (COLUMNS($DU26:EF26)-1)*5 + 4) = "SF"), INDEX($CZ$8:$CZ$23, COLUMNS($DU26:EF26)), "0"), "")</f>
        <v>0</v>
      </c>
      <c r="EG26" s="390" t="str">
        <f t="array" ref="EG26">IFERROR(IF(AND(INDEX($E$8:$CE$57, MATCH($C26, $C$8:$C$57, 0), (COLUMNS($DU26:EG26)-1)*5 + 1) = INDEX($E$5:$CE$5, 1, (COLUMNS($DU26:EG26)-1)*5 + 1), INDEX($E$8:$CE$57, MATCH($C26, $C$8:$C$57, 0), (COLUMNS($DU26:EG26)-1)*5 + 4) = "SF"), INDEX($CZ$8:$CZ$23, COLUMNS($DU26:EG26)), "0"), "")</f>
        <v>0</v>
      </c>
      <c r="EH26" s="390" t="str">
        <f t="array" ref="EH26">IFERROR(IF(AND(INDEX($E$8:$CE$57, MATCH($C26, $C$8:$C$57, 0), (COLUMNS($DU26:EH26)-1)*5 + 1) = INDEX($E$5:$CE$5, 1, (COLUMNS($DU26:EH26)-1)*5 + 1), INDEX($E$8:$CE$57, MATCH($C26, $C$8:$C$57, 0), (COLUMNS($DU26:EH26)-1)*5 + 4) = "SF"), INDEX($CZ$8:$CZ$23, COLUMNS($DU26:EH26)), "0"), "")</f>
        <v>0</v>
      </c>
      <c r="EI26" s="390" t="str">
        <f t="array" ref="EI26">IFERROR(IF(AND(INDEX($E$8:$CE$57, MATCH($C26, $C$8:$C$57, 0), (COLUMNS($DU26:EI26)-1)*5 + 1) = INDEX($E$5:$CE$5, 1, (COLUMNS($DU26:EI26)-1)*5 + 1), INDEX($E$8:$CE$57, MATCH($C26, $C$8:$C$57, 0), (COLUMNS($DU26:EI26)-1)*5 + 4) = "SF"), INDEX($CZ$8:$CZ$23, COLUMNS($DU26:EI26)), "0"), "")</f>
        <v>0</v>
      </c>
      <c r="EJ26" s="390" t="str">
        <f t="array" ref="EJ26">IFERROR(IF(AND(INDEX($E$8:$CE$57, MATCH($C26, $C$8:$C$57, 0), (COLUMNS($DU26:EJ26)-1)*5 + 1) = INDEX($E$5:$CE$5, 1, (COLUMNS($DU26:EJ26)-1)*5 + 1), INDEX($E$8:$CE$57, MATCH($C26, $C$8:$C$57, 0), (COLUMNS($DU26:EJ26)-1)*5 + 4) = "SF"), INDEX($CZ$8:$CZ$23, COLUMNS($DU26:EJ26)), "0"), "")</f>
        <v>0</v>
      </c>
    </row>
    <row r="27" spans="1:140" ht="19.5" customHeight="1" x14ac:dyDescent="0.35">
      <c r="A27" s="515"/>
      <c r="B27" s="91">
        <f>IF(BASE01[[#This Row],[COD]]&lt;&gt;"",B26+1,"")</f>
        <v>20</v>
      </c>
      <c r="C27" s="533" t="s">
        <v>71</v>
      </c>
      <c r="D27" s="92" t="str">
        <f t="array" ref="D27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27" s="143">
        <v>1</v>
      </c>
      <c r="F27" s="145">
        <v>8</v>
      </c>
      <c r="G27" s="145">
        <v>6</v>
      </c>
      <c r="H27" s="145"/>
      <c r="I27" s="534">
        <f t="shared" si="0"/>
        <v>2</v>
      </c>
      <c r="J27" s="143">
        <v>8</v>
      </c>
      <c r="K27" s="145">
        <v>3</v>
      </c>
      <c r="L27" s="145">
        <v>5</v>
      </c>
      <c r="M27" s="145"/>
      <c r="N27" s="534">
        <f t="shared" si="1"/>
        <v>4</v>
      </c>
      <c r="O27" s="143">
        <v>2</v>
      </c>
      <c r="P27" s="145">
        <v>6</v>
      </c>
      <c r="Q27" s="145">
        <v>8</v>
      </c>
      <c r="R27" s="145"/>
      <c r="S27" s="534">
        <f t="shared" si="2"/>
        <v>2</v>
      </c>
      <c r="T27" s="143">
        <v>6</v>
      </c>
      <c r="U27" s="145">
        <v>8</v>
      </c>
      <c r="V27" s="145">
        <v>2</v>
      </c>
      <c r="W27" s="145"/>
      <c r="X27" s="534">
        <f t="shared" si="3"/>
        <v>3.5</v>
      </c>
      <c r="Y27" s="143">
        <v>5</v>
      </c>
      <c r="Z27" s="145">
        <v>1</v>
      </c>
      <c r="AA27" s="145">
        <v>8</v>
      </c>
      <c r="AB27" s="145" t="s">
        <v>254</v>
      </c>
      <c r="AC27" s="534">
        <f t="shared" si="4"/>
        <v>4.5</v>
      </c>
      <c r="AD27" s="143">
        <v>2</v>
      </c>
      <c r="AE27" s="145">
        <v>7</v>
      </c>
      <c r="AF27" s="145">
        <v>3</v>
      </c>
      <c r="AG27" s="145"/>
      <c r="AH27" s="534">
        <f t="shared" si="5"/>
        <v>4</v>
      </c>
      <c r="AI27" s="143">
        <v>7</v>
      </c>
      <c r="AJ27" s="145">
        <v>3</v>
      </c>
      <c r="AK27" s="145">
        <v>4</v>
      </c>
      <c r="AL27" s="145"/>
      <c r="AM27" s="534">
        <f t="shared" si="6"/>
        <v>1</v>
      </c>
      <c r="AN27" s="143">
        <v>8</v>
      </c>
      <c r="AO27" s="145">
        <v>9</v>
      </c>
      <c r="AP27" s="145">
        <v>12</v>
      </c>
      <c r="AQ27" s="145"/>
      <c r="AR27" s="534">
        <f t="shared" si="7"/>
        <v>0</v>
      </c>
      <c r="AS27" s="143">
        <v>1</v>
      </c>
      <c r="AT27" s="145">
        <v>2</v>
      </c>
      <c r="AU27" s="145">
        <v>7</v>
      </c>
      <c r="AV27" s="145" t="s">
        <v>254</v>
      </c>
      <c r="AW27" s="534">
        <f t="shared" si="8"/>
        <v>0</v>
      </c>
      <c r="AX27" s="143">
        <v>1</v>
      </c>
      <c r="AY27" s="145">
        <v>9</v>
      </c>
      <c r="AZ27" s="145">
        <v>7</v>
      </c>
      <c r="BA27" s="145"/>
      <c r="BB27" s="534">
        <f t="shared" si="9"/>
        <v>4</v>
      </c>
      <c r="BC27" s="143">
        <v>4</v>
      </c>
      <c r="BD27" s="145">
        <v>2</v>
      </c>
      <c r="BE27" s="145">
        <v>1</v>
      </c>
      <c r="BF27" s="145"/>
      <c r="BG27" s="534">
        <f t="shared" si="10"/>
        <v>5</v>
      </c>
      <c r="BH27" s="143">
        <v>1</v>
      </c>
      <c r="BI27" s="145"/>
      <c r="BJ27" s="145"/>
      <c r="BK27" s="145" t="s">
        <v>255</v>
      </c>
      <c r="BL27" s="534">
        <f t="shared" si="11"/>
        <v>0</v>
      </c>
      <c r="BM27" s="143">
        <v>1</v>
      </c>
      <c r="BN27" s="145">
        <v>2</v>
      </c>
      <c r="BO27" s="145">
        <v>12</v>
      </c>
      <c r="BP27" s="145"/>
      <c r="BQ27" s="534">
        <f t="shared" si="12"/>
        <v>0</v>
      </c>
      <c r="BR27" s="143"/>
      <c r="BS27" s="145"/>
      <c r="BT27" s="145"/>
      <c r="BU27" s="145"/>
      <c r="BV27" s="534">
        <f t="shared" si="13"/>
        <v>0</v>
      </c>
      <c r="BW27" s="143"/>
      <c r="BX27" s="145"/>
      <c r="BY27" s="145"/>
      <c r="BZ27" s="145"/>
      <c r="CA27" s="534">
        <f t="shared" si="14"/>
        <v>0</v>
      </c>
      <c r="CB27" s="143"/>
      <c r="CC27" s="145"/>
      <c r="CD27" s="145"/>
      <c r="CE27" s="145"/>
      <c r="CF27" s="534">
        <f t="shared" si="15"/>
        <v>0</v>
      </c>
      <c r="CG27" s="162">
        <f>IF(BASE01[[#This Row],[1]]="",0,$B$4)</f>
        <v>13</v>
      </c>
      <c r="CH27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5</v>
      </c>
      <c r="CI27" s="164">
        <f>IF(BASE01[[#This Row],[Columna14]]=0,0,(CH27/CG27))</f>
        <v>0.38461538461538464</v>
      </c>
      <c r="CJ27" s="163">
        <f>IF(BASE01[[#This Row],[1]]="",0,$B$4)</f>
        <v>13</v>
      </c>
      <c r="CK27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8</v>
      </c>
      <c r="CL27" s="164">
        <f>IF(BASE01[[#This Row],[Columna14]]=0,0,(CK27/CJ27))</f>
        <v>0.61538461538461542</v>
      </c>
      <c r="CM27" s="162">
        <f>IF(BASE01[[#This Row],[1]]="",0,$B$4)</f>
        <v>13</v>
      </c>
      <c r="CN27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9</v>
      </c>
      <c r="CO27" s="164">
        <f>IF(BASE01[[#This Row],[Columna14]]=0,0,(CN27/CM27))</f>
        <v>0.69230769230769229</v>
      </c>
      <c r="CP27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27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Row],[Columna25]],$AX$5,BA27,"SF")+COUNTIFS(BASE01[[#This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1</v>
      </c>
      <c r="CR27" s="164">
        <f>IF(BASE01[[#This Row],[Columna14]]=0,0,(CQ27/CP27))</f>
        <v>0.33333333333333331</v>
      </c>
      <c r="CS27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30</v>
      </c>
      <c r="CT27" s="93"/>
      <c r="CU27" s="536">
        <f t="shared" si="16"/>
        <v>30</v>
      </c>
      <c r="CV27" s="94">
        <f>IF(BASE01[[#This Row],[TIPO]]="PREMIO",$O$3,"0,00")</f>
        <v>1000</v>
      </c>
      <c r="CW27" s="515"/>
      <c r="CY27" s="538">
        <f t="shared" ref="CY27:CY61" si="17">IF(CZ27="","",$CZ$25)</f>
        <v>9</v>
      </c>
      <c r="CZ27" s="387" t="str">
        <f t="array" ref="CZ27:CZ30">_xlfn._xlws.FILTER(C$8:C$57, INDEX(E$8:CE$57, 0, ($CZ$25-1)*5 + 5) &gt; 0, "")</f>
        <v>COD 08</v>
      </c>
      <c r="DA27" s="387">
        <f t="array" ref="DA27">IF(CZ27="", "", IF((INDEX(E$8:CE$57, MATCH(CZ27, C$8:C$57, 0), ($CZ$25-1)*5 + 1) &amp; "") = (INDEX(E$5:CE$5, 1, ($CZ$25-1)*5 + 1) &amp; ""), 1, IF((INDEX(E$8:CE$57, MATCH(CZ27, C$8:C$57, 0), ($CZ$25-1)*5 + 2) &amp; "") = (INDEX(E$5:CE$5, 1, ($CZ$25-1)*5 + 1) &amp; ""), 2, IF((INDEX(E$8:CE$57, MATCH(CZ27, C$8:C$57, 0), ($CZ$25-1)*5 + 3) &amp; "") = (INDEX(E$5:CE$5, 1, ($CZ$25-1)*5 + 1) &amp; ""), 3, ""))))</f>
        <v>3</v>
      </c>
      <c r="DB27" s="537" t="str">
        <f>BASE01[[#This Row],[COD]]</f>
        <v>COD 20</v>
      </c>
      <c r="DC27" s="390" t="str">
        <f t="array" ref="DC27">IFERROR(IF(AND(INDEX($E$8:$CE$57, MATCH($C27, $C$8:$C$57, 0), (COLUMNS($DC27:DC27)-1)*5 + 1) = INDEX($E$5:$CE$5, 1, (COLUMNS($DC27:DC27)-1)*5 + 1), INDEX($E$8:$CE$57, MATCH($C27, $C$8:$C$57, 0), (COLUMNS($DC27:DC27)-1)*5 + 4) = "F"), INDEX($CZ$8:$CZ$23, COLUMNS($DC27:DC27)), "0"), "")</f>
        <v>0</v>
      </c>
      <c r="DD27" s="390" t="str">
        <f t="array" ref="DD27">IFERROR(IF(AND(INDEX($E$8:$CE$57, MATCH($C27, $C$8:$C$57, 0), (COLUMNS($DC27:DD27)-1)*5 + 1) = INDEX($E$5:$CE$5, 1, (COLUMNS($DC27:DD27)-1)*5 + 1), INDEX($E$8:$CE$57, MATCH($C27, $C$8:$C$57, 0), (COLUMNS($DC27:DD27)-1)*5 + 4) = "F"), INDEX($CZ$8:$CZ$23, COLUMNS($DC27:DD27)), "0"), "")</f>
        <v>0</v>
      </c>
      <c r="DE27" s="390" t="str">
        <f t="array" ref="DE27">IFERROR(IF(AND(INDEX($E$8:$CE$57, MATCH($C27, $C$8:$C$57, 0), (COLUMNS($DC27:DE27)-1)*5 + 1) = INDEX($E$5:$CE$5, 1, (COLUMNS($DC27:DE27)-1)*5 + 1), INDEX($E$8:$CE$57, MATCH($C27, $C$8:$C$57, 0), (COLUMNS($DC27:DE27)-1)*5 + 4) = "F"), INDEX($CZ$8:$CZ$23, COLUMNS($DC27:DE27)), "0"), "")</f>
        <v>0</v>
      </c>
      <c r="DF27" s="390" t="str">
        <f t="array" ref="DF27">IFERROR(IF(AND(INDEX($E$8:$CE$57, MATCH($C27, $C$8:$C$57, 0), (COLUMNS($DC27:DF27)-1)*5 + 1) = INDEX($E$5:$CE$5, 1, (COLUMNS($DC27:DF27)-1)*5 + 1), INDEX($E$8:$CE$57, MATCH($C27, $C$8:$C$57, 0), (COLUMNS($DC27:DF27)-1)*5 + 4) = "F"), INDEX($CZ$8:$CZ$23, COLUMNS($DC27:DF27)), "0"), "")</f>
        <v>0</v>
      </c>
      <c r="DG27" s="390">
        <f t="array" ref="DG27">IFERROR(IF(AND(INDEX($E$8:$CE$57, MATCH($C27, $C$8:$C$57, 0), (COLUMNS($DC27:DG27)-1)*5 + 1) = INDEX($E$5:$CE$5, 1, (COLUMNS($DC27:DG27)-1)*5 + 1), INDEX($E$8:$CE$57, MATCH($C27, $C$8:$C$57, 0), (COLUMNS($DC27:DG27)-1)*5 + 4) = "F"), INDEX($CZ$8:$CZ$23, COLUMNS($DC27:DG27)), "0"), "")</f>
        <v>110</v>
      </c>
      <c r="DH27" s="390" t="str">
        <f t="array" ref="DH27">IFERROR(IF(AND(INDEX($E$8:$CE$57, MATCH($C27, $C$8:$C$57, 0), (COLUMNS($DC27:DH27)-1)*5 + 1) = INDEX($E$5:$CE$5, 1, (COLUMNS($DC27:DH27)-1)*5 + 1), INDEX($E$8:$CE$57, MATCH($C27, $C$8:$C$57, 0), (COLUMNS($DC27:DH27)-1)*5 + 4) = "F"), INDEX($CZ$8:$CZ$23, COLUMNS($DC27:DH27)), "0"), "")</f>
        <v>0</v>
      </c>
      <c r="DI27" s="390" t="str">
        <f t="array" ref="DI27">IFERROR(IF(AND(INDEX($E$8:$CE$57, MATCH($C27, $C$8:$C$57, 0), (COLUMNS($DC27:DI27)-1)*5 + 1) = INDEX($E$5:$CE$5, 1, (COLUMNS($DC27:DI27)-1)*5 + 1), INDEX($E$8:$CE$57, MATCH($C27, $C$8:$C$57, 0), (COLUMNS($DC27:DI27)-1)*5 + 4) = "F"), INDEX($CZ$8:$CZ$23, COLUMNS($DC27:DI27)), "0"), "")</f>
        <v>0</v>
      </c>
      <c r="DJ27" s="390" t="str">
        <f t="array" ref="DJ27">IFERROR(IF(AND(INDEX($E$8:$CE$57, MATCH($C27, $C$8:$C$57, 0), (COLUMNS($DC27:DJ27)-1)*5 + 1) = INDEX($E$5:$CE$5, 1, (COLUMNS($DC27:DJ27)-1)*5 + 1), INDEX($E$8:$CE$57, MATCH($C27, $C$8:$C$57, 0), (COLUMNS($DC27:DJ27)-1)*5 + 4) = "F"), INDEX($CZ$8:$CZ$23, COLUMNS($DC27:DJ27)), "0"), "")</f>
        <v>0</v>
      </c>
      <c r="DK27" s="390" t="str">
        <f t="array" ref="DK27">IFERROR(IF(AND(INDEX($E$8:$CE$57, MATCH($C27, $C$8:$C$57, 0), (COLUMNS($DC27:DK27)-1)*5 + 1) = INDEX($E$5:$CE$5, 1, (COLUMNS($DC27:DK27)-1)*5 + 1), INDEX($E$8:$CE$57, MATCH($C27, $C$8:$C$57, 0), (COLUMNS($DC27:DK27)-1)*5 + 4) = "F"), INDEX($CZ$8:$CZ$23, COLUMNS($DC27:DK27)), "0"), "")</f>
        <v>0</v>
      </c>
      <c r="DL27" s="390" t="str">
        <f t="array" ref="DL27">IFERROR(IF(AND(INDEX($E$8:$CE$57, MATCH($C27, $C$8:$C$57, 0), (COLUMNS($DC27:DL27)-1)*5 + 1) = INDEX($E$5:$CE$5, 1, (COLUMNS($DC27:DL27)-1)*5 + 1), INDEX($E$8:$CE$57, MATCH($C27, $C$8:$C$57, 0), (COLUMNS($DC27:DL27)-1)*5 + 4) = "F"), INDEX($CZ$8:$CZ$23, COLUMNS($DC27:DL27)), "0"), "")</f>
        <v>0</v>
      </c>
      <c r="DM27" s="390" t="str">
        <f t="array" ref="DM27">IFERROR(IF(AND(INDEX($E$8:$CE$57, MATCH($C27, $C$8:$C$57, 0), (COLUMNS($DC27:DM27)-1)*5 + 1) = INDEX($E$5:$CE$5, 1, (COLUMNS($DC27:DM27)-1)*5 + 1), INDEX($E$8:$CE$57, MATCH($C27, $C$8:$C$57, 0), (COLUMNS($DC27:DM27)-1)*5 + 4) = "F"), INDEX($CZ$8:$CZ$23, COLUMNS($DC27:DM27)), "0"), "")</f>
        <v>0</v>
      </c>
      <c r="DN27" s="390" t="str">
        <f t="array" ref="DN27">IFERROR(IF(AND(INDEX($E$8:$CE$57, MATCH($C27, $C$8:$C$57, 0), (COLUMNS($DC27:DN27)-1)*5 + 1) = INDEX($E$5:$CE$5, 1, (COLUMNS($DC27:DN27)-1)*5 + 1), INDEX($E$8:$CE$57, MATCH($C27, $C$8:$C$57, 0), (COLUMNS($DC27:DN27)-1)*5 + 4) = "F"), INDEX($CZ$8:$CZ$23, COLUMNS($DC27:DN27)), "0"), "")</f>
        <v>0</v>
      </c>
      <c r="DO27" s="390" t="str">
        <f t="array" ref="DO27">IFERROR(IF(AND(INDEX($E$8:$CE$57, MATCH($C27, $C$8:$C$57, 0), (COLUMNS($DC27:DO27)-1)*5 + 1) = INDEX($E$5:$CE$5, 1, (COLUMNS($DC27:DO27)-1)*5 + 1), INDEX($E$8:$CE$57, MATCH($C27, $C$8:$C$57, 0), (COLUMNS($DC27:DO27)-1)*5 + 4) = "F"), INDEX($CZ$8:$CZ$23, COLUMNS($DC27:DO27)), "0"), "")</f>
        <v>0</v>
      </c>
      <c r="DP27" s="390" t="str">
        <f t="array" ref="DP27">IFERROR(IF(AND(INDEX($E$8:$CE$57, MATCH($C27, $C$8:$C$57, 0), (COLUMNS($DC27:DP27)-1)*5 + 1) = INDEX($E$5:$CE$5, 1, (COLUMNS($DC27:DP27)-1)*5 + 1), INDEX($E$8:$CE$57, MATCH($C27, $C$8:$C$57, 0), (COLUMNS($DC27:DP27)-1)*5 + 4) = "F"), INDEX($CZ$8:$CZ$23, COLUMNS($DC27:DP27)), "0"), "")</f>
        <v>0</v>
      </c>
      <c r="DQ27" s="390" t="str">
        <f t="array" ref="DQ27">IFERROR(IF(AND(INDEX($E$8:$CE$57, MATCH($C27, $C$8:$C$57, 0), (COLUMNS($DC27:DQ27)-1)*5 + 1) = INDEX($E$5:$CE$5, 1, (COLUMNS($DC27:DQ27)-1)*5 + 1), INDEX($E$8:$CE$57, MATCH($C27, $C$8:$C$57, 0), (COLUMNS($DC27:DQ27)-1)*5 + 4) = "F"), INDEX($CZ$8:$CZ$23, COLUMNS($DC27:DQ27)), "0"), "")</f>
        <v>0</v>
      </c>
      <c r="DR27" s="390" t="str">
        <f t="array" ref="DR27">IFERROR(IF(AND(INDEX($E$8:$CE$57, MATCH($C27, $C$8:$C$57, 0), (COLUMNS($DC27:DR27)-1)*5 + 1) = INDEX($E$5:$CE$5, 1, (COLUMNS($DC27:DR27)-1)*5 + 1), INDEX($E$8:$CE$57, MATCH($C27, $C$8:$C$57, 0), (COLUMNS($DC27:DR27)-1)*5 + 4) = "F"), INDEX($CZ$8:$CZ$23, COLUMNS($DC27:DR27)), "0"), "")</f>
        <v>0</v>
      </c>
      <c r="DT27" s="537" t="str">
        <f>BASE01[[#This Row],[COD]]</f>
        <v>COD 20</v>
      </c>
      <c r="DU27" s="390" t="str">
        <f t="array" ref="DU27">IFERROR(IF(AND(INDEX($E$8:$CE$57, MATCH($C27, $C$8:$C$57, 0), (COLUMNS($DU27:DU27)-1)*5 + 1) = INDEX($E$5:$CE$5, 1, (COLUMNS($DU27:DU27)-1)*5 + 1), INDEX($E$8:$CE$57, MATCH($C27, $C$8:$C$57, 0), (COLUMNS($DU27:DU27)-1)*5 + 4) = "SF"), INDEX($CZ$8:$CZ$23, COLUMNS($DU27:DU27)), "0"), "")</f>
        <v>0</v>
      </c>
      <c r="DV27" s="390" t="str">
        <f t="array" ref="DV27">IFERROR(IF(AND(INDEX($E$8:$CE$57, MATCH($C27, $C$8:$C$57, 0), (COLUMNS($DU27:DV27)-1)*5 + 1) = INDEX($E$5:$CE$5, 1, (COLUMNS($DU27:DV27)-1)*5 + 1), INDEX($E$8:$CE$57, MATCH($C27, $C$8:$C$57, 0), (COLUMNS($DU27:DV27)-1)*5 + 4) = "SF"), INDEX($CZ$8:$CZ$23, COLUMNS($DU27:DV27)), "0"), "")</f>
        <v>0</v>
      </c>
      <c r="DW27" s="390" t="str">
        <f t="array" ref="DW27">IFERROR(IF(AND(INDEX($E$8:$CE$57, MATCH($C27, $C$8:$C$57, 0), (COLUMNS($DU27:DW27)-1)*5 + 1) = INDEX($E$5:$CE$5, 1, (COLUMNS($DU27:DW27)-1)*5 + 1), INDEX($E$8:$CE$57, MATCH($C27, $C$8:$C$57, 0), (COLUMNS($DU27:DW27)-1)*5 + 4) = "SF"), INDEX($CZ$8:$CZ$23, COLUMNS($DU27:DW27)), "0"), "")</f>
        <v>0</v>
      </c>
      <c r="DX27" s="390" t="str">
        <f t="array" ref="DX27">IFERROR(IF(AND(INDEX($E$8:$CE$57, MATCH($C27, $C$8:$C$57, 0), (COLUMNS($DU27:DX27)-1)*5 + 1) = INDEX($E$5:$CE$5, 1, (COLUMNS($DU27:DX27)-1)*5 + 1), INDEX($E$8:$CE$57, MATCH($C27, $C$8:$C$57, 0), (COLUMNS($DU27:DX27)-1)*5 + 4) = "SF"), INDEX($CZ$8:$CZ$23, COLUMNS($DU27:DX27)), "0"), "")</f>
        <v>0</v>
      </c>
      <c r="DY27" s="390" t="str">
        <f t="array" ref="DY27">IFERROR(IF(AND(INDEX($E$8:$CE$57, MATCH($C27, $C$8:$C$57, 0), (COLUMNS($DU27:DY27)-1)*5 + 1) = INDEX($E$5:$CE$5, 1, (COLUMNS($DU27:DY27)-1)*5 + 1), INDEX($E$8:$CE$57, MATCH($C27, $C$8:$C$57, 0), (COLUMNS($DU27:DY27)-1)*5 + 4) = "SF"), INDEX($CZ$8:$CZ$23, COLUMNS($DU27:DY27)), "0"), "")</f>
        <v>0</v>
      </c>
      <c r="DZ27" s="390" t="str">
        <f t="array" ref="DZ27">IFERROR(IF(AND(INDEX($E$8:$CE$57, MATCH($C27, $C$8:$C$57, 0), (COLUMNS($DU27:DZ27)-1)*5 + 1) = INDEX($E$5:$CE$5, 1, (COLUMNS($DU27:DZ27)-1)*5 + 1), INDEX($E$8:$CE$57, MATCH($C27, $C$8:$C$57, 0), (COLUMNS($DU27:DZ27)-1)*5 + 4) = "SF"), INDEX($CZ$8:$CZ$23, COLUMNS($DU27:DZ27)), "0"), "")</f>
        <v>0</v>
      </c>
      <c r="EA27" s="390" t="str">
        <f t="array" ref="EA27">IFERROR(IF(AND(INDEX($E$8:$CE$57, MATCH($C27, $C$8:$C$57, 0), (COLUMNS($DU27:EA27)-1)*5 + 1) = INDEX($E$5:$CE$5, 1, (COLUMNS($DU27:EA27)-1)*5 + 1), INDEX($E$8:$CE$57, MATCH($C27, $C$8:$C$57, 0), (COLUMNS($DU27:EA27)-1)*5 + 4) = "SF"), INDEX($CZ$8:$CZ$23, COLUMNS($DU27:EA27)), "0"), "")</f>
        <v>0</v>
      </c>
      <c r="EB27" s="390" t="str">
        <f t="array" ref="EB27">IFERROR(IF(AND(INDEX($E$8:$CE$57, MATCH($C27, $C$8:$C$57, 0), (COLUMNS($DU27:EB27)-1)*5 + 1) = INDEX($E$5:$CE$5, 1, (COLUMNS($DU27:EB27)-1)*5 + 1), INDEX($E$8:$CE$57, MATCH($C27, $C$8:$C$57, 0), (COLUMNS($DU27:EB27)-1)*5 + 4) = "SF"), INDEX($CZ$8:$CZ$23, COLUMNS($DU27:EB27)), "0"), "")</f>
        <v>0</v>
      </c>
      <c r="EC27" s="390" t="str">
        <f t="array" ref="EC27">IFERROR(IF(AND(INDEX($E$8:$CE$57, MATCH($C27, $C$8:$C$57, 0), (COLUMNS($DU27:EC27)-1)*5 + 1) = INDEX($E$5:$CE$5, 1, (COLUMNS($DU27:EC27)-1)*5 + 1), INDEX($E$8:$CE$57, MATCH($C27, $C$8:$C$57, 0), (COLUMNS($DU27:EC27)-1)*5 + 4) = "SF"), INDEX($CZ$8:$CZ$23, COLUMNS($DU27:EC27)), "0"), "")</f>
        <v>0</v>
      </c>
      <c r="ED27" s="390" t="str">
        <f t="array" ref="ED27">IFERROR(IF(AND(INDEX($E$8:$CE$57, MATCH($C27, $C$8:$C$57, 0), (COLUMNS($DU27:ED27)-1)*5 + 1) = INDEX($E$5:$CE$5, 1, (COLUMNS($DU27:ED27)-1)*5 + 1), INDEX($E$8:$CE$57, MATCH($C27, $C$8:$C$57, 0), (COLUMNS($DU27:ED27)-1)*5 + 4) = "SF"), INDEX($CZ$8:$CZ$23, COLUMNS($DU27:ED27)), "0"), "")</f>
        <v>0</v>
      </c>
      <c r="EE27" s="390" t="str">
        <f t="array" ref="EE27">IFERROR(IF(AND(INDEX($E$8:$CE$57, MATCH($C27, $C$8:$C$57, 0), (COLUMNS($DU27:EE27)-1)*5 + 1) = INDEX($E$5:$CE$5, 1, (COLUMNS($DU27:EE27)-1)*5 + 1), INDEX($E$8:$CE$57, MATCH($C27, $C$8:$C$57, 0), (COLUMNS($DU27:EE27)-1)*5 + 4) = "SF"), INDEX($CZ$8:$CZ$23, COLUMNS($DU27:EE27)), "0"), "")</f>
        <v>0</v>
      </c>
      <c r="EF27" s="390" t="str">
        <f t="array" ref="EF27">IFERROR(IF(AND(INDEX($E$8:$CE$57, MATCH($C27, $C$8:$C$57, 0), (COLUMNS($DU27:EF27)-1)*5 + 1) = INDEX($E$5:$CE$5, 1, (COLUMNS($DU27:EF27)-1)*5 + 1), INDEX($E$8:$CE$57, MATCH($C27, $C$8:$C$57, 0), (COLUMNS($DU27:EF27)-1)*5 + 4) = "SF"), INDEX($CZ$8:$CZ$23, COLUMNS($DU27:EF27)), "0"), "")</f>
        <v>0</v>
      </c>
      <c r="EG27" s="390" t="str">
        <f t="array" ref="EG27">IFERROR(IF(AND(INDEX($E$8:$CE$57, MATCH($C27, $C$8:$C$57, 0), (COLUMNS($DU27:EG27)-1)*5 + 1) = INDEX($E$5:$CE$5, 1, (COLUMNS($DU27:EG27)-1)*5 + 1), INDEX($E$8:$CE$57, MATCH($C27, $C$8:$C$57, 0), (COLUMNS($DU27:EG27)-1)*5 + 4) = "SF"), INDEX($CZ$8:$CZ$23, COLUMNS($DU27:EG27)), "0"), "")</f>
        <v>0</v>
      </c>
      <c r="EH27" s="390" t="str">
        <f t="array" ref="EH27">IFERROR(IF(AND(INDEX($E$8:$CE$57, MATCH($C27, $C$8:$C$57, 0), (COLUMNS($DU27:EH27)-1)*5 + 1) = INDEX($E$5:$CE$5, 1, (COLUMNS($DU27:EH27)-1)*5 + 1), INDEX($E$8:$CE$57, MATCH($C27, $C$8:$C$57, 0), (COLUMNS($DU27:EH27)-1)*5 + 4) = "SF"), INDEX($CZ$8:$CZ$23, COLUMNS($DU27:EH27)), "0"), "")</f>
        <v>0</v>
      </c>
      <c r="EI27" s="390" t="str">
        <f t="array" ref="EI27">IFERROR(IF(AND(INDEX($E$8:$CE$57, MATCH($C27, $C$8:$C$57, 0), (COLUMNS($DU27:EI27)-1)*5 + 1) = INDEX($E$5:$CE$5, 1, (COLUMNS($DU27:EI27)-1)*5 + 1), INDEX($E$8:$CE$57, MATCH($C27, $C$8:$C$57, 0), (COLUMNS($DU27:EI27)-1)*5 + 4) = "SF"), INDEX($CZ$8:$CZ$23, COLUMNS($DU27:EI27)), "0"), "")</f>
        <v>0</v>
      </c>
      <c r="EJ27" s="390" t="str">
        <f t="array" ref="EJ27">IFERROR(IF(AND(INDEX($E$8:$CE$57, MATCH($C27, $C$8:$C$57, 0), (COLUMNS($DU27:EJ27)-1)*5 + 1) = INDEX($E$5:$CE$5, 1, (COLUMNS($DU27:EJ27)-1)*5 + 1), INDEX($E$8:$CE$57, MATCH($C27, $C$8:$C$57, 0), (COLUMNS($DU27:EJ27)-1)*5 + 4) = "SF"), INDEX($CZ$8:$CZ$23, COLUMNS($DU27:EJ27)), "0"), "")</f>
        <v>0</v>
      </c>
    </row>
    <row r="28" spans="1:140" ht="20.100000000000001" customHeight="1" x14ac:dyDescent="0.35">
      <c r="A28" s="515"/>
      <c r="B28" s="91">
        <f>IF(BASE01[[#This Row],[COD]]&lt;&gt;"",B27+1,"")</f>
        <v>21</v>
      </c>
      <c r="C28" s="533" t="s">
        <v>73</v>
      </c>
      <c r="D28" s="92" t="str">
        <f t="array" ref="D28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28" s="143">
        <v>6</v>
      </c>
      <c r="F28" s="145">
        <v>1</v>
      </c>
      <c r="G28" s="145">
        <v>8</v>
      </c>
      <c r="H28" s="145"/>
      <c r="I28" s="534">
        <f t="shared" si="0"/>
        <v>1</v>
      </c>
      <c r="J28" s="143">
        <v>3</v>
      </c>
      <c r="K28" s="145">
        <v>8</v>
      </c>
      <c r="L28" s="145">
        <v>5</v>
      </c>
      <c r="M28" s="145"/>
      <c r="N28" s="534">
        <f t="shared" si="1"/>
        <v>7</v>
      </c>
      <c r="O28" s="143">
        <v>6</v>
      </c>
      <c r="P28" s="145">
        <v>3</v>
      </c>
      <c r="Q28" s="145">
        <v>8</v>
      </c>
      <c r="R28" s="145"/>
      <c r="S28" s="534">
        <f t="shared" si="2"/>
        <v>4</v>
      </c>
      <c r="T28" s="143">
        <v>6</v>
      </c>
      <c r="U28" s="145">
        <v>7</v>
      </c>
      <c r="V28" s="145">
        <v>8</v>
      </c>
      <c r="W28" s="145"/>
      <c r="X28" s="534">
        <f t="shared" si="3"/>
        <v>3.5</v>
      </c>
      <c r="Y28" s="143">
        <v>5</v>
      </c>
      <c r="Z28" s="145">
        <v>6</v>
      </c>
      <c r="AA28" s="145">
        <v>3</v>
      </c>
      <c r="AB28" s="145" t="s">
        <v>254</v>
      </c>
      <c r="AC28" s="534">
        <f t="shared" si="4"/>
        <v>4.5</v>
      </c>
      <c r="AD28" s="143">
        <v>7</v>
      </c>
      <c r="AE28" s="145">
        <v>2</v>
      </c>
      <c r="AF28" s="145">
        <v>5</v>
      </c>
      <c r="AG28" s="145"/>
      <c r="AH28" s="534">
        <f t="shared" si="5"/>
        <v>4</v>
      </c>
      <c r="AI28" s="143">
        <v>7</v>
      </c>
      <c r="AJ28" s="145">
        <v>4</v>
      </c>
      <c r="AK28" s="145">
        <v>3</v>
      </c>
      <c r="AL28" s="145"/>
      <c r="AM28" s="534">
        <f t="shared" si="6"/>
        <v>2</v>
      </c>
      <c r="AN28" s="143">
        <v>8</v>
      </c>
      <c r="AO28" s="145">
        <v>9</v>
      </c>
      <c r="AP28" s="145">
        <v>11</v>
      </c>
      <c r="AQ28" s="145" t="s">
        <v>254</v>
      </c>
      <c r="AR28" s="534">
        <f t="shared" si="7"/>
        <v>0</v>
      </c>
      <c r="AS28" s="143">
        <v>1</v>
      </c>
      <c r="AT28" s="145">
        <v>7</v>
      </c>
      <c r="AU28" s="145">
        <v>2</v>
      </c>
      <c r="AV28" s="145"/>
      <c r="AW28" s="534">
        <f t="shared" si="8"/>
        <v>0</v>
      </c>
      <c r="AX28" s="143">
        <v>1</v>
      </c>
      <c r="AY28" s="145">
        <v>9</v>
      </c>
      <c r="AZ28" s="145">
        <v>8</v>
      </c>
      <c r="BA28" s="145"/>
      <c r="BB28" s="534">
        <f t="shared" si="9"/>
        <v>4</v>
      </c>
      <c r="BC28" s="143">
        <v>4</v>
      </c>
      <c r="BD28" s="145"/>
      <c r="BE28" s="145"/>
      <c r="BF28" s="145" t="s">
        <v>255</v>
      </c>
      <c r="BG28" s="534">
        <f t="shared" si="10"/>
        <v>8</v>
      </c>
      <c r="BH28" s="143">
        <v>2</v>
      </c>
      <c r="BI28" s="145">
        <v>5</v>
      </c>
      <c r="BJ28" s="145">
        <v>1</v>
      </c>
      <c r="BK28" s="145"/>
      <c r="BL28" s="534">
        <f t="shared" si="11"/>
        <v>5</v>
      </c>
      <c r="BM28" s="143">
        <v>3</v>
      </c>
      <c r="BN28" s="145">
        <v>1</v>
      </c>
      <c r="BO28" s="145">
        <v>12</v>
      </c>
      <c r="BP28" s="145"/>
      <c r="BQ28" s="534">
        <f t="shared" si="12"/>
        <v>4</v>
      </c>
      <c r="BR28" s="143"/>
      <c r="BS28" s="145"/>
      <c r="BT28" s="145"/>
      <c r="BU28" s="145"/>
      <c r="BV28" s="534">
        <f t="shared" si="13"/>
        <v>0</v>
      </c>
      <c r="BW28" s="143"/>
      <c r="BX28" s="145"/>
      <c r="BY28" s="145"/>
      <c r="BZ28" s="145"/>
      <c r="CA28" s="534">
        <f t="shared" si="14"/>
        <v>0</v>
      </c>
      <c r="CB28" s="143"/>
      <c r="CC28" s="145"/>
      <c r="CD28" s="145"/>
      <c r="CE28" s="145"/>
      <c r="CF28" s="534">
        <f t="shared" si="15"/>
        <v>0</v>
      </c>
      <c r="CG28" s="162">
        <f>IF(BASE01[[#This Row],[1]]="",0,$B$4)</f>
        <v>13</v>
      </c>
      <c r="CH28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8</v>
      </c>
      <c r="CI28" s="164">
        <f>IF(BASE01[[#This Row],[Columna14]]=0,0,(CH28/CG28))</f>
        <v>0.61538461538461542</v>
      </c>
      <c r="CJ28" s="163">
        <f>IF(BASE01[[#This Row],[1]]="",0,$B$4)</f>
        <v>13</v>
      </c>
      <c r="CK28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10</v>
      </c>
      <c r="CL28" s="164">
        <f>IF(BASE01[[#This Row],[Columna14]]=0,0,(CK28/CJ28))</f>
        <v>0.76923076923076927</v>
      </c>
      <c r="CM28" s="162">
        <f>IF(BASE01[[#This Row],[1]]="",0,$B$4)</f>
        <v>13</v>
      </c>
      <c r="CN28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11</v>
      </c>
      <c r="CO28" s="164">
        <f>IF(BASE01[[#This Row],[Columna14]]=0,0,(CN28/CM28))</f>
        <v>0.84615384615384615</v>
      </c>
      <c r="CP28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28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Row],[Columna25]],$AX$5,BA28,"SF")+COUNTIFS(BASE01[[#This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28" s="164">
        <f>IF(BASE01[[#This Row],[Columna14]]=0,0,(CQ28/CP28))</f>
        <v>0.66666666666666663</v>
      </c>
      <c r="CS28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47</v>
      </c>
      <c r="CT28" s="93"/>
      <c r="CU28" s="536">
        <f t="shared" si="16"/>
        <v>47</v>
      </c>
      <c r="CV28" s="94">
        <f>IF(BASE01[[#This Row],[TIPO]]="PREMIO",$O$3,"0,00")</f>
        <v>1000</v>
      </c>
      <c r="CW28" s="515"/>
      <c r="CY28" s="538">
        <f t="shared" si="17"/>
        <v>9</v>
      </c>
      <c r="CZ28" s="387" t="str">
        <v>COD 11</v>
      </c>
      <c r="DA28" s="387">
        <f t="array" ref="DA28">IF(CZ28="", "", IF((INDEX(E$8:CE$57, MATCH(CZ28, C$8:C$57, 0), ($CZ$25-1)*5 + 1) &amp; "") = (INDEX(E$5:CE$5, 1, ($CZ$25-1)*5 + 1) &amp; ""), 1, IF((INDEX(E$8:CE$57, MATCH(CZ28, C$8:C$57, 0), ($CZ$25-1)*5 + 2) &amp; "") = (INDEX(E$5:CE$5, 1, ($CZ$25-1)*5 + 1) &amp; ""), 2, IF((INDEX(E$8:CE$57, MATCH(CZ28, C$8:C$57, 0), ($CZ$25-1)*5 + 3) &amp; "") = (INDEX(E$5:CE$5, 1, ($CZ$25-1)*5 + 1) &amp; ""), 3, ""))))</f>
        <v>3</v>
      </c>
      <c r="DB28" s="537" t="str">
        <f>BASE01[[#This Row],[COD]]</f>
        <v>COD 21</v>
      </c>
      <c r="DC28" s="390" t="str">
        <f t="array" ref="DC28">IFERROR(IF(AND(INDEX($E$8:$CE$57, MATCH($C28, $C$8:$C$57, 0), (COLUMNS($DC28:DC28)-1)*5 + 1) = INDEX($E$5:$CE$5, 1, (COLUMNS($DC28:DC28)-1)*5 + 1), INDEX($E$8:$CE$57, MATCH($C28, $C$8:$C$57, 0), (COLUMNS($DC28:DC28)-1)*5 + 4) = "F"), INDEX($CZ$8:$CZ$23, COLUMNS($DC28:DC28)), "0"), "")</f>
        <v>0</v>
      </c>
      <c r="DD28" s="390" t="str">
        <f t="array" ref="DD28">IFERROR(IF(AND(INDEX($E$8:$CE$57, MATCH($C28, $C$8:$C$57, 0), (COLUMNS($DC28:DD28)-1)*5 + 1) = INDEX($E$5:$CE$5, 1, (COLUMNS($DC28:DD28)-1)*5 + 1), INDEX($E$8:$CE$57, MATCH($C28, $C$8:$C$57, 0), (COLUMNS($DC28:DD28)-1)*5 + 4) = "F"), INDEX($CZ$8:$CZ$23, COLUMNS($DC28:DD28)), "0"), "")</f>
        <v>0</v>
      </c>
      <c r="DE28" s="390" t="str">
        <f t="array" ref="DE28">IFERROR(IF(AND(INDEX($E$8:$CE$57, MATCH($C28, $C$8:$C$57, 0), (COLUMNS($DC28:DE28)-1)*5 + 1) = INDEX($E$5:$CE$5, 1, (COLUMNS($DC28:DE28)-1)*5 + 1), INDEX($E$8:$CE$57, MATCH($C28, $C$8:$C$57, 0), (COLUMNS($DC28:DE28)-1)*5 + 4) = "F"), INDEX($CZ$8:$CZ$23, COLUMNS($DC28:DE28)), "0"), "")</f>
        <v>0</v>
      </c>
      <c r="DF28" s="390" t="str">
        <f t="array" ref="DF28">IFERROR(IF(AND(INDEX($E$8:$CE$57, MATCH($C28, $C$8:$C$57, 0), (COLUMNS($DC28:DF28)-1)*5 + 1) = INDEX($E$5:$CE$5, 1, (COLUMNS($DC28:DF28)-1)*5 + 1), INDEX($E$8:$CE$57, MATCH($C28, $C$8:$C$57, 0), (COLUMNS($DC28:DF28)-1)*5 + 4) = "F"), INDEX($CZ$8:$CZ$23, COLUMNS($DC28:DF28)), "0"), "")</f>
        <v>0</v>
      </c>
      <c r="DG28" s="390">
        <f t="array" ref="DG28">IFERROR(IF(AND(INDEX($E$8:$CE$57, MATCH($C28, $C$8:$C$57, 0), (COLUMNS($DC28:DG28)-1)*5 + 1) = INDEX($E$5:$CE$5, 1, (COLUMNS($DC28:DG28)-1)*5 + 1), INDEX($E$8:$CE$57, MATCH($C28, $C$8:$C$57, 0), (COLUMNS($DC28:DG28)-1)*5 + 4) = "F"), INDEX($CZ$8:$CZ$23, COLUMNS($DC28:DG28)), "0"), "")</f>
        <v>110</v>
      </c>
      <c r="DH28" s="390" t="str">
        <f t="array" ref="DH28">IFERROR(IF(AND(INDEX($E$8:$CE$57, MATCH($C28, $C$8:$C$57, 0), (COLUMNS($DC28:DH28)-1)*5 + 1) = INDEX($E$5:$CE$5, 1, (COLUMNS($DC28:DH28)-1)*5 + 1), INDEX($E$8:$CE$57, MATCH($C28, $C$8:$C$57, 0), (COLUMNS($DC28:DH28)-1)*5 + 4) = "F"), INDEX($CZ$8:$CZ$23, COLUMNS($DC28:DH28)), "0"), "")</f>
        <v>0</v>
      </c>
      <c r="DI28" s="390" t="str">
        <f t="array" ref="DI28">IFERROR(IF(AND(INDEX($E$8:$CE$57, MATCH($C28, $C$8:$C$57, 0), (COLUMNS($DC28:DI28)-1)*5 + 1) = INDEX($E$5:$CE$5, 1, (COLUMNS($DC28:DI28)-1)*5 + 1), INDEX($E$8:$CE$57, MATCH($C28, $C$8:$C$57, 0), (COLUMNS($DC28:DI28)-1)*5 + 4) = "F"), INDEX($CZ$8:$CZ$23, COLUMNS($DC28:DI28)), "0"), "")</f>
        <v>0</v>
      </c>
      <c r="DJ28" s="390" t="str">
        <f t="array" ref="DJ28">IFERROR(IF(AND(INDEX($E$8:$CE$57, MATCH($C28, $C$8:$C$57, 0), (COLUMNS($DC28:DJ28)-1)*5 + 1) = INDEX($E$5:$CE$5, 1, (COLUMNS($DC28:DJ28)-1)*5 + 1), INDEX($E$8:$CE$57, MATCH($C28, $C$8:$C$57, 0), (COLUMNS($DC28:DJ28)-1)*5 + 4) = "F"), INDEX($CZ$8:$CZ$23, COLUMNS($DC28:DJ28)), "0"), "")</f>
        <v>0</v>
      </c>
      <c r="DK28" s="390" t="str">
        <f t="array" ref="DK28">IFERROR(IF(AND(INDEX($E$8:$CE$57, MATCH($C28, $C$8:$C$57, 0), (COLUMNS($DC28:DK28)-1)*5 + 1) = INDEX($E$5:$CE$5, 1, (COLUMNS($DC28:DK28)-1)*5 + 1), INDEX($E$8:$CE$57, MATCH($C28, $C$8:$C$57, 0), (COLUMNS($DC28:DK28)-1)*5 + 4) = "F"), INDEX($CZ$8:$CZ$23, COLUMNS($DC28:DK28)), "0"), "")</f>
        <v>0</v>
      </c>
      <c r="DL28" s="390" t="str">
        <f t="array" ref="DL28">IFERROR(IF(AND(INDEX($E$8:$CE$57, MATCH($C28, $C$8:$C$57, 0), (COLUMNS($DC28:DL28)-1)*5 + 1) = INDEX($E$5:$CE$5, 1, (COLUMNS($DC28:DL28)-1)*5 + 1), INDEX($E$8:$CE$57, MATCH($C28, $C$8:$C$57, 0), (COLUMNS($DC28:DL28)-1)*5 + 4) = "F"), INDEX($CZ$8:$CZ$23, COLUMNS($DC28:DL28)), "0"), "")</f>
        <v>0</v>
      </c>
      <c r="DM28" s="390" t="str">
        <f t="array" ref="DM28">IFERROR(IF(AND(INDEX($E$8:$CE$57, MATCH($C28, $C$8:$C$57, 0), (COLUMNS($DC28:DM28)-1)*5 + 1) = INDEX($E$5:$CE$5, 1, (COLUMNS($DC28:DM28)-1)*5 + 1), INDEX($E$8:$CE$57, MATCH($C28, $C$8:$C$57, 0), (COLUMNS($DC28:DM28)-1)*5 + 4) = "F"), INDEX($CZ$8:$CZ$23, COLUMNS($DC28:DM28)), "0"), "")</f>
        <v>0</v>
      </c>
      <c r="DN28" s="390" t="str">
        <f t="array" ref="DN28">IFERROR(IF(AND(INDEX($E$8:$CE$57, MATCH($C28, $C$8:$C$57, 0), (COLUMNS($DC28:DN28)-1)*5 + 1) = INDEX($E$5:$CE$5, 1, (COLUMNS($DC28:DN28)-1)*5 + 1), INDEX($E$8:$CE$57, MATCH($C28, $C$8:$C$57, 0), (COLUMNS($DC28:DN28)-1)*5 + 4) = "F"), INDEX($CZ$8:$CZ$23, COLUMNS($DC28:DN28)), "0"), "")</f>
        <v>0</v>
      </c>
      <c r="DO28" s="390" t="str">
        <f t="array" ref="DO28">IFERROR(IF(AND(INDEX($E$8:$CE$57, MATCH($C28, $C$8:$C$57, 0), (COLUMNS($DC28:DO28)-1)*5 + 1) = INDEX($E$5:$CE$5, 1, (COLUMNS($DC28:DO28)-1)*5 + 1), INDEX($E$8:$CE$57, MATCH($C28, $C$8:$C$57, 0), (COLUMNS($DC28:DO28)-1)*5 + 4) = "F"), INDEX($CZ$8:$CZ$23, COLUMNS($DC28:DO28)), "0"), "")</f>
        <v>0</v>
      </c>
      <c r="DP28" s="390" t="str">
        <f t="array" ref="DP28">IFERROR(IF(AND(INDEX($E$8:$CE$57, MATCH($C28, $C$8:$C$57, 0), (COLUMNS($DC28:DP28)-1)*5 + 1) = INDEX($E$5:$CE$5, 1, (COLUMNS($DC28:DP28)-1)*5 + 1), INDEX($E$8:$CE$57, MATCH($C28, $C$8:$C$57, 0), (COLUMNS($DC28:DP28)-1)*5 + 4) = "F"), INDEX($CZ$8:$CZ$23, COLUMNS($DC28:DP28)), "0"), "")</f>
        <v>0</v>
      </c>
      <c r="DQ28" s="390" t="str">
        <f t="array" ref="DQ28">IFERROR(IF(AND(INDEX($E$8:$CE$57, MATCH($C28, $C$8:$C$57, 0), (COLUMNS($DC28:DQ28)-1)*5 + 1) = INDEX($E$5:$CE$5, 1, (COLUMNS($DC28:DQ28)-1)*5 + 1), INDEX($E$8:$CE$57, MATCH($C28, $C$8:$C$57, 0), (COLUMNS($DC28:DQ28)-1)*5 + 4) = "F"), INDEX($CZ$8:$CZ$23, COLUMNS($DC28:DQ28)), "0"), "")</f>
        <v>0</v>
      </c>
      <c r="DR28" s="390" t="str">
        <f t="array" ref="DR28">IFERROR(IF(AND(INDEX($E$8:$CE$57, MATCH($C28, $C$8:$C$57, 0), (COLUMNS($DC28:DR28)-1)*5 + 1) = INDEX($E$5:$CE$5, 1, (COLUMNS($DC28:DR28)-1)*5 + 1), INDEX($E$8:$CE$57, MATCH($C28, $C$8:$C$57, 0), (COLUMNS($DC28:DR28)-1)*5 + 4) = "F"), INDEX($CZ$8:$CZ$23, COLUMNS($DC28:DR28)), "0"), "")</f>
        <v>0</v>
      </c>
      <c r="DT28" s="537" t="str">
        <f>BASE01[[#This Row],[COD]]</f>
        <v>COD 21</v>
      </c>
      <c r="DU28" s="390" t="str">
        <f t="array" ref="DU28">IFERROR(IF(AND(INDEX($E$8:$CE$57, MATCH($C28, $C$8:$C$57, 0), (COLUMNS($DU28:DU28)-1)*5 + 1) = INDEX($E$5:$CE$5, 1, (COLUMNS($DU28:DU28)-1)*5 + 1), INDEX($E$8:$CE$57, MATCH($C28, $C$8:$C$57, 0), (COLUMNS($DU28:DU28)-1)*5 + 4) = "SF"), INDEX($CZ$8:$CZ$23, COLUMNS($DU28:DU28)), "0"), "")</f>
        <v>0</v>
      </c>
      <c r="DV28" s="390" t="str">
        <f t="array" ref="DV28">IFERROR(IF(AND(INDEX($E$8:$CE$57, MATCH($C28, $C$8:$C$57, 0), (COLUMNS($DU28:DV28)-1)*5 + 1) = INDEX($E$5:$CE$5, 1, (COLUMNS($DU28:DV28)-1)*5 + 1), INDEX($E$8:$CE$57, MATCH($C28, $C$8:$C$57, 0), (COLUMNS($DU28:DV28)-1)*5 + 4) = "SF"), INDEX($CZ$8:$CZ$23, COLUMNS($DU28:DV28)), "0"), "")</f>
        <v>0</v>
      </c>
      <c r="DW28" s="390" t="str">
        <f t="array" ref="DW28">IFERROR(IF(AND(INDEX($E$8:$CE$57, MATCH($C28, $C$8:$C$57, 0), (COLUMNS($DU28:DW28)-1)*5 + 1) = INDEX($E$5:$CE$5, 1, (COLUMNS($DU28:DW28)-1)*5 + 1), INDEX($E$8:$CE$57, MATCH($C28, $C$8:$C$57, 0), (COLUMNS($DU28:DW28)-1)*5 + 4) = "SF"), INDEX($CZ$8:$CZ$23, COLUMNS($DU28:DW28)), "0"), "")</f>
        <v>0</v>
      </c>
      <c r="DX28" s="390" t="str">
        <f t="array" ref="DX28">IFERROR(IF(AND(INDEX($E$8:$CE$57, MATCH($C28, $C$8:$C$57, 0), (COLUMNS($DU28:DX28)-1)*5 + 1) = INDEX($E$5:$CE$5, 1, (COLUMNS($DU28:DX28)-1)*5 + 1), INDEX($E$8:$CE$57, MATCH($C28, $C$8:$C$57, 0), (COLUMNS($DU28:DX28)-1)*5 + 4) = "SF"), INDEX($CZ$8:$CZ$23, COLUMNS($DU28:DX28)), "0"), "")</f>
        <v>0</v>
      </c>
      <c r="DY28" s="390" t="str">
        <f t="array" ref="DY28">IFERROR(IF(AND(INDEX($E$8:$CE$57, MATCH($C28, $C$8:$C$57, 0), (COLUMNS($DU28:DY28)-1)*5 + 1) = INDEX($E$5:$CE$5, 1, (COLUMNS($DU28:DY28)-1)*5 + 1), INDEX($E$8:$CE$57, MATCH($C28, $C$8:$C$57, 0), (COLUMNS($DU28:DY28)-1)*5 + 4) = "SF"), INDEX($CZ$8:$CZ$23, COLUMNS($DU28:DY28)), "0"), "")</f>
        <v>0</v>
      </c>
      <c r="DZ28" s="390" t="str">
        <f t="array" ref="DZ28">IFERROR(IF(AND(INDEX($E$8:$CE$57, MATCH($C28, $C$8:$C$57, 0), (COLUMNS($DU28:DZ28)-1)*5 + 1) = INDEX($E$5:$CE$5, 1, (COLUMNS($DU28:DZ28)-1)*5 + 1), INDEX($E$8:$CE$57, MATCH($C28, $C$8:$C$57, 0), (COLUMNS($DU28:DZ28)-1)*5 + 4) = "SF"), INDEX($CZ$8:$CZ$23, COLUMNS($DU28:DZ28)), "0"), "")</f>
        <v>0</v>
      </c>
      <c r="EA28" s="390" t="str">
        <f t="array" ref="EA28">IFERROR(IF(AND(INDEX($E$8:$CE$57, MATCH($C28, $C$8:$C$57, 0), (COLUMNS($DU28:EA28)-1)*5 + 1) = INDEX($E$5:$CE$5, 1, (COLUMNS($DU28:EA28)-1)*5 + 1), INDEX($E$8:$CE$57, MATCH($C28, $C$8:$C$57, 0), (COLUMNS($DU28:EA28)-1)*5 + 4) = "SF"), INDEX($CZ$8:$CZ$23, COLUMNS($DU28:EA28)), "0"), "")</f>
        <v>0</v>
      </c>
      <c r="EB28" s="390" t="str">
        <f t="array" ref="EB28">IFERROR(IF(AND(INDEX($E$8:$CE$57, MATCH($C28, $C$8:$C$57, 0), (COLUMNS($DU28:EB28)-1)*5 + 1) = INDEX($E$5:$CE$5, 1, (COLUMNS($DU28:EB28)-1)*5 + 1), INDEX($E$8:$CE$57, MATCH($C28, $C$8:$C$57, 0), (COLUMNS($DU28:EB28)-1)*5 + 4) = "SF"), INDEX($CZ$8:$CZ$23, COLUMNS($DU28:EB28)), "0"), "")</f>
        <v>0</v>
      </c>
      <c r="EC28" s="390" t="str">
        <f t="array" ref="EC28">IFERROR(IF(AND(INDEX($E$8:$CE$57, MATCH($C28, $C$8:$C$57, 0), (COLUMNS($DU28:EC28)-1)*5 + 1) = INDEX($E$5:$CE$5, 1, (COLUMNS($DU28:EC28)-1)*5 + 1), INDEX($E$8:$CE$57, MATCH($C28, $C$8:$C$57, 0), (COLUMNS($DU28:EC28)-1)*5 + 4) = "SF"), INDEX($CZ$8:$CZ$23, COLUMNS($DU28:EC28)), "0"), "")</f>
        <v>0</v>
      </c>
      <c r="ED28" s="390" t="str">
        <f t="array" ref="ED28">IFERROR(IF(AND(INDEX($E$8:$CE$57, MATCH($C28, $C$8:$C$57, 0), (COLUMNS($DU28:ED28)-1)*5 + 1) = INDEX($E$5:$CE$5, 1, (COLUMNS($DU28:ED28)-1)*5 + 1), INDEX($E$8:$CE$57, MATCH($C28, $C$8:$C$57, 0), (COLUMNS($DU28:ED28)-1)*5 + 4) = "SF"), INDEX($CZ$8:$CZ$23, COLUMNS($DU28:ED28)), "0"), "")</f>
        <v>0</v>
      </c>
      <c r="EE28" s="390">
        <f t="array" ref="EE28">IFERROR(IF(AND(INDEX($E$8:$CE$57, MATCH($C28, $C$8:$C$57, 0), (COLUMNS($DU28:EE28)-1)*5 + 1) = INDEX($E$5:$CE$5, 1, (COLUMNS($DU28:EE28)-1)*5 + 1), INDEX($E$8:$CE$57, MATCH($C28, $C$8:$C$57, 0), (COLUMNS($DU28:EE28)-1)*5 + 4) = "SF"), INDEX($CZ$8:$CZ$23, COLUMNS($DU28:EE28)), "0"), "")</f>
        <v>184.94</v>
      </c>
      <c r="EF28" s="390" t="str">
        <f t="array" ref="EF28">IFERROR(IF(AND(INDEX($E$8:$CE$57, MATCH($C28, $C$8:$C$57, 0), (COLUMNS($DU28:EF28)-1)*5 + 1) = INDEX($E$5:$CE$5, 1, (COLUMNS($DU28:EF28)-1)*5 + 1), INDEX($E$8:$CE$57, MATCH($C28, $C$8:$C$57, 0), (COLUMNS($DU28:EF28)-1)*5 + 4) = "SF"), INDEX($CZ$8:$CZ$23, COLUMNS($DU28:EF28)), "0"), "")</f>
        <v>0</v>
      </c>
      <c r="EG28" s="390" t="str">
        <f t="array" ref="EG28">IFERROR(IF(AND(INDEX($E$8:$CE$57, MATCH($C28, $C$8:$C$57, 0), (COLUMNS($DU28:EG28)-1)*5 + 1) = INDEX($E$5:$CE$5, 1, (COLUMNS($DU28:EG28)-1)*5 + 1), INDEX($E$8:$CE$57, MATCH($C28, $C$8:$C$57, 0), (COLUMNS($DU28:EG28)-1)*5 + 4) = "SF"), INDEX($CZ$8:$CZ$23, COLUMNS($DU28:EG28)), "0"), "")</f>
        <v>0</v>
      </c>
      <c r="EH28" s="390" t="str">
        <f t="array" ref="EH28">IFERROR(IF(AND(INDEX($E$8:$CE$57, MATCH($C28, $C$8:$C$57, 0), (COLUMNS($DU28:EH28)-1)*5 + 1) = INDEX($E$5:$CE$5, 1, (COLUMNS($DU28:EH28)-1)*5 + 1), INDEX($E$8:$CE$57, MATCH($C28, $C$8:$C$57, 0), (COLUMNS($DU28:EH28)-1)*5 + 4) = "SF"), INDEX($CZ$8:$CZ$23, COLUMNS($DU28:EH28)), "0"), "")</f>
        <v>0</v>
      </c>
      <c r="EI28" s="390" t="str">
        <f t="array" ref="EI28">IFERROR(IF(AND(INDEX($E$8:$CE$57, MATCH($C28, $C$8:$C$57, 0), (COLUMNS($DU28:EI28)-1)*5 + 1) = INDEX($E$5:$CE$5, 1, (COLUMNS($DU28:EI28)-1)*5 + 1), INDEX($E$8:$CE$57, MATCH($C28, $C$8:$C$57, 0), (COLUMNS($DU28:EI28)-1)*5 + 4) = "SF"), INDEX($CZ$8:$CZ$23, COLUMNS($DU28:EI28)), "0"), "")</f>
        <v>0</v>
      </c>
      <c r="EJ28" s="390" t="str">
        <f t="array" ref="EJ28">IFERROR(IF(AND(INDEX($E$8:$CE$57, MATCH($C28, $C$8:$C$57, 0), (COLUMNS($DU28:EJ28)-1)*5 + 1) = INDEX($E$5:$CE$5, 1, (COLUMNS($DU28:EJ28)-1)*5 + 1), INDEX($E$8:$CE$57, MATCH($C28, $C$8:$C$57, 0), (COLUMNS($DU28:EJ28)-1)*5 + 4) = "SF"), INDEX($CZ$8:$CZ$23, COLUMNS($DU28:EJ28)), "0"), "")</f>
        <v>0</v>
      </c>
    </row>
    <row r="29" spans="1:140" ht="19.5" customHeight="1" x14ac:dyDescent="0.35">
      <c r="A29" s="515"/>
      <c r="B29" s="91">
        <f>IF(BASE01[[#This Row],[COD]]&lt;&gt;"",B28+1,"")</f>
        <v>22</v>
      </c>
      <c r="C29" s="533" t="s">
        <v>75</v>
      </c>
      <c r="D29" s="92" t="str">
        <f t="array" ref="D29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29" s="143">
        <v>8</v>
      </c>
      <c r="F29" s="144">
        <v>6</v>
      </c>
      <c r="G29" s="144">
        <v>1</v>
      </c>
      <c r="H29" s="144"/>
      <c r="I29" s="534">
        <f t="shared" si="0"/>
        <v>5</v>
      </c>
      <c r="J29" s="143">
        <v>3</v>
      </c>
      <c r="K29" s="144">
        <v>1</v>
      </c>
      <c r="L29" s="144">
        <v>8</v>
      </c>
      <c r="M29" s="144"/>
      <c r="N29" s="534">
        <f t="shared" si="1"/>
        <v>4</v>
      </c>
      <c r="O29" s="143">
        <v>8</v>
      </c>
      <c r="P29" s="144">
        <v>3</v>
      </c>
      <c r="Q29" s="144">
        <v>6</v>
      </c>
      <c r="R29" s="144"/>
      <c r="S29" s="534">
        <f t="shared" si="2"/>
        <v>1</v>
      </c>
      <c r="T29" s="143">
        <v>6</v>
      </c>
      <c r="U29" s="144"/>
      <c r="V29" s="144"/>
      <c r="W29" s="144" t="s">
        <v>255</v>
      </c>
      <c r="X29" s="534">
        <f t="shared" si="3"/>
        <v>7.5</v>
      </c>
      <c r="Y29" s="143">
        <v>5</v>
      </c>
      <c r="Z29" s="144">
        <v>10</v>
      </c>
      <c r="AA29" s="144">
        <v>3</v>
      </c>
      <c r="AB29" s="144" t="s">
        <v>254</v>
      </c>
      <c r="AC29" s="534">
        <f t="shared" si="4"/>
        <v>4.5</v>
      </c>
      <c r="AD29" s="143">
        <v>2</v>
      </c>
      <c r="AE29" s="144">
        <v>5</v>
      </c>
      <c r="AF29" s="144">
        <v>7</v>
      </c>
      <c r="AG29" s="144"/>
      <c r="AH29" s="534">
        <f t="shared" si="5"/>
        <v>7</v>
      </c>
      <c r="AI29" s="143">
        <v>3</v>
      </c>
      <c r="AJ29" s="144">
        <v>4</v>
      </c>
      <c r="AK29" s="144">
        <v>7</v>
      </c>
      <c r="AL29" s="144"/>
      <c r="AM29" s="534">
        <f t="shared" si="6"/>
        <v>2</v>
      </c>
      <c r="AN29" s="143">
        <v>11</v>
      </c>
      <c r="AO29" s="144">
        <v>8</v>
      </c>
      <c r="AP29" s="144">
        <v>9</v>
      </c>
      <c r="AQ29" s="144"/>
      <c r="AR29" s="534">
        <f t="shared" si="7"/>
        <v>0</v>
      </c>
      <c r="AS29" s="143">
        <v>7</v>
      </c>
      <c r="AT29" s="144">
        <v>2</v>
      </c>
      <c r="AU29" s="144">
        <v>6</v>
      </c>
      <c r="AV29" s="144" t="s">
        <v>254</v>
      </c>
      <c r="AW29" s="534">
        <f t="shared" si="8"/>
        <v>0</v>
      </c>
      <c r="AX29" s="143">
        <v>1</v>
      </c>
      <c r="AY29" s="144">
        <v>3</v>
      </c>
      <c r="AZ29" s="144">
        <v>9</v>
      </c>
      <c r="BA29" s="144"/>
      <c r="BB29" s="534">
        <f t="shared" si="9"/>
        <v>4</v>
      </c>
      <c r="BC29" s="143">
        <v>2</v>
      </c>
      <c r="BD29" s="144">
        <v>3</v>
      </c>
      <c r="BE29" s="144">
        <v>4</v>
      </c>
      <c r="BF29" s="144"/>
      <c r="BG29" s="534">
        <f t="shared" si="10"/>
        <v>1</v>
      </c>
      <c r="BH29" s="143">
        <v>5</v>
      </c>
      <c r="BI29" s="144">
        <v>1</v>
      </c>
      <c r="BJ29" s="144">
        <v>2</v>
      </c>
      <c r="BK29" s="144"/>
      <c r="BL29" s="534">
        <f t="shared" si="11"/>
        <v>2</v>
      </c>
      <c r="BM29" s="143">
        <v>3</v>
      </c>
      <c r="BN29" s="144">
        <v>1</v>
      </c>
      <c r="BO29" s="144">
        <v>12</v>
      </c>
      <c r="BP29" s="144"/>
      <c r="BQ29" s="534">
        <f t="shared" si="12"/>
        <v>4</v>
      </c>
      <c r="BR29" s="143"/>
      <c r="BS29" s="144"/>
      <c r="BT29" s="144"/>
      <c r="BU29" s="144"/>
      <c r="BV29" s="534">
        <f t="shared" si="13"/>
        <v>0</v>
      </c>
      <c r="BW29" s="143"/>
      <c r="BX29" s="144"/>
      <c r="BY29" s="144"/>
      <c r="BZ29" s="144"/>
      <c r="CA29" s="534">
        <f t="shared" si="14"/>
        <v>0</v>
      </c>
      <c r="CB29" s="143"/>
      <c r="CC29" s="144"/>
      <c r="CD29" s="144"/>
      <c r="CE29" s="144"/>
      <c r="CF29" s="534">
        <f t="shared" si="15"/>
        <v>0</v>
      </c>
      <c r="CG29" s="162">
        <f>IF(BASE01[[#This Row],[1]]="",0,$B$4)</f>
        <v>13</v>
      </c>
      <c r="CH29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7</v>
      </c>
      <c r="CI29" s="164">
        <f>IF(BASE01[[#This Row],[Columna14]]=0,0,(CH29/CG29))</f>
        <v>0.53846153846153844</v>
      </c>
      <c r="CJ29" s="163">
        <f>IF(BASE01[[#This Row],[1]]="",0,$B$4)</f>
        <v>13</v>
      </c>
      <c r="CK29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8</v>
      </c>
      <c r="CL29" s="164">
        <f>IF(BASE01[[#This Row],[Columna14]]=0,0,(CK29/CJ29))</f>
        <v>0.61538461538461542</v>
      </c>
      <c r="CM29" s="162">
        <f>IF(BASE01[[#This Row],[1]]="",0,$B$4)</f>
        <v>13</v>
      </c>
      <c r="CN29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11</v>
      </c>
      <c r="CO29" s="164">
        <f>IF(BASE01[[#This Row],[Columna14]]=0,0,(CN29/CM29))</f>
        <v>0.84615384615384615</v>
      </c>
      <c r="CP29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29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Row],[Columna25]],$AX$5,BA29,"SF")+COUNTIFS(BASE01[[#This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29" s="164">
        <f>IF(BASE01[[#This Row],[Columna14]]=0,0,(CQ29/CP29))</f>
        <v>0.66666666666666663</v>
      </c>
      <c r="CS29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42</v>
      </c>
      <c r="CT29" s="93"/>
      <c r="CU29" s="536">
        <f t="shared" si="16"/>
        <v>42</v>
      </c>
      <c r="CV29" s="94">
        <f>IF(BASE01[[#This Row],[TIPO]]="PREMIO",$O$3,"0,00")</f>
        <v>1000</v>
      </c>
      <c r="CW29" s="515"/>
      <c r="CY29" s="538">
        <f t="shared" si="17"/>
        <v>9</v>
      </c>
      <c r="CZ29" s="387" t="str">
        <v>COD 14</v>
      </c>
      <c r="DA29" s="387">
        <f t="array" ref="DA29">IF(CZ29="", "", IF((INDEX(E$8:CE$57, MATCH(CZ29, C$8:C$57, 0), ($CZ$25-1)*5 + 1) &amp; "") = (INDEX(E$5:CE$5, 1, ($CZ$25-1)*5 + 1) &amp; ""), 1, IF((INDEX(E$8:CE$57, MATCH(CZ29, C$8:C$57, 0), ($CZ$25-1)*5 + 2) &amp; "") = (INDEX(E$5:CE$5, 1, ($CZ$25-1)*5 + 1) &amp; ""), 2, IF((INDEX(E$8:CE$57, MATCH(CZ29, C$8:C$57, 0), ($CZ$25-1)*5 + 3) &amp; "") = (INDEX(E$5:CE$5, 1, ($CZ$25-1)*5 + 1) &amp; ""), 3, ""))))</f>
        <v>3</v>
      </c>
      <c r="DB29" s="537" t="str">
        <f>BASE01[[#This Row],[COD]]</f>
        <v>COD 22</v>
      </c>
      <c r="DC29" s="390" t="str">
        <f t="array" ref="DC29">IFERROR(IF(AND(INDEX($E$8:$CE$57, MATCH($C29, $C$8:$C$57, 0), (COLUMNS($DC29:DC29)-1)*5 + 1) = INDEX($E$5:$CE$5, 1, (COLUMNS($DC29:DC29)-1)*5 + 1), INDEX($E$8:$CE$57, MATCH($C29, $C$8:$C$57, 0), (COLUMNS($DC29:DC29)-1)*5 + 4) = "F"), INDEX($CZ$8:$CZ$23, COLUMNS($DC29:DC29)), "0"), "")</f>
        <v>0</v>
      </c>
      <c r="DD29" s="390" t="str">
        <f t="array" ref="DD29">IFERROR(IF(AND(INDEX($E$8:$CE$57, MATCH($C29, $C$8:$C$57, 0), (COLUMNS($DC29:DD29)-1)*5 + 1) = INDEX($E$5:$CE$5, 1, (COLUMNS($DC29:DD29)-1)*5 + 1), INDEX($E$8:$CE$57, MATCH($C29, $C$8:$C$57, 0), (COLUMNS($DC29:DD29)-1)*5 + 4) = "F"), INDEX($CZ$8:$CZ$23, COLUMNS($DC29:DD29)), "0"), "")</f>
        <v>0</v>
      </c>
      <c r="DE29" s="390" t="str">
        <f t="array" ref="DE29">IFERROR(IF(AND(INDEX($E$8:$CE$57, MATCH($C29, $C$8:$C$57, 0), (COLUMNS($DC29:DE29)-1)*5 + 1) = INDEX($E$5:$CE$5, 1, (COLUMNS($DC29:DE29)-1)*5 + 1), INDEX($E$8:$CE$57, MATCH($C29, $C$8:$C$57, 0), (COLUMNS($DC29:DE29)-1)*5 + 4) = "F"), INDEX($CZ$8:$CZ$23, COLUMNS($DC29:DE29)), "0"), "")</f>
        <v>0</v>
      </c>
      <c r="DF29" s="390" t="str">
        <f t="array" ref="DF29">IFERROR(IF(AND(INDEX($E$8:$CE$57, MATCH($C29, $C$8:$C$57, 0), (COLUMNS($DC29:DF29)-1)*5 + 1) = INDEX($E$5:$CE$5, 1, (COLUMNS($DC29:DF29)-1)*5 + 1), INDEX($E$8:$CE$57, MATCH($C29, $C$8:$C$57, 0), (COLUMNS($DC29:DF29)-1)*5 + 4) = "F"), INDEX($CZ$8:$CZ$23, COLUMNS($DC29:DF29)), "0"), "")</f>
        <v>0</v>
      </c>
      <c r="DG29" s="390">
        <f t="array" ref="DG29">IFERROR(IF(AND(INDEX($E$8:$CE$57, MATCH($C29, $C$8:$C$57, 0), (COLUMNS($DC29:DG29)-1)*5 + 1) = INDEX($E$5:$CE$5, 1, (COLUMNS($DC29:DG29)-1)*5 + 1), INDEX($E$8:$CE$57, MATCH($C29, $C$8:$C$57, 0), (COLUMNS($DC29:DG29)-1)*5 + 4) = "F"), INDEX($CZ$8:$CZ$23, COLUMNS($DC29:DG29)), "0"), "")</f>
        <v>110</v>
      </c>
      <c r="DH29" s="390" t="str">
        <f t="array" ref="DH29">IFERROR(IF(AND(INDEX($E$8:$CE$57, MATCH($C29, $C$8:$C$57, 0), (COLUMNS($DC29:DH29)-1)*5 + 1) = INDEX($E$5:$CE$5, 1, (COLUMNS($DC29:DH29)-1)*5 + 1), INDEX($E$8:$CE$57, MATCH($C29, $C$8:$C$57, 0), (COLUMNS($DC29:DH29)-1)*5 + 4) = "F"), INDEX($CZ$8:$CZ$23, COLUMNS($DC29:DH29)), "0"), "")</f>
        <v>0</v>
      </c>
      <c r="DI29" s="390" t="str">
        <f t="array" ref="DI29">IFERROR(IF(AND(INDEX($E$8:$CE$57, MATCH($C29, $C$8:$C$57, 0), (COLUMNS($DC29:DI29)-1)*5 + 1) = INDEX($E$5:$CE$5, 1, (COLUMNS($DC29:DI29)-1)*5 + 1), INDEX($E$8:$CE$57, MATCH($C29, $C$8:$C$57, 0), (COLUMNS($DC29:DI29)-1)*5 + 4) = "F"), INDEX($CZ$8:$CZ$23, COLUMNS($DC29:DI29)), "0"), "")</f>
        <v>0</v>
      </c>
      <c r="DJ29" s="390" t="str">
        <f t="array" ref="DJ29">IFERROR(IF(AND(INDEX($E$8:$CE$57, MATCH($C29, $C$8:$C$57, 0), (COLUMNS($DC29:DJ29)-1)*5 + 1) = INDEX($E$5:$CE$5, 1, (COLUMNS($DC29:DJ29)-1)*5 + 1), INDEX($E$8:$CE$57, MATCH($C29, $C$8:$C$57, 0), (COLUMNS($DC29:DJ29)-1)*5 + 4) = "F"), INDEX($CZ$8:$CZ$23, COLUMNS($DC29:DJ29)), "0"), "")</f>
        <v>0</v>
      </c>
      <c r="DK29" s="390" t="str">
        <f t="array" ref="DK29">IFERROR(IF(AND(INDEX($E$8:$CE$57, MATCH($C29, $C$8:$C$57, 0), (COLUMNS($DC29:DK29)-1)*5 + 1) = INDEX($E$5:$CE$5, 1, (COLUMNS($DC29:DK29)-1)*5 + 1), INDEX($E$8:$CE$57, MATCH($C29, $C$8:$C$57, 0), (COLUMNS($DC29:DK29)-1)*5 + 4) = "F"), INDEX($CZ$8:$CZ$23, COLUMNS($DC29:DK29)), "0"), "")</f>
        <v>0</v>
      </c>
      <c r="DL29" s="390" t="str">
        <f t="array" ref="DL29">IFERROR(IF(AND(INDEX($E$8:$CE$57, MATCH($C29, $C$8:$C$57, 0), (COLUMNS($DC29:DL29)-1)*5 + 1) = INDEX($E$5:$CE$5, 1, (COLUMNS($DC29:DL29)-1)*5 + 1), INDEX($E$8:$CE$57, MATCH($C29, $C$8:$C$57, 0), (COLUMNS($DC29:DL29)-1)*5 + 4) = "F"), INDEX($CZ$8:$CZ$23, COLUMNS($DC29:DL29)), "0"), "")</f>
        <v>0</v>
      </c>
      <c r="DM29" s="390" t="str">
        <f t="array" ref="DM29">IFERROR(IF(AND(INDEX($E$8:$CE$57, MATCH($C29, $C$8:$C$57, 0), (COLUMNS($DC29:DM29)-1)*5 + 1) = INDEX($E$5:$CE$5, 1, (COLUMNS($DC29:DM29)-1)*5 + 1), INDEX($E$8:$CE$57, MATCH($C29, $C$8:$C$57, 0), (COLUMNS($DC29:DM29)-1)*5 + 4) = "F"), INDEX($CZ$8:$CZ$23, COLUMNS($DC29:DM29)), "0"), "")</f>
        <v>0</v>
      </c>
      <c r="DN29" s="390" t="str">
        <f t="array" ref="DN29">IFERROR(IF(AND(INDEX($E$8:$CE$57, MATCH($C29, $C$8:$C$57, 0), (COLUMNS($DC29:DN29)-1)*5 + 1) = INDEX($E$5:$CE$5, 1, (COLUMNS($DC29:DN29)-1)*5 + 1), INDEX($E$8:$CE$57, MATCH($C29, $C$8:$C$57, 0), (COLUMNS($DC29:DN29)-1)*5 + 4) = "F"), INDEX($CZ$8:$CZ$23, COLUMNS($DC29:DN29)), "0"), "")</f>
        <v>0</v>
      </c>
      <c r="DO29" s="390" t="str">
        <f t="array" ref="DO29">IFERROR(IF(AND(INDEX($E$8:$CE$57, MATCH($C29, $C$8:$C$57, 0), (COLUMNS($DC29:DO29)-1)*5 + 1) = INDEX($E$5:$CE$5, 1, (COLUMNS($DC29:DO29)-1)*5 + 1), INDEX($E$8:$CE$57, MATCH($C29, $C$8:$C$57, 0), (COLUMNS($DC29:DO29)-1)*5 + 4) = "F"), INDEX($CZ$8:$CZ$23, COLUMNS($DC29:DO29)), "0"), "")</f>
        <v>0</v>
      </c>
      <c r="DP29" s="390" t="str">
        <f t="array" ref="DP29">IFERROR(IF(AND(INDEX($E$8:$CE$57, MATCH($C29, $C$8:$C$57, 0), (COLUMNS($DC29:DP29)-1)*5 + 1) = INDEX($E$5:$CE$5, 1, (COLUMNS($DC29:DP29)-1)*5 + 1), INDEX($E$8:$CE$57, MATCH($C29, $C$8:$C$57, 0), (COLUMNS($DC29:DP29)-1)*5 + 4) = "F"), INDEX($CZ$8:$CZ$23, COLUMNS($DC29:DP29)), "0"), "")</f>
        <v>0</v>
      </c>
      <c r="DQ29" s="390" t="str">
        <f t="array" ref="DQ29">IFERROR(IF(AND(INDEX($E$8:$CE$57, MATCH($C29, $C$8:$C$57, 0), (COLUMNS($DC29:DQ29)-1)*5 + 1) = INDEX($E$5:$CE$5, 1, (COLUMNS($DC29:DQ29)-1)*5 + 1), INDEX($E$8:$CE$57, MATCH($C29, $C$8:$C$57, 0), (COLUMNS($DC29:DQ29)-1)*5 + 4) = "F"), INDEX($CZ$8:$CZ$23, COLUMNS($DC29:DQ29)), "0"), "")</f>
        <v>0</v>
      </c>
      <c r="DR29" s="390" t="str">
        <f t="array" ref="DR29">IFERROR(IF(AND(INDEX($E$8:$CE$57, MATCH($C29, $C$8:$C$57, 0), (COLUMNS($DC29:DR29)-1)*5 + 1) = INDEX($E$5:$CE$5, 1, (COLUMNS($DC29:DR29)-1)*5 + 1), INDEX($E$8:$CE$57, MATCH($C29, $C$8:$C$57, 0), (COLUMNS($DC29:DR29)-1)*5 + 4) = "F"), INDEX($CZ$8:$CZ$23, COLUMNS($DC29:DR29)), "0"), "")</f>
        <v>0</v>
      </c>
      <c r="DT29" s="537" t="str">
        <f>BASE01[[#This Row],[COD]]</f>
        <v>COD 22</v>
      </c>
      <c r="DU29" s="390" t="str">
        <f t="array" ref="DU29">IFERROR(IF(AND(INDEX($E$8:$CE$57, MATCH($C29, $C$8:$C$57, 0), (COLUMNS($DU29:DU29)-1)*5 + 1) = INDEX($E$5:$CE$5, 1, (COLUMNS($DU29:DU29)-1)*5 + 1), INDEX($E$8:$CE$57, MATCH($C29, $C$8:$C$57, 0), (COLUMNS($DU29:DU29)-1)*5 + 4) = "SF"), INDEX($CZ$8:$CZ$23, COLUMNS($DU29:DU29)), "0"), "")</f>
        <v>0</v>
      </c>
      <c r="DV29" s="390" t="str">
        <f t="array" ref="DV29">IFERROR(IF(AND(INDEX($E$8:$CE$57, MATCH($C29, $C$8:$C$57, 0), (COLUMNS($DU29:DV29)-1)*5 + 1) = INDEX($E$5:$CE$5, 1, (COLUMNS($DU29:DV29)-1)*5 + 1), INDEX($E$8:$CE$57, MATCH($C29, $C$8:$C$57, 0), (COLUMNS($DU29:DV29)-1)*5 + 4) = "SF"), INDEX($CZ$8:$CZ$23, COLUMNS($DU29:DV29)), "0"), "")</f>
        <v>0</v>
      </c>
      <c r="DW29" s="390" t="str">
        <f t="array" ref="DW29">IFERROR(IF(AND(INDEX($E$8:$CE$57, MATCH($C29, $C$8:$C$57, 0), (COLUMNS($DU29:DW29)-1)*5 + 1) = INDEX($E$5:$CE$5, 1, (COLUMNS($DU29:DW29)-1)*5 + 1), INDEX($E$8:$CE$57, MATCH($C29, $C$8:$C$57, 0), (COLUMNS($DU29:DW29)-1)*5 + 4) = "SF"), INDEX($CZ$8:$CZ$23, COLUMNS($DU29:DW29)), "0"), "")</f>
        <v>0</v>
      </c>
      <c r="DX29" s="390">
        <f t="array" ref="DX29">IFERROR(IF(AND(INDEX($E$8:$CE$57, MATCH($C29, $C$8:$C$57, 0), (COLUMNS($DU29:DX29)-1)*5 + 1) = INDEX($E$5:$CE$5, 1, (COLUMNS($DU29:DX29)-1)*5 + 1), INDEX($E$8:$CE$57, MATCH($C29, $C$8:$C$57, 0), (COLUMNS($DU29:DX29)-1)*5 + 4) = "SF"), INDEX($CZ$8:$CZ$23, COLUMNS($DU29:DX29)), "0"), "")</f>
        <v>110</v>
      </c>
      <c r="DY29" s="390" t="str">
        <f t="array" ref="DY29">IFERROR(IF(AND(INDEX($E$8:$CE$57, MATCH($C29, $C$8:$C$57, 0), (COLUMNS($DU29:DY29)-1)*5 + 1) = INDEX($E$5:$CE$5, 1, (COLUMNS($DU29:DY29)-1)*5 + 1), INDEX($E$8:$CE$57, MATCH($C29, $C$8:$C$57, 0), (COLUMNS($DU29:DY29)-1)*5 + 4) = "SF"), INDEX($CZ$8:$CZ$23, COLUMNS($DU29:DY29)), "0"), "")</f>
        <v>0</v>
      </c>
      <c r="DZ29" s="390" t="str">
        <f t="array" ref="DZ29">IFERROR(IF(AND(INDEX($E$8:$CE$57, MATCH($C29, $C$8:$C$57, 0), (COLUMNS($DU29:DZ29)-1)*5 + 1) = INDEX($E$5:$CE$5, 1, (COLUMNS($DU29:DZ29)-1)*5 + 1), INDEX($E$8:$CE$57, MATCH($C29, $C$8:$C$57, 0), (COLUMNS($DU29:DZ29)-1)*5 + 4) = "SF"), INDEX($CZ$8:$CZ$23, COLUMNS($DU29:DZ29)), "0"), "")</f>
        <v>0</v>
      </c>
      <c r="EA29" s="390" t="str">
        <f t="array" ref="EA29">IFERROR(IF(AND(INDEX($E$8:$CE$57, MATCH($C29, $C$8:$C$57, 0), (COLUMNS($DU29:EA29)-1)*5 + 1) = INDEX($E$5:$CE$5, 1, (COLUMNS($DU29:EA29)-1)*5 + 1), INDEX($E$8:$CE$57, MATCH($C29, $C$8:$C$57, 0), (COLUMNS($DU29:EA29)-1)*5 + 4) = "SF"), INDEX($CZ$8:$CZ$23, COLUMNS($DU29:EA29)), "0"), "")</f>
        <v>0</v>
      </c>
      <c r="EB29" s="390" t="str">
        <f t="array" ref="EB29">IFERROR(IF(AND(INDEX($E$8:$CE$57, MATCH($C29, $C$8:$C$57, 0), (COLUMNS($DU29:EB29)-1)*5 + 1) = INDEX($E$5:$CE$5, 1, (COLUMNS($DU29:EB29)-1)*5 + 1), INDEX($E$8:$CE$57, MATCH($C29, $C$8:$C$57, 0), (COLUMNS($DU29:EB29)-1)*5 + 4) = "SF"), INDEX($CZ$8:$CZ$23, COLUMNS($DU29:EB29)), "0"), "")</f>
        <v>0</v>
      </c>
      <c r="EC29" s="390" t="str">
        <f t="array" ref="EC29">IFERROR(IF(AND(INDEX($E$8:$CE$57, MATCH($C29, $C$8:$C$57, 0), (COLUMNS($DU29:EC29)-1)*5 + 1) = INDEX($E$5:$CE$5, 1, (COLUMNS($DU29:EC29)-1)*5 + 1), INDEX($E$8:$CE$57, MATCH($C29, $C$8:$C$57, 0), (COLUMNS($DU29:EC29)-1)*5 + 4) = "SF"), INDEX($CZ$8:$CZ$23, COLUMNS($DU29:EC29)), "0"), "")</f>
        <v>0</v>
      </c>
      <c r="ED29" s="390" t="str">
        <f t="array" ref="ED29">IFERROR(IF(AND(INDEX($E$8:$CE$57, MATCH($C29, $C$8:$C$57, 0), (COLUMNS($DU29:ED29)-1)*5 + 1) = INDEX($E$5:$CE$5, 1, (COLUMNS($DU29:ED29)-1)*5 + 1), INDEX($E$8:$CE$57, MATCH($C29, $C$8:$C$57, 0), (COLUMNS($DU29:ED29)-1)*5 + 4) = "SF"), INDEX($CZ$8:$CZ$23, COLUMNS($DU29:ED29)), "0"), "")</f>
        <v>0</v>
      </c>
      <c r="EE29" s="390" t="str">
        <f t="array" ref="EE29">IFERROR(IF(AND(INDEX($E$8:$CE$57, MATCH($C29, $C$8:$C$57, 0), (COLUMNS($DU29:EE29)-1)*5 + 1) = INDEX($E$5:$CE$5, 1, (COLUMNS($DU29:EE29)-1)*5 + 1), INDEX($E$8:$CE$57, MATCH($C29, $C$8:$C$57, 0), (COLUMNS($DU29:EE29)-1)*5 + 4) = "SF"), INDEX($CZ$8:$CZ$23, COLUMNS($DU29:EE29)), "0"), "")</f>
        <v>0</v>
      </c>
      <c r="EF29" s="390" t="str">
        <f t="array" ref="EF29">IFERROR(IF(AND(INDEX($E$8:$CE$57, MATCH($C29, $C$8:$C$57, 0), (COLUMNS($DU29:EF29)-1)*5 + 1) = INDEX($E$5:$CE$5, 1, (COLUMNS($DU29:EF29)-1)*5 + 1), INDEX($E$8:$CE$57, MATCH($C29, $C$8:$C$57, 0), (COLUMNS($DU29:EF29)-1)*5 + 4) = "SF"), INDEX($CZ$8:$CZ$23, COLUMNS($DU29:EF29)), "0"), "")</f>
        <v>0</v>
      </c>
      <c r="EG29" s="390" t="str">
        <f t="array" ref="EG29">IFERROR(IF(AND(INDEX($E$8:$CE$57, MATCH($C29, $C$8:$C$57, 0), (COLUMNS($DU29:EG29)-1)*5 + 1) = INDEX($E$5:$CE$5, 1, (COLUMNS($DU29:EG29)-1)*5 + 1), INDEX($E$8:$CE$57, MATCH($C29, $C$8:$C$57, 0), (COLUMNS($DU29:EG29)-1)*5 + 4) = "SF"), INDEX($CZ$8:$CZ$23, COLUMNS($DU29:EG29)), "0"), "")</f>
        <v>0</v>
      </c>
      <c r="EH29" s="390" t="str">
        <f t="array" ref="EH29">IFERROR(IF(AND(INDEX($E$8:$CE$57, MATCH($C29, $C$8:$C$57, 0), (COLUMNS($DU29:EH29)-1)*5 + 1) = INDEX($E$5:$CE$5, 1, (COLUMNS($DU29:EH29)-1)*5 + 1), INDEX($E$8:$CE$57, MATCH($C29, $C$8:$C$57, 0), (COLUMNS($DU29:EH29)-1)*5 + 4) = "SF"), INDEX($CZ$8:$CZ$23, COLUMNS($DU29:EH29)), "0"), "")</f>
        <v>0</v>
      </c>
      <c r="EI29" s="390" t="str">
        <f t="array" ref="EI29">IFERROR(IF(AND(INDEX($E$8:$CE$57, MATCH($C29, $C$8:$C$57, 0), (COLUMNS($DU29:EI29)-1)*5 + 1) = INDEX($E$5:$CE$5, 1, (COLUMNS($DU29:EI29)-1)*5 + 1), INDEX($E$8:$CE$57, MATCH($C29, $C$8:$C$57, 0), (COLUMNS($DU29:EI29)-1)*5 + 4) = "SF"), INDEX($CZ$8:$CZ$23, COLUMNS($DU29:EI29)), "0"), "")</f>
        <v>0</v>
      </c>
      <c r="EJ29" s="390" t="str">
        <f t="array" ref="EJ29">IFERROR(IF(AND(INDEX($E$8:$CE$57, MATCH($C29, $C$8:$C$57, 0), (COLUMNS($DU29:EJ29)-1)*5 + 1) = INDEX($E$5:$CE$5, 1, (COLUMNS($DU29:EJ29)-1)*5 + 1), INDEX($E$8:$CE$57, MATCH($C29, $C$8:$C$57, 0), (COLUMNS($DU29:EJ29)-1)*5 + 4) = "SF"), INDEX($CZ$8:$CZ$23, COLUMNS($DU29:EJ29)), "0"), "")</f>
        <v>0</v>
      </c>
    </row>
    <row r="30" spans="1:140" ht="19.5" customHeight="1" x14ac:dyDescent="0.35">
      <c r="A30" s="515"/>
      <c r="B30" s="91">
        <f>IF(BASE01[[#This Row],[COD]]&lt;&gt;"",B29+1,"")</f>
        <v>23</v>
      </c>
      <c r="C30" s="533" t="s">
        <v>77</v>
      </c>
      <c r="D30" s="92" t="str">
        <f t="array" ref="D30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30" s="143">
        <v>8</v>
      </c>
      <c r="F30" s="144">
        <v>1</v>
      </c>
      <c r="G30" s="144">
        <v>6</v>
      </c>
      <c r="H30" s="144"/>
      <c r="I30" s="534">
        <f t="shared" si="0"/>
        <v>4</v>
      </c>
      <c r="J30" s="143">
        <v>8</v>
      </c>
      <c r="K30" s="144">
        <v>3</v>
      </c>
      <c r="L30" s="144">
        <v>1</v>
      </c>
      <c r="M30" s="144"/>
      <c r="N30" s="534">
        <f t="shared" si="1"/>
        <v>2</v>
      </c>
      <c r="O30" s="143">
        <v>6</v>
      </c>
      <c r="P30" s="144">
        <v>3</v>
      </c>
      <c r="Q30" s="144">
        <v>8</v>
      </c>
      <c r="R30" s="144"/>
      <c r="S30" s="534">
        <f t="shared" si="2"/>
        <v>4</v>
      </c>
      <c r="T30" s="143">
        <v>6</v>
      </c>
      <c r="U30" s="144"/>
      <c r="V30" s="144"/>
      <c r="W30" s="144" t="s">
        <v>255</v>
      </c>
      <c r="X30" s="534">
        <f t="shared" si="3"/>
        <v>7.5</v>
      </c>
      <c r="Y30" s="143">
        <v>5</v>
      </c>
      <c r="Z30" s="144">
        <v>3</v>
      </c>
      <c r="AA30" s="144">
        <v>10</v>
      </c>
      <c r="AB30" s="144" t="s">
        <v>254</v>
      </c>
      <c r="AC30" s="534">
        <f t="shared" si="4"/>
        <v>4.5</v>
      </c>
      <c r="AD30" s="143">
        <v>7</v>
      </c>
      <c r="AE30" s="144">
        <v>5</v>
      </c>
      <c r="AF30" s="144">
        <v>2</v>
      </c>
      <c r="AG30" s="144"/>
      <c r="AH30" s="534">
        <f t="shared" si="5"/>
        <v>3</v>
      </c>
      <c r="AI30" s="143">
        <v>4</v>
      </c>
      <c r="AJ30" s="144">
        <v>7</v>
      </c>
      <c r="AK30" s="144">
        <v>3</v>
      </c>
      <c r="AL30" s="144"/>
      <c r="AM30" s="534">
        <f t="shared" si="6"/>
        <v>4</v>
      </c>
      <c r="AN30" s="143">
        <v>8</v>
      </c>
      <c r="AO30" s="144">
        <v>9</v>
      </c>
      <c r="AP30" s="144">
        <v>11</v>
      </c>
      <c r="AQ30" s="144"/>
      <c r="AR30" s="534">
        <f t="shared" si="7"/>
        <v>0</v>
      </c>
      <c r="AS30" s="143">
        <v>1</v>
      </c>
      <c r="AT30" s="144">
        <v>7</v>
      </c>
      <c r="AU30" s="144">
        <v>5</v>
      </c>
      <c r="AV30" s="144"/>
      <c r="AW30" s="534">
        <f t="shared" si="8"/>
        <v>0</v>
      </c>
      <c r="AX30" s="143">
        <v>9</v>
      </c>
      <c r="AY30" s="144">
        <v>1</v>
      </c>
      <c r="AZ30" s="144">
        <v>8</v>
      </c>
      <c r="BA30" s="144"/>
      <c r="BB30" s="534">
        <f t="shared" si="9"/>
        <v>2</v>
      </c>
      <c r="BC30" s="143">
        <v>4</v>
      </c>
      <c r="BD30" s="144">
        <v>2</v>
      </c>
      <c r="BE30" s="144">
        <v>3</v>
      </c>
      <c r="BF30" s="144"/>
      <c r="BG30" s="534">
        <f t="shared" si="10"/>
        <v>5</v>
      </c>
      <c r="BH30" s="143">
        <v>5</v>
      </c>
      <c r="BI30" s="144">
        <v>1</v>
      </c>
      <c r="BJ30" s="144">
        <v>6</v>
      </c>
      <c r="BK30" s="144"/>
      <c r="BL30" s="534">
        <f t="shared" si="11"/>
        <v>0</v>
      </c>
      <c r="BM30" s="143">
        <v>3</v>
      </c>
      <c r="BN30" s="144">
        <v>1</v>
      </c>
      <c r="BO30" s="144">
        <v>12</v>
      </c>
      <c r="BP30" s="144" t="s">
        <v>254</v>
      </c>
      <c r="BQ30" s="534">
        <f t="shared" si="12"/>
        <v>5</v>
      </c>
      <c r="BR30" s="143"/>
      <c r="BS30" s="144"/>
      <c r="BT30" s="144"/>
      <c r="BU30" s="144"/>
      <c r="BV30" s="534">
        <f t="shared" si="13"/>
        <v>0</v>
      </c>
      <c r="BW30" s="143"/>
      <c r="BX30" s="144"/>
      <c r="BY30" s="144"/>
      <c r="BZ30" s="144"/>
      <c r="CA30" s="534">
        <f t="shared" si="14"/>
        <v>0</v>
      </c>
      <c r="CB30" s="143"/>
      <c r="CC30" s="144"/>
      <c r="CD30" s="144"/>
      <c r="CE30" s="144"/>
      <c r="CF30" s="534">
        <f t="shared" si="15"/>
        <v>0</v>
      </c>
      <c r="CG30" s="162">
        <f>IF(BASE01[[#This Row],[1]]="",0,$B$4)</f>
        <v>13</v>
      </c>
      <c r="CH30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7</v>
      </c>
      <c r="CI30" s="164">
        <f>IF(BASE01[[#This Row],[Columna14]]=0,0,(CH30/CG30))</f>
        <v>0.53846153846153844</v>
      </c>
      <c r="CJ30" s="163">
        <f>IF(BASE01[[#This Row],[1]]="",0,$B$4)</f>
        <v>13</v>
      </c>
      <c r="CK30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9</v>
      </c>
      <c r="CL30" s="164">
        <f>IF(BASE01[[#This Row],[Columna14]]=0,0,(CK30/CJ30))</f>
        <v>0.69230769230769229</v>
      </c>
      <c r="CM30" s="162">
        <f>IF(BASE01[[#This Row],[1]]="",0,$B$4)</f>
        <v>13</v>
      </c>
      <c r="CN30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10</v>
      </c>
      <c r="CO30" s="164">
        <f>IF(BASE01[[#This Row],[Columna14]]=0,0,(CN30/CM30))</f>
        <v>0.76923076923076927</v>
      </c>
      <c r="CP30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30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Row],[Columna25]],$AX$5,BA30,"SF")+COUNTIFS(BASE01[[#This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3</v>
      </c>
      <c r="CR30" s="164">
        <f>IF(BASE01[[#This Row],[Columna14]]=0,0,(CQ30/CP30))</f>
        <v>1</v>
      </c>
      <c r="CS30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41</v>
      </c>
      <c r="CT30" s="93"/>
      <c r="CU30" s="536">
        <f t="shared" si="16"/>
        <v>41</v>
      </c>
      <c r="CV30" s="94">
        <f>IF(BASE01[[#This Row],[TIPO]]="PREMIO",$O$3,"0,00")</f>
        <v>1000</v>
      </c>
      <c r="CW30" s="515"/>
      <c r="CY30" s="538">
        <f t="shared" si="17"/>
        <v>9</v>
      </c>
      <c r="CZ30" s="387" t="str">
        <v>COD 37</v>
      </c>
      <c r="DA30" s="387">
        <f t="array" ref="DA30">IF(CZ30="", "", IF((INDEX(E$8:CE$57, MATCH(CZ30, C$8:C$57, 0), ($CZ$25-1)*5 + 1) &amp; "") = (INDEX(E$5:CE$5, 1, ($CZ$25-1)*5 + 1) &amp; ""), 1, IF((INDEX(E$8:CE$57, MATCH(CZ30, C$8:C$57, 0), ($CZ$25-1)*5 + 2) &amp; "") = (INDEX(E$5:CE$5, 1, ($CZ$25-1)*5 + 1) &amp; ""), 2, IF((INDEX(E$8:CE$57, MATCH(CZ30, C$8:C$57, 0), ($CZ$25-1)*5 + 3) &amp; "") = (INDEX(E$5:CE$5, 1, ($CZ$25-1)*5 + 1) &amp; ""), 3, ""))))</f>
        <v>1</v>
      </c>
      <c r="DB30" s="537" t="str">
        <f>BASE01[[#This Row],[COD]]</f>
        <v>COD 23</v>
      </c>
      <c r="DC30" s="390" t="str">
        <f t="array" ref="DC30">IFERROR(IF(AND(INDEX($E$8:$CE$57, MATCH($C30, $C$8:$C$57, 0), (COLUMNS($DC30:DC30)-1)*5 + 1) = INDEX($E$5:$CE$5, 1, (COLUMNS($DC30:DC30)-1)*5 + 1), INDEX($E$8:$CE$57, MATCH($C30, $C$8:$C$57, 0), (COLUMNS($DC30:DC30)-1)*5 + 4) = "F"), INDEX($CZ$8:$CZ$23, COLUMNS($DC30:DC30)), "0"), "")</f>
        <v>0</v>
      </c>
      <c r="DD30" s="390" t="str">
        <f t="array" ref="DD30">IFERROR(IF(AND(INDEX($E$8:$CE$57, MATCH($C30, $C$8:$C$57, 0), (COLUMNS($DC30:DD30)-1)*5 + 1) = INDEX($E$5:$CE$5, 1, (COLUMNS($DC30:DD30)-1)*5 + 1), INDEX($E$8:$CE$57, MATCH($C30, $C$8:$C$57, 0), (COLUMNS($DC30:DD30)-1)*5 + 4) = "F"), INDEX($CZ$8:$CZ$23, COLUMNS($DC30:DD30)), "0"), "")</f>
        <v>0</v>
      </c>
      <c r="DE30" s="390" t="str">
        <f t="array" ref="DE30">IFERROR(IF(AND(INDEX($E$8:$CE$57, MATCH($C30, $C$8:$C$57, 0), (COLUMNS($DC30:DE30)-1)*5 + 1) = INDEX($E$5:$CE$5, 1, (COLUMNS($DC30:DE30)-1)*5 + 1), INDEX($E$8:$CE$57, MATCH($C30, $C$8:$C$57, 0), (COLUMNS($DC30:DE30)-1)*5 + 4) = "F"), INDEX($CZ$8:$CZ$23, COLUMNS($DC30:DE30)), "0"), "")</f>
        <v>0</v>
      </c>
      <c r="DF30" s="390" t="str">
        <f t="array" ref="DF30">IFERROR(IF(AND(INDEX($E$8:$CE$57, MATCH($C30, $C$8:$C$57, 0), (COLUMNS($DC30:DF30)-1)*5 + 1) = INDEX($E$5:$CE$5, 1, (COLUMNS($DC30:DF30)-1)*5 + 1), INDEX($E$8:$CE$57, MATCH($C30, $C$8:$C$57, 0), (COLUMNS($DC30:DF30)-1)*5 + 4) = "F"), INDEX($CZ$8:$CZ$23, COLUMNS($DC30:DF30)), "0"), "")</f>
        <v>0</v>
      </c>
      <c r="DG30" s="390">
        <f t="array" ref="DG30">IFERROR(IF(AND(INDEX($E$8:$CE$57, MATCH($C30, $C$8:$C$57, 0), (COLUMNS($DC30:DG30)-1)*5 + 1) = INDEX($E$5:$CE$5, 1, (COLUMNS($DC30:DG30)-1)*5 + 1), INDEX($E$8:$CE$57, MATCH($C30, $C$8:$C$57, 0), (COLUMNS($DC30:DG30)-1)*5 + 4) = "F"), INDEX($CZ$8:$CZ$23, COLUMNS($DC30:DG30)), "0"), "")</f>
        <v>110</v>
      </c>
      <c r="DH30" s="390" t="str">
        <f t="array" ref="DH30">IFERROR(IF(AND(INDEX($E$8:$CE$57, MATCH($C30, $C$8:$C$57, 0), (COLUMNS($DC30:DH30)-1)*5 + 1) = INDEX($E$5:$CE$5, 1, (COLUMNS($DC30:DH30)-1)*5 + 1), INDEX($E$8:$CE$57, MATCH($C30, $C$8:$C$57, 0), (COLUMNS($DC30:DH30)-1)*5 + 4) = "F"), INDEX($CZ$8:$CZ$23, COLUMNS($DC30:DH30)), "0"), "")</f>
        <v>0</v>
      </c>
      <c r="DI30" s="390" t="str">
        <f t="array" ref="DI30">IFERROR(IF(AND(INDEX($E$8:$CE$57, MATCH($C30, $C$8:$C$57, 0), (COLUMNS($DC30:DI30)-1)*5 + 1) = INDEX($E$5:$CE$5, 1, (COLUMNS($DC30:DI30)-1)*5 + 1), INDEX($E$8:$CE$57, MATCH($C30, $C$8:$C$57, 0), (COLUMNS($DC30:DI30)-1)*5 + 4) = "F"), INDEX($CZ$8:$CZ$23, COLUMNS($DC30:DI30)), "0"), "")</f>
        <v>0</v>
      </c>
      <c r="DJ30" s="390" t="str">
        <f t="array" ref="DJ30">IFERROR(IF(AND(INDEX($E$8:$CE$57, MATCH($C30, $C$8:$C$57, 0), (COLUMNS($DC30:DJ30)-1)*5 + 1) = INDEX($E$5:$CE$5, 1, (COLUMNS($DC30:DJ30)-1)*5 + 1), INDEX($E$8:$CE$57, MATCH($C30, $C$8:$C$57, 0), (COLUMNS($DC30:DJ30)-1)*5 + 4) = "F"), INDEX($CZ$8:$CZ$23, COLUMNS($DC30:DJ30)), "0"), "")</f>
        <v>0</v>
      </c>
      <c r="DK30" s="390" t="str">
        <f t="array" ref="DK30">IFERROR(IF(AND(INDEX($E$8:$CE$57, MATCH($C30, $C$8:$C$57, 0), (COLUMNS($DC30:DK30)-1)*5 + 1) = INDEX($E$5:$CE$5, 1, (COLUMNS($DC30:DK30)-1)*5 + 1), INDEX($E$8:$CE$57, MATCH($C30, $C$8:$C$57, 0), (COLUMNS($DC30:DK30)-1)*5 + 4) = "F"), INDEX($CZ$8:$CZ$23, COLUMNS($DC30:DK30)), "0"), "")</f>
        <v>0</v>
      </c>
      <c r="DL30" s="390" t="str">
        <f t="array" ref="DL30">IFERROR(IF(AND(INDEX($E$8:$CE$57, MATCH($C30, $C$8:$C$57, 0), (COLUMNS($DC30:DL30)-1)*5 + 1) = INDEX($E$5:$CE$5, 1, (COLUMNS($DC30:DL30)-1)*5 + 1), INDEX($E$8:$CE$57, MATCH($C30, $C$8:$C$57, 0), (COLUMNS($DC30:DL30)-1)*5 + 4) = "F"), INDEX($CZ$8:$CZ$23, COLUMNS($DC30:DL30)), "0"), "")</f>
        <v>0</v>
      </c>
      <c r="DM30" s="390" t="str">
        <f t="array" ref="DM30">IFERROR(IF(AND(INDEX($E$8:$CE$57, MATCH($C30, $C$8:$C$57, 0), (COLUMNS($DC30:DM30)-1)*5 + 1) = INDEX($E$5:$CE$5, 1, (COLUMNS($DC30:DM30)-1)*5 + 1), INDEX($E$8:$CE$57, MATCH($C30, $C$8:$C$57, 0), (COLUMNS($DC30:DM30)-1)*5 + 4) = "F"), INDEX($CZ$8:$CZ$23, COLUMNS($DC30:DM30)), "0"), "")</f>
        <v>0</v>
      </c>
      <c r="DN30" s="390" t="str">
        <f t="array" ref="DN30">IFERROR(IF(AND(INDEX($E$8:$CE$57, MATCH($C30, $C$8:$C$57, 0), (COLUMNS($DC30:DN30)-1)*5 + 1) = INDEX($E$5:$CE$5, 1, (COLUMNS($DC30:DN30)-1)*5 + 1), INDEX($E$8:$CE$57, MATCH($C30, $C$8:$C$57, 0), (COLUMNS($DC30:DN30)-1)*5 + 4) = "F"), INDEX($CZ$8:$CZ$23, COLUMNS($DC30:DN30)), "0"), "")</f>
        <v>0</v>
      </c>
      <c r="DO30" s="390">
        <f t="array" ref="DO30">IFERROR(IF(AND(INDEX($E$8:$CE$57, MATCH($C30, $C$8:$C$57, 0), (COLUMNS($DC30:DO30)-1)*5 + 1) = INDEX($E$5:$CE$5, 1, (COLUMNS($DC30:DO30)-1)*5 + 1), INDEX($E$8:$CE$57, MATCH($C30, $C$8:$C$57, 0), (COLUMNS($DC30:DO30)-1)*5 + 4) = "F"), INDEX($CZ$8:$CZ$23, COLUMNS($DC30:DO30)), "0"), "")</f>
        <v>272.76</v>
      </c>
      <c r="DP30" s="390" t="str">
        <f t="array" ref="DP30">IFERROR(IF(AND(INDEX($E$8:$CE$57, MATCH($C30, $C$8:$C$57, 0), (COLUMNS($DC30:DP30)-1)*5 + 1) = INDEX($E$5:$CE$5, 1, (COLUMNS($DC30:DP30)-1)*5 + 1), INDEX($E$8:$CE$57, MATCH($C30, $C$8:$C$57, 0), (COLUMNS($DC30:DP30)-1)*5 + 4) = "F"), INDEX($CZ$8:$CZ$23, COLUMNS($DC30:DP30)), "0"), "")</f>
        <v>0</v>
      </c>
      <c r="DQ30" s="390" t="str">
        <f t="array" ref="DQ30">IFERROR(IF(AND(INDEX($E$8:$CE$57, MATCH($C30, $C$8:$C$57, 0), (COLUMNS($DC30:DQ30)-1)*5 + 1) = INDEX($E$5:$CE$5, 1, (COLUMNS($DC30:DQ30)-1)*5 + 1), INDEX($E$8:$CE$57, MATCH($C30, $C$8:$C$57, 0), (COLUMNS($DC30:DQ30)-1)*5 + 4) = "F"), INDEX($CZ$8:$CZ$23, COLUMNS($DC30:DQ30)), "0"), "")</f>
        <v>0</v>
      </c>
      <c r="DR30" s="390" t="str">
        <f t="array" ref="DR30">IFERROR(IF(AND(INDEX($E$8:$CE$57, MATCH($C30, $C$8:$C$57, 0), (COLUMNS($DC30:DR30)-1)*5 + 1) = INDEX($E$5:$CE$5, 1, (COLUMNS($DC30:DR30)-1)*5 + 1), INDEX($E$8:$CE$57, MATCH($C30, $C$8:$C$57, 0), (COLUMNS($DC30:DR30)-1)*5 + 4) = "F"), INDEX($CZ$8:$CZ$23, COLUMNS($DC30:DR30)), "0"), "")</f>
        <v>0</v>
      </c>
      <c r="DT30" s="537" t="str">
        <f>BASE01[[#This Row],[COD]]</f>
        <v>COD 23</v>
      </c>
      <c r="DU30" s="390" t="str">
        <f t="array" ref="DU30">IFERROR(IF(AND(INDEX($E$8:$CE$57, MATCH($C30, $C$8:$C$57, 0), (COLUMNS($DU30:DU30)-1)*5 + 1) = INDEX($E$5:$CE$5, 1, (COLUMNS($DU30:DU30)-1)*5 + 1), INDEX($E$8:$CE$57, MATCH($C30, $C$8:$C$57, 0), (COLUMNS($DU30:DU30)-1)*5 + 4) = "SF"), INDEX($CZ$8:$CZ$23, COLUMNS($DU30:DU30)), "0"), "")</f>
        <v>0</v>
      </c>
      <c r="DV30" s="390" t="str">
        <f t="array" ref="DV30">IFERROR(IF(AND(INDEX($E$8:$CE$57, MATCH($C30, $C$8:$C$57, 0), (COLUMNS($DU30:DV30)-1)*5 + 1) = INDEX($E$5:$CE$5, 1, (COLUMNS($DU30:DV30)-1)*5 + 1), INDEX($E$8:$CE$57, MATCH($C30, $C$8:$C$57, 0), (COLUMNS($DU30:DV30)-1)*5 + 4) = "SF"), INDEX($CZ$8:$CZ$23, COLUMNS($DU30:DV30)), "0"), "")</f>
        <v>0</v>
      </c>
      <c r="DW30" s="390" t="str">
        <f t="array" ref="DW30">IFERROR(IF(AND(INDEX($E$8:$CE$57, MATCH($C30, $C$8:$C$57, 0), (COLUMNS($DU30:DW30)-1)*5 + 1) = INDEX($E$5:$CE$5, 1, (COLUMNS($DU30:DW30)-1)*5 + 1), INDEX($E$8:$CE$57, MATCH($C30, $C$8:$C$57, 0), (COLUMNS($DU30:DW30)-1)*5 + 4) = "SF"), INDEX($CZ$8:$CZ$23, COLUMNS($DU30:DW30)), "0"), "")</f>
        <v>0</v>
      </c>
      <c r="DX30" s="390">
        <f t="array" ref="DX30">IFERROR(IF(AND(INDEX($E$8:$CE$57, MATCH($C30, $C$8:$C$57, 0), (COLUMNS($DU30:DX30)-1)*5 + 1) = INDEX($E$5:$CE$5, 1, (COLUMNS($DU30:DX30)-1)*5 + 1), INDEX($E$8:$CE$57, MATCH($C30, $C$8:$C$57, 0), (COLUMNS($DU30:DX30)-1)*5 + 4) = "SF"), INDEX($CZ$8:$CZ$23, COLUMNS($DU30:DX30)), "0"), "")</f>
        <v>110</v>
      </c>
      <c r="DY30" s="390" t="str">
        <f t="array" ref="DY30">IFERROR(IF(AND(INDEX($E$8:$CE$57, MATCH($C30, $C$8:$C$57, 0), (COLUMNS($DU30:DY30)-1)*5 + 1) = INDEX($E$5:$CE$5, 1, (COLUMNS($DU30:DY30)-1)*5 + 1), INDEX($E$8:$CE$57, MATCH($C30, $C$8:$C$57, 0), (COLUMNS($DU30:DY30)-1)*5 + 4) = "SF"), INDEX($CZ$8:$CZ$23, COLUMNS($DU30:DY30)), "0"), "")</f>
        <v>0</v>
      </c>
      <c r="DZ30" s="390" t="str">
        <f t="array" ref="DZ30">IFERROR(IF(AND(INDEX($E$8:$CE$57, MATCH($C30, $C$8:$C$57, 0), (COLUMNS($DU30:DZ30)-1)*5 + 1) = INDEX($E$5:$CE$5, 1, (COLUMNS($DU30:DZ30)-1)*5 + 1), INDEX($E$8:$CE$57, MATCH($C30, $C$8:$C$57, 0), (COLUMNS($DU30:DZ30)-1)*5 + 4) = "SF"), INDEX($CZ$8:$CZ$23, COLUMNS($DU30:DZ30)), "0"), "")</f>
        <v>0</v>
      </c>
      <c r="EA30" s="390" t="str">
        <f t="array" ref="EA30">IFERROR(IF(AND(INDEX($E$8:$CE$57, MATCH($C30, $C$8:$C$57, 0), (COLUMNS($DU30:EA30)-1)*5 + 1) = INDEX($E$5:$CE$5, 1, (COLUMNS($DU30:EA30)-1)*5 + 1), INDEX($E$8:$CE$57, MATCH($C30, $C$8:$C$57, 0), (COLUMNS($DU30:EA30)-1)*5 + 4) = "SF"), INDEX($CZ$8:$CZ$23, COLUMNS($DU30:EA30)), "0"), "")</f>
        <v>0</v>
      </c>
      <c r="EB30" s="390" t="str">
        <f t="array" ref="EB30">IFERROR(IF(AND(INDEX($E$8:$CE$57, MATCH($C30, $C$8:$C$57, 0), (COLUMNS($DU30:EB30)-1)*5 + 1) = INDEX($E$5:$CE$5, 1, (COLUMNS($DU30:EB30)-1)*5 + 1), INDEX($E$8:$CE$57, MATCH($C30, $C$8:$C$57, 0), (COLUMNS($DU30:EB30)-1)*5 + 4) = "SF"), INDEX($CZ$8:$CZ$23, COLUMNS($DU30:EB30)), "0"), "")</f>
        <v>0</v>
      </c>
      <c r="EC30" s="390" t="str">
        <f t="array" ref="EC30">IFERROR(IF(AND(INDEX($E$8:$CE$57, MATCH($C30, $C$8:$C$57, 0), (COLUMNS($DU30:EC30)-1)*5 + 1) = INDEX($E$5:$CE$5, 1, (COLUMNS($DU30:EC30)-1)*5 + 1), INDEX($E$8:$CE$57, MATCH($C30, $C$8:$C$57, 0), (COLUMNS($DU30:EC30)-1)*5 + 4) = "SF"), INDEX($CZ$8:$CZ$23, COLUMNS($DU30:EC30)), "0"), "")</f>
        <v>0</v>
      </c>
      <c r="ED30" s="390" t="str">
        <f t="array" ref="ED30">IFERROR(IF(AND(INDEX($E$8:$CE$57, MATCH($C30, $C$8:$C$57, 0), (COLUMNS($DU30:ED30)-1)*5 + 1) = INDEX($E$5:$CE$5, 1, (COLUMNS($DU30:ED30)-1)*5 + 1), INDEX($E$8:$CE$57, MATCH($C30, $C$8:$C$57, 0), (COLUMNS($DU30:ED30)-1)*5 + 4) = "SF"), INDEX($CZ$8:$CZ$23, COLUMNS($DU30:ED30)), "0"), "")</f>
        <v>0</v>
      </c>
      <c r="EE30" s="390" t="str">
        <f t="array" ref="EE30">IFERROR(IF(AND(INDEX($E$8:$CE$57, MATCH($C30, $C$8:$C$57, 0), (COLUMNS($DU30:EE30)-1)*5 + 1) = INDEX($E$5:$CE$5, 1, (COLUMNS($DU30:EE30)-1)*5 + 1), INDEX($E$8:$CE$57, MATCH($C30, $C$8:$C$57, 0), (COLUMNS($DU30:EE30)-1)*5 + 4) = "SF"), INDEX($CZ$8:$CZ$23, COLUMNS($DU30:EE30)), "0"), "")</f>
        <v>0</v>
      </c>
      <c r="EF30" s="390" t="str">
        <f t="array" ref="EF30">IFERROR(IF(AND(INDEX($E$8:$CE$57, MATCH($C30, $C$8:$C$57, 0), (COLUMNS($DU30:EF30)-1)*5 + 1) = INDEX($E$5:$CE$5, 1, (COLUMNS($DU30:EF30)-1)*5 + 1), INDEX($E$8:$CE$57, MATCH($C30, $C$8:$C$57, 0), (COLUMNS($DU30:EF30)-1)*5 + 4) = "SF"), INDEX($CZ$8:$CZ$23, COLUMNS($DU30:EF30)), "0"), "")</f>
        <v>0</v>
      </c>
      <c r="EG30" s="390" t="str">
        <f t="array" ref="EG30">IFERROR(IF(AND(INDEX($E$8:$CE$57, MATCH($C30, $C$8:$C$57, 0), (COLUMNS($DU30:EG30)-1)*5 + 1) = INDEX($E$5:$CE$5, 1, (COLUMNS($DU30:EG30)-1)*5 + 1), INDEX($E$8:$CE$57, MATCH($C30, $C$8:$C$57, 0), (COLUMNS($DU30:EG30)-1)*5 + 4) = "SF"), INDEX($CZ$8:$CZ$23, COLUMNS($DU30:EG30)), "0"), "")</f>
        <v>0</v>
      </c>
      <c r="EH30" s="390" t="str">
        <f t="array" ref="EH30">IFERROR(IF(AND(INDEX($E$8:$CE$57, MATCH($C30, $C$8:$C$57, 0), (COLUMNS($DU30:EH30)-1)*5 + 1) = INDEX($E$5:$CE$5, 1, (COLUMNS($DU30:EH30)-1)*5 + 1), INDEX($E$8:$CE$57, MATCH($C30, $C$8:$C$57, 0), (COLUMNS($DU30:EH30)-1)*5 + 4) = "SF"), INDEX($CZ$8:$CZ$23, COLUMNS($DU30:EH30)), "0"), "")</f>
        <v>0</v>
      </c>
      <c r="EI30" s="390" t="str">
        <f t="array" ref="EI30">IFERROR(IF(AND(INDEX($E$8:$CE$57, MATCH($C30, $C$8:$C$57, 0), (COLUMNS($DU30:EI30)-1)*5 + 1) = INDEX($E$5:$CE$5, 1, (COLUMNS($DU30:EI30)-1)*5 + 1), INDEX($E$8:$CE$57, MATCH($C30, $C$8:$C$57, 0), (COLUMNS($DU30:EI30)-1)*5 + 4) = "SF"), INDEX($CZ$8:$CZ$23, COLUMNS($DU30:EI30)), "0"), "")</f>
        <v>0</v>
      </c>
      <c r="EJ30" s="390" t="str">
        <f t="array" ref="EJ30">IFERROR(IF(AND(INDEX($E$8:$CE$57, MATCH($C30, $C$8:$C$57, 0), (COLUMNS($DU30:EJ30)-1)*5 + 1) = INDEX($E$5:$CE$5, 1, (COLUMNS($DU30:EJ30)-1)*5 + 1), INDEX($E$8:$CE$57, MATCH($C30, $C$8:$C$57, 0), (COLUMNS($DU30:EJ30)-1)*5 + 4) = "SF"), INDEX($CZ$8:$CZ$23, COLUMNS($DU30:EJ30)), "0"), "")</f>
        <v>0</v>
      </c>
    </row>
    <row r="31" spans="1:140" ht="19.5" customHeight="1" x14ac:dyDescent="0.35">
      <c r="A31" s="515"/>
      <c r="B31" s="91">
        <f>IF(BASE01[[#This Row],[COD]]&lt;&gt;"",B30+1,"")</f>
        <v>24</v>
      </c>
      <c r="C31" s="533" t="s">
        <v>79</v>
      </c>
      <c r="D31" s="92" t="str">
        <f t="array" ref="D31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NO ENVIÓ</v>
      </c>
      <c r="E31" s="143">
        <v>1</v>
      </c>
      <c r="F31" s="144">
        <v>6</v>
      </c>
      <c r="G31" s="144">
        <v>2</v>
      </c>
      <c r="H31" s="144"/>
      <c r="I31" s="534">
        <f t="shared" si="0"/>
        <v>0</v>
      </c>
      <c r="J31" s="143">
        <v>2</v>
      </c>
      <c r="K31" s="144">
        <v>8</v>
      </c>
      <c r="L31" s="144">
        <v>7</v>
      </c>
      <c r="M31" s="144"/>
      <c r="N31" s="534">
        <f t="shared" si="1"/>
        <v>0</v>
      </c>
      <c r="O31" s="143">
        <v>5</v>
      </c>
      <c r="P31" s="144">
        <v>3</v>
      </c>
      <c r="Q31" s="144">
        <v>8</v>
      </c>
      <c r="R31" s="144"/>
      <c r="S31" s="534">
        <f t="shared" si="2"/>
        <v>0</v>
      </c>
      <c r="T31" s="143">
        <v>6</v>
      </c>
      <c r="U31" s="144">
        <v>8</v>
      </c>
      <c r="V31" s="144">
        <v>2</v>
      </c>
      <c r="W31" s="144" t="s">
        <v>254</v>
      </c>
      <c r="X31" s="534">
        <f t="shared" si="3"/>
        <v>4.5</v>
      </c>
      <c r="Y31" s="143">
        <v>5</v>
      </c>
      <c r="Z31" s="144"/>
      <c r="AA31" s="144"/>
      <c r="AB31" s="144" t="s">
        <v>255</v>
      </c>
      <c r="AC31" s="534">
        <f t="shared" si="4"/>
        <v>7.5</v>
      </c>
      <c r="AD31" s="143">
        <v>2</v>
      </c>
      <c r="AE31" s="144">
        <v>7</v>
      </c>
      <c r="AF31" s="144">
        <v>3</v>
      </c>
      <c r="AG31" s="144"/>
      <c r="AH31" s="534">
        <f t="shared" si="5"/>
        <v>4</v>
      </c>
      <c r="AI31" s="143">
        <v>4</v>
      </c>
      <c r="AJ31" s="144">
        <v>7</v>
      </c>
      <c r="AK31" s="144">
        <v>1</v>
      </c>
      <c r="AL31" s="144"/>
      <c r="AM31" s="534">
        <f t="shared" si="6"/>
        <v>4</v>
      </c>
      <c r="AN31" s="143">
        <v>8</v>
      </c>
      <c r="AO31" s="144">
        <v>9</v>
      </c>
      <c r="AP31" s="144">
        <v>5</v>
      </c>
      <c r="AQ31" s="144"/>
      <c r="AR31" s="534">
        <f t="shared" si="7"/>
        <v>2</v>
      </c>
      <c r="AS31" s="143">
        <v>1</v>
      </c>
      <c r="AT31" s="144">
        <v>7</v>
      </c>
      <c r="AU31" s="144">
        <v>3</v>
      </c>
      <c r="AV31" s="144" t="s">
        <v>254</v>
      </c>
      <c r="AW31" s="534">
        <f t="shared" si="8"/>
        <v>0</v>
      </c>
      <c r="AX31" s="143">
        <v>3</v>
      </c>
      <c r="AY31" s="144">
        <v>1</v>
      </c>
      <c r="AZ31" s="144">
        <v>9</v>
      </c>
      <c r="BA31" s="144"/>
      <c r="BB31" s="534">
        <f t="shared" si="9"/>
        <v>2</v>
      </c>
      <c r="BC31" s="143">
        <v>2</v>
      </c>
      <c r="BD31" s="144">
        <v>4</v>
      </c>
      <c r="BE31" s="144">
        <v>6</v>
      </c>
      <c r="BF31" s="144"/>
      <c r="BG31" s="534">
        <f t="shared" si="10"/>
        <v>2</v>
      </c>
      <c r="BH31" s="143">
        <v>1</v>
      </c>
      <c r="BI31" s="144">
        <v>5</v>
      </c>
      <c r="BJ31" s="144">
        <v>6</v>
      </c>
      <c r="BK31" s="144"/>
      <c r="BL31" s="534">
        <f t="shared" si="11"/>
        <v>0</v>
      </c>
      <c r="BM31" s="143">
        <v>1</v>
      </c>
      <c r="BN31" s="144">
        <v>2</v>
      </c>
      <c r="BO31" s="144">
        <v>12</v>
      </c>
      <c r="BP31" s="144"/>
      <c r="BQ31" s="534">
        <f t="shared" si="12"/>
        <v>0</v>
      </c>
      <c r="BR31" s="143"/>
      <c r="BS31" s="144"/>
      <c r="BT31" s="144"/>
      <c r="BU31" s="144"/>
      <c r="BV31" s="534">
        <f t="shared" si="13"/>
        <v>0</v>
      </c>
      <c r="BW31" s="143"/>
      <c r="BX31" s="144"/>
      <c r="BY31" s="144"/>
      <c r="BZ31" s="144"/>
      <c r="CA31" s="534">
        <f t="shared" si="14"/>
        <v>0</v>
      </c>
      <c r="CB31" s="143"/>
      <c r="CC31" s="144"/>
      <c r="CD31" s="144"/>
      <c r="CE31" s="144"/>
      <c r="CF31" s="534">
        <f t="shared" si="15"/>
        <v>0</v>
      </c>
      <c r="CG31" s="162">
        <f>IF(BASE01[[#This Row],[1]]="",0,$B$4)</f>
        <v>13</v>
      </c>
      <c r="CH31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4</v>
      </c>
      <c r="CI31" s="164">
        <f>IF(BASE01[[#This Row],[Columna14]]=0,0,(CH31/CG31))</f>
        <v>0.30769230769230771</v>
      </c>
      <c r="CJ31" s="163">
        <f>IF(BASE01[[#This Row],[1]]="",0,$B$4)</f>
        <v>13</v>
      </c>
      <c r="CK31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6</v>
      </c>
      <c r="CL31" s="164">
        <f>IF(BASE01[[#This Row],[Columna14]]=0,0,(CK31/CJ31))</f>
        <v>0.46153846153846156</v>
      </c>
      <c r="CM31" s="162">
        <f>IF(BASE01[[#This Row],[1]]="",0,$B$4)</f>
        <v>13</v>
      </c>
      <c r="CN31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7</v>
      </c>
      <c r="CO31" s="164">
        <f>IF(BASE01[[#This Row],[Columna14]]=0,0,(CN31/CM31))</f>
        <v>0.53846153846153844</v>
      </c>
      <c r="CP31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31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Row],[Columna25]],$AX$5,BA31,"SF")+COUNTIFS(BASE01[[#This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31" s="164">
        <f>IF(BASE01[[#This Row],[Columna14]]=0,0,(CQ31/CP31))</f>
        <v>0.66666666666666663</v>
      </c>
      <c r="CS31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26</v>
      </c>
      <c r="CT31" s="93"/>
      <c r="CU31" s="536">
        <f t="shared" si="16"/>
        <v>26</v>
      </c>
      <c r="CV31" s="94" t="str">
        <f>IF(BASE01[[#This Row],[TIPO]]="PREMIO",$O$3,"0,00")</f>
        <v>0,00</v>
      </c>
      <c r="CW31" s="515"/>
      <c r="CY31" s="538" t="str">
        <f t="shared" si="17"/>
        <v/>
      </c>
      <c r="CZ31" s="387"/>
      <c r="DA31" s="387" t="str">
        <f t="array" ref="DA31">IF(CZ31="", "", IF((INDEX(E$8:CE$57, MATCH(CZ31, C$8:C$57, 0), ($CZ$25-1)*5 + 1) &amp; "") = (INDEX(E$5:CE$5, 1, ($CZ$25-1)*5 + 1) &amp; ""), 1, IF((INDEX(E$8:CE$57, MATCH(CZ31, C$8:C$57, 0), ($CZ$25-1)*5 + 2) &amp; "") = (INDEX(E$5:CE$5, 1, ($CZ$25-1)*5 + 1) &amp; ""), 2, IF((INDEX(E$8:CE$57, MATCH(CZ31, C$8:C$57, 0), ($CZ$25-1)*5 + 3) &amp; "") = (INDEX(E$5:CE$5, 1, ($CZ$25-1)*5 + 1) &amp; ""), 3, ""))))</f>
        <v/>
      </c>
      <c r="DB31" s="537" t="str">
        <f>BASE01[[#This Row],[COD]]</f>
        <v>COD 24</v>
      </c>
      <c r="DC31" s="390" t="str">
        <f t="array" ref="DC31">IFERROR(IF(AND(INDEX($E$8:$CE$57, MATCH($C31, $C$8:$C$57, 0), (COLUMNS($DC31:DC31)-1)*5 + 1) = INDEX($E$5:$CE$5, 1, (COLUMNS($DC31:DC31)-1)*5 + 1), INDEX($E$8:$CE$57, MATCH($C31, $C$8:$C$57, 0), (COLUMNS($DC31:DC31)-1)*5 + 4) = "F"), INDEX($CZ$8:$CZ$23, COLUMNS($DC31:DC31)), "0"), "")</f>
        <v>0</v>
      </c>
      <c r="DD31" s="390" t="str">
        <f t="array" ref="DD31">IFERROR(IF(AND(INDEX($E$8:$CE$57, MATCH($C31, $C$8:$C$57, 0), (COLUMNS($DC31:DD31)-1)*5 + 1) = INDEX($E$5:$CE$5, 1, (COLUMNS($DC31:DD31)-1)*5 + 1), INDEX($E$8:$CE$57, MATCH($C31, $C$8:$C$57, 0), (COLUMNS($DC31:DD31)-1)*5 + 4) = "F"), INDEX($CZ$8:$CZ$23, COLUMNS($DC31:DD31)), "0"), "")</f>
        <v>0</v>
      </c>
      <c r="DE31" s="390" t="str">
        <f t="array" ref="DE31">IFERROR(IF(AND(INDEX($E$8:$CE$57, MATCH($C31, $C$8:$C$57, 0), (COLUMNS($DC31:DE31)-1)*5 + 1) = INDEX($E$5:$CE$5, 1, (COLUMNS($DC31:DE31)-1)*5 + 1), INDEX($E$8:$CE$57, MATCH($C31, $C$8:$C$57, 0), (COLUMNS($DC31:DE31)-1)*5 + 4) = "F"), INDEX($CZ$8:$CZ$23, COLUMNS($DC31:DE31)), "0"), "")</f>
        <v>0</v>
      </c>
      <c r="DF31" s="390">
        <f t="array" ref="DF31">IFERROR(IF(AND(INDEX($E$8:$CE$57, MATCH($C31, $C$8:$C$57, 0), (COLUMNS($DC31:DF31)-1)*5 + 1) = INDEX($E$5:$CE$5, 1, (COLUMNS($DC31:DF31)-1)*5 + 1), INDEX($E$8:$CE$57, MATCH($C31, $C$8:$C$57, 0), (COLUMNS($DC31:DF31)-1)*5 + 4) = "F"), INDEX($CZ$8:$CZ$23, COLUMNS($DC31:DF31)), "0"), "")</f>
        <v>110</v>
      </c>
      <c r="DG31" s="390" t="str">
        <f t="array" ref="DG31">IFERROR(IF(AND(INDEX($E$8:$CE$57, MATCH($C31, $C$8:$C$57, 0), (COLUMNS($DC31:DG31)-1)*5 + 1) = INDEX($E$5:$CE$5, 1, (COLUMNS($DC31:DG31)-1)*5 + 1), INDEX($E$8:$CE$57, MATCH($C31, $C$8:$C$57, 0), (COLUMNS($DC31:DG31)-1)*5 + 4) = "F"), INDEX($CZ$8:$CZ$23, COLUMNS($DC31:DG31)), "0"), "")</f>
        <v>0</v>
      </c>
      <c r="DH31" s="390" t="str">
        <f t="array" ref="DH31">IFERROR(IF(AND(INDEX($E$8:$CE$57, MATCH($C31, $C$8:$C$57, 0), (COLUMNS($DC31:DH31)-1)*5 + 1) = INDEX($E$5:$CE$5, 1, (COLUMNS($DC31:DH31)-1)*5 + 1), INDEX($E$8:$CE$57, MATCH($C31, $C$8:$C$57, 0), (COLUMNS($DC31:DH31)-1)*5 + 4) = "F"), INDEX($CZ$8:$CZ$23, COLUMNS($DC31:DH31)), "0"), "")</f>
        <v>0</v>
      </c>
      <c r="DI31" s="390" t="str">
        <f t="array" ref="DI31">IFERROR(IF(AND(INDEX($E$8:$CE$57, MATCH($C31, $C$8:$C$57, 0), (COLUMNS($DC31:DI31)-1)*5 + 1) = INDEX($E$5:$CE$5, 1, (COLUMNS($DC31:DI31)-1)*5 + 1), INDEX($E$8:$CE$57, MATCH($C31, $C$8:$C$57, 0), (COLUMNS($DC31:DI31)-1)*5 + 4) = "F"), INDEX($CZ$8:$CZ$23, COLUMNS($DC31:DI31)), "0"), "")</f>
        <v>0</v>
      </c>
      <c r="DJ31" s="390" t="str">
        <f t="array" ref="DJ31">IFERROR(IF(AND(INDEX($E$8:$CE$57, MATCH($C31, $C$8:$C$57, 0), (COLUMNS($DC31:DJ31)-1)*5 + 1) = INDEX($E$5:$CE$5, 1, (COLUMNS($DC31:DJ31)-1)*5 + 1), INDEX($E$8:$CE$57, MATCH($C31, $C$8:$C$57, 0), (COLUMNS($DC31:DJ31)-1)*5 + 4) = "F"), INDEX($CZ$8:$CZ$23, COLUMNS($DC31:DJ31)), "0"), "")</f>
        <v>0</v>
      </c>
      <c r="DK31" s="390" t="str">
        <f t="array" ref="DK31">IFERROR(IF(AND(INDEX($E$8:$CE$57, MATCH($C31, $C$8:$C$57, 0), (COLUMNS($DC31:DK31)-1)*5 + 1) = INDEX($E$5:$CE$5, 1, (COLUMNS($DC31:DK31)-1)*5 + 1), INDEX($E$8:$CE$57, MATCH($C31, $C$8:$C$57, 0), (COLUMNS($DC31:DK31)-1)*5 + 4) = "F"), INDEX($CZ$8:$CZ$23, COLUMNS($DC31:DK31)), "0"), "")</f>
        <v>0</v>
      </c>
      <c r="DL31" s="390" t="str">
        <f t="array" ref="DL31">IFERROR(IF(AND(INDEX($E$8:$CE$57, MATCH($C31, $C$8:$C$57, 0), (COLUMNS($DC31:DL31)-1)*5 + 1) = INDEX($E$5:$CE$5, 1, (COLUMNS($DC31:DL31)-1)*5 + 1), INDEX($E$8:$CE$57, MATCH($C31, $C$8:$C$57, 0), (COLUMNS($DC31:DL31)-1)*5 + 4) = "F"), INDEX($CZ$8:$CZ$23, COLUMNS($DC31:DL31)), "0"), "")</f>
        <v>0</v>
      </c>
      <c r="DM31" s="390" t="str">
        <f t="array" ref="DM31">IFERROR(IF(AND(INDEX($E$8:$CE$57, MATCH($C31, $C$8:$C$57, 0), (COLUMNS($DC31:DM31)-1)*5 + 1) = INDEX($E$5:$CE$5, 1, (COLUMNS($DC31:DM31)-1)*5 + 1), INDEX($E$8:$CE$57, MATCH($C31, $C$8:$C$57, 0), (COLUMNS($DC31:DM31)-1)*5 + 4) = "F"), INDEX($CZ$8:$CZ$23, COLUMNS($DC31:DM31)), "0"), "")</f>
        <v>0</v>
      </c>
      <c r="DN31" s="390" t="str">
        <f t="array" ref="DN31">IFERROR(IF(AND(INDEX($E$8:$CE$57, MATCH($C31, $C$8:$C$57, 0), (COLUMNS($DC31:DN31)-1)*5 + 1) = INDEX($E$5:$CE$5, 1, (COLUMNS($DC31:DN31)-1)*5 + 1), INDEX($E$8:$CE$57, MATCH($C31, $C$8:$C$57, 0), (COLUMNS($DC31:DN31)-1)*5 + 4) = "F"), INDEX($CZ$8:$CZ$23, COLUMNS($DC31:DN31)), "0"), "")</f>
        <v>0</v>
      </c>
      <c r="DO31" s="390" t="str">
        <f t="array" ref="DO31">IFERROR(IF(AND(INDEX($E$8:$CE$57, MATCH($C31, $C$8:$C$57, 0), (COLUMNS($DC31:DO31)-1)*5 + 1) = INDEX($E$5:$CE$5, 1, (COLUMNS($DC31:DO31)-1)*5 + 1), INDEX($E$8:$CE$57, MATCH($C31, $C$8:$C$57, 0), (COLUMNS($DC31:DO31)-1)*5 + 4) = "F"), INDEX($CZ$8:$CZ$23, COLUMNS($DC31:DO31)), "0"), "")</f>
        <v>0</v>
      </c>
      <c r="DP31" s="390" t="str">
        <f t="array" ref="DP31">IFERROR(IF(AND(INDEX($E$8:$CE$57, MATCH($C31, $C$8:$C$57, 0), (COLUMNS($DC31:DP31)-1)*5 + 1) = INDEX($E$5:$CE$5, 1, (COLUMNS($DC31:DP31)-1)*5 + 1), INDEX($E$8:$CE$57, MATCH($C31, $C$8:$C$57, 0), (COLUMNS($DC31:DP31)-1)*5 + 4) = "F"), INDEX($CZ$8:$CZ$23, COLUMNS($DC31:DP31)), "0"), "")</f>
        <v>0</v>
      </c>
      <c r="DQ31" s="390" t="str">
        <f t="array" ref="DQ31">IFERROR(IF(AND(INDEX($E$8:$CE$57, MATCH($C31, $C$8:$C$57, 0), (COLUMNS($DC31:DQ31)-1)*5 + 1) = INDEX($E$5:$CE$5, 1, (COLUMNS($DC31:DQ31)-1)*5 + 1), INDEX($E$8:$CE$57, MATCH($C31, $C$8:$C$57, 0), (COLUMNS($DC31:DQ31)-1)*5 + 4) = "F"), INDEX($CZ$8:$CZ$23, COLUMNS($DC31:DQ31)), "0"), "")</f>
        <v>0</v>
      </c>
      <c r="DR31" s="390" t="str">
        <f t="array" ref="DR31">IFERROR(IF(AND(INDEX($E$8:$CE$57, MATCH($C31, $C$8:$C$57, 0), (COLUMNS($DC31:DR31)-1)*5 + 1) = INDEX($E$5:$CE$5, 1, (COLUMNS($DC31:DR31)-1)*5 + 1), INDEX($E$8:$CE$57, MATCH($C31, $C$8:$C$57, 0), (COLUMNS($DC31:DR31)-1)*5 + 4) = "F"), INDEX($CZ$8:$CZ$23, COLUMNS($DC31:DR31)), "0"), "")</f>
        <v>0</v>
      </c>
      <c r="DT31" s="537" t="str">
        <f>BASE01[[#This Row],[COD]]</f>
        <v>COD 24</v>
      </c>
      <c r="DU31" s="390" t="str">
        <f t="array" ref="DU31">IFERROR(IF(AND(INDEX($E$8:$CE$57, MATCH($C31, $C$8:$C$57, 0), (COLUMNS($DU31:DU31)-1)*5 + 1) = INDEX($E$5:$CE$5, 1, (COLUMNS($DU31:DU31)-1)*5 + 1), INDEX($E$8:$CE$57, MATCH($C31, $C$8:$C$57, 0), (COLUMNS($DU31:DU31)-1)*5 + 4) = "SF"), INDEX($CZ$8:$CZ$23, COLUMNS($DU31:DU31)), "0"), "")</f>
        <v>0</v>
      </c>
      <c r="DV31" s="390" t="str">
        <f t="array" ref="DV31">IFERROR(IF(AND(INDEX($E$8:$CE$57, MATCH($C31, $C$8:$C$57, 0), (COLUMNS($DU31:DV31)-1)*5 + 1) = INDEX($E$5:$CE$5, 1, (COLUMNS($DU31:DV31)-1)*5 + 1), INDEX($E$8:$CE$57, MATCH($C31, $C$8:$C$57, 0), (COLUMNS($DU31:DV31)-1)*5 + 4) = "SF"), INDEX($CZ$8:$CZ$23, COLUMNS($DU31:DV31)), "0"), "")</f>
        <v>0</v>
      </c>
      <c r="DW31" s="390" t="str">
        <f t="array" ref="DW31">IFERROR(IF(AND(INDEX($E$8:$CE$57, MATCH($C31, $C$8:$C$57, 0), (COLUMNS($DU31:DW31)-1)*5 + 1) = INDEX($E$5:$CE$5, 1, (COLUMNS($DU31:DW31)-1)*5 + 1), INDEX($E$8:$CE$57, MATCH($C31, $C$8:$C$57, 0), (COLUMNS($DU31:DW31)-1)*5 + 4) = "SF"), INDEX($CZ$8:$CZ$23, COLUMNS($DU31:DW31)), "0"), "")</f>
        <v>0</v>
      </c>
      <c r="DX31" s="390" t="str">
        <f t="array" ref="DX31">IFERROR(IF(AND(INDEX($E$8:$CE$57, MATCH($C31, $C$8:$C$57, 0), (COLUMNS($DU31:DX31)-1)*5 + 1) = INDEX($E$5:$CE$5, 1, (COLUMNS($DU31:DX31)-1)*5 + 1), INDEX($E$8:$CE$57, MATCH($C31, $C$8:$C$57, 0), (COLUMNS($DU31:DX31)-1)*5 + 4) = "SF"), INDEX($CZ$8:$CZ$23, COLUMNS($DU31:DX31)), "0"), "")</f>
        <v>0</v>
      </c>
      <c r="DY31" s="390">
        <f t="array" ref="DY31">IFERROR(IF(AND(INDEX($E$8:$CE$57, MATCH($C31, $C$8:$C$57, 0), (COLUMNS($DU31:DY31)-1)*5 + 1) = INDEX($E$5:$CE$5, 1, (COLUMNS($DU31:DY31)-1)*5 + 1), INDEX($E$8:$CE$57, MATCH($C31, $C$8:$C$57, 0), (COLUMNS($DU31:DY31)-1)*5 + 4) = "SF"), INDEX($CZ$8:$CZ$23, COLUMNS($DU31:DY31)), "0"), "")</f>
        <v>110</v>
      </c>
      <c r="DZ31" s="390" t="str">
        <f t="array" ref="DZ31">IFERROR(IF(AND(INDEX($E$8:$CE$57, MATCH($C31, $C$8:$C$57, 0), (COLUMNS($DU31:DZ31)-1)*5 + 1) = INDEX($E$5:$CE$5, 1, (COLUMNS($DU31:DZ31)-1)*5 + 1), INDEX($E$8:$CE$57, MATCH($C31, $C$8:$C$57, 0), (COLUMNS($DU31:DZ31)-1)*5 + 4) = "SF"), INDEX($CZ$8:$CZ$23, COLUMNS($DU31:DZ31)), "0"), "")</f>
        <v>0</v>
      </c>
      <c r="EA31" s="390" t="str">
        <f t="array" ref="EA31">IFERROR(IF(AND(INDEX($E$8:$CE$57, MATCH($C31, $C$8:$C$57, 0), (COLUMNS($DU31:EA31)-1)*5 + 1) = INDEX($E$5:$CE$5, 1, (COLUMNS($DU31:EA31)-1)*5 + 1), INDEX($E$8:$CE$57, MATCH($C31, $C$8:$C$57, 0), (COLUMNS($DU31:EA31)-1)*5 + 4) = "SF"), INDEX($CZ$8:$CZ$23, COLUMNS($DU31:EA31)), "0"), "")</f>
        <v>0</v>
      </c>
      <c r="EB31" s="390" t="str">
        <f t="array" ref="EB31">IFERROR(IF(AND(INDEX($E$8:$CE$57, MATCH($C31, $C$8:$C$57, 0), (COLUMNS($DU31:EB31)-1)*5 + 1) = INDEX($E$5:$CE$5, 1, (COLUMNS($DU31:EB31)-1)*5 + 1), INDEX($E$8:$CE$57, MATCH($C31, $C$8:$C$57, 0), (COLUMNS($DU31:EB31)-1)*5 + 4) = "SF"), INDEX($CZ$8:$CZ$23, COLUMNS($DU31:EB31)), "0"), "")</f>
        <v>0</v>
      </c>
      <c r="EC31" s="390" t="str">
        <f t="array" ref="EC31">IFERROR(IF(AND(INDEX($E$8:$CE$57, MATCH($C31, $C$8:$C$57, 0), (COLUMNS($DU31:EC31)-1)*5 + 1) = INDEX($E$5:$CE$5, 1, (COLUMNS($DU31:EC31)-1)*5 + 1), INDEX($E$8:$CE$57, MATCH($C31, $C$8:$C$57, 0), (COLUMNS($DU31:EC31)-1)*5 + 4) = "SF"), INDEX($CZ$8:$CZ$23, COLUMNS($DU31:EC31)), "0"), "")</f>
        <v>0</v>
      </c>
      <c r="ED31" s="390" t="str">
        <f t="array" ref="ED31">IFERROR(IF(AND(INDEX($E$8:$CE$57, MATCH($C31, $C$8:$C$57, 0), (COLUMNS($DU31:ED31)-1)*5 + 1) = INDEX($E$5:$CE$5, 1, (COLUMNS($DU31:ED31)-1)*5 + 1), INDEX($E$8:$CE$57, MATCH($C31, $C$8:$C$57, 0), (COLUMNS($DU31:ED31)-1)*5 + 4) = "SF"), INDEX($CZ$8:$CZ$23, COLUMNS($DU31:ED31)), "0"), "")</f>
        <v>0</v>
      </c>
      <c r="EE31" s="390" t="str">
        <f t="array" ref="EE31">IFERROR(IF(AND(INDEX($E$8:$CE$57, MATCH($C31, $C$8:$C$57, 0), (COLUMNS($DU31:EE31)-1)*5 + 1) = INDEX($E$5:$CE$5, 1, (COLUMNS($DU31:EE31)-1)*5 + 1), INDEX($E$8:$CE$57, MATCH($C31, $C$8:$C$57, 0), (COLUMNS($DU31:EE31)-1)*5 + 4) = "SF"), INDEX($CZ$8:$CZ$23, COLUMNS($DU31:EE31)), "0"), "")</f>
        <v>0</v>
      </c>
      <c r="EF31" s="390" t="str">
        <f t="array" ref="EF31">IFERROR(IF(AND(INDEX($E$8:$CE$57, MATCH($C31, $C$8:$C$57, 0), (COLUMNS($DU31:EF31)-1)*5 + 1) = INDEX($E$5:$CE$5, 1, (COLUMNS($DU31:EF31)-1)*5 + 1), INDEX($E$8:$CE$57, MATCH($C31, $C$8:$C$57, 0), (COLUMNS($DU31:EF31)-1)*5 + 4) = "SF"), INDEX($CZ$8:$CZ$23, COLUMNS($DU31:EF31)), "0"), "")</f>
        <v>0</v>
      </c>
      <c r="EG31" s="390" t="str">
        <f t="array" ref="EG31">IFERROR(IF(AND(INDEX($E$8:$CE$57, MATCH($C31, $C$8:$C$57, 0), (COLUMNS($DU31:EG31)-1)*5 + 1) = INDEX($E$5:$CE$5, 1, (COLUMNS($DU31:EG31)-1)*5 + 1), INDEX($E$8:$CE$57, MATCH($C31, $C$8:$C$57, 0), (COLUMNS($DU31:EG31)-1)*5 + 4) = "SF"), INDEX($CZ$8:$CZ$23, COLUMNS($DU31:EG31)), "0"), "")</f>
        <v>0</v>
      </c>
      <c r="EH31" s="390" t="str">
        <f t="array" ref="EH31">IFERROR(IF(AND(INDEX($E$8:$CE$57, MATCH($C31, $C$8:$C$57, 0), (COLUMNS($DU31:EH31)-1)*5 + 1) = INDEX($E$5:$CE$5, 1, (COLUMNS($DU31:EH31)-1)*5 + 1), INDEX($E$8:$CE$57, MATCH($C31, $C$8:$C$57, 0), (COLUMNS($DU31:EH31)-1)*5 + 4) = "SF"), INDEX($CZ$8:$CZ$23, COLUMNS($DU31:EH31)), "0"), "")</f>
        <v>0</v>
      </c>
      <c r="EI31" s="390" t="str">
        <f t="array" ref="EI31">IFERROR(IF(AND(INDEX($E$8:$CE$57, MATCH($C31, $C$8:$C$57, 0), (COLUMNS($DU31:EI31)-1)*5 + 1) = INDEX($E$5:$CE$5, 1, (COLUMNS($DU31:EI31)-1)*5 + 1), INDEX($E$8:$CE$57, MATCH($C31, $C$8:$C$57, 0), (COLUMNS($DU31:EI31)-1)*5 + 4) = "SF"), INDEX($CZ$8:$CZ$23, COLUMNS($DU31:EI31)), "0"), "")</f>
        <v>0</v>
      </c>
      <c r="EJ31" s="390" t="str">
        <f t="array" ref="EJ31">IFERROR(IF(AND(INDEX($E$8:$CE$57, MATCH($C31, $C$8:$C$57, 0), (COLUMNS($DU31:EJ31)-1)*5 + 1) = INDEX($E$5:$CE$5, 1, (COLUMNS($DU31:EJ31)-1)*5 + 1), INDEX($E$8:$CE$57, MATCH($C31, $C$8:$C$57, 0), (COLUMNS($DU31:EJ31)-1)*5 + 4) = "SF"), INDEX($CZ$8:$CZ$23, COLUMNS($DU31:EJ31)), "0"), "")</f>
        <v>0</v>
      </c>
    </row>
    <row r="32" spans="1:140" ht="19.5" customHeight="1" x14ac:dyDescent="0.35">
      <c r="A32" s="515"/>
      <c r="B32" s="91">
        <f>IF(BASE01[[#This Row],[COD]]&lt;&gt;"",B31+1,"")</f>
        <v>25</v>
      </c>
      <c r="C32" s="533" t="s">
        <v>80</v>
      </c>
      <c r="D32" s="92" t="str">
        <f t="array" ref="D32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NO ENVIÓ</v>
      </c>
      <c r="E32" s="143">
        <v>8</v>
      </c>
      <c r="F32" s="144">
        <v>6</v>
      </c>
      <c r="G32" s="144">
        <v>1</v>
      </c>
      <c r="H32" s="144"/>
      <c r="I32" s="534">
        <f t="shared" si="0"/>
        <v>5</v>
      </c>
      <c r="J32" s="143">
        <v>8</v>
      </c>
      <c r="K32" s="144">
        <v>3</v>
      </c>
      <c r="L32" s="144">
        <v>5</v>
      </c>
      <c r="M32" s="144"/>
      <c r="N32" s="534">
        <f t="shared" si="1"/>
        <v>4</v>
      </c>
      <c r="O32" s="143">
        <v>2</v>
      </c>
      <c r="P32" s="144">
        <v>8</v>
      </c>
      <c r="Q32" s="144">
        <v>6</v>
      </c>
      <c r="R32" s="144"/>
      <c r="S32" s="534">
        <f t="shared" si="2"/>
        <v>1</v>
      </c>
      <c r="T32" s="143">
        <v>6</v>
      </c>
      <c r="U32" s="144"/>
      <c r="V32" s="144"/>
      <c r="W32" s="144" t="s">
        <v>255</v>
      </c>
      <c r="X32" s="534">
        <f t="shared" si="3"/>
        <v>7.5</v>
      </c>
      <c r="Y32" s="143">
        <v>5</v>
      </c>
      <c r="Z32" s="144">
        <v>3</v>
      </c>
      <c r="AA32" s="144">
        <v>10</v>
      </c>
      <c r="AB32" s="144" t="s">
        <v>254</v>
      </c>
      <c r="AC32" s="534">
        <f t="shared" si="4"/>
        <v>4.5</v>
      </c>
      <c r="AD32" s="143">
        <v>2</v>
      </c>
      <c r="AE32" s="144">
        <v>5</v>
      </c>
      <c r="AF32" s="144">
        <v>7</v>
      </c>
      <c r="AG32" s="144"/>
      <c r="AH32" s="534">
        <f t="shared" si="5"/>
        <v>7</v>
      </c>
      <c r="AI32" s="143">
        <v>4</v>
      </c>
      <c r="AJ32" s="144">
        <v>3</v>
      </c>
      <c r="AK32" s="144">
        <v>7</v>
      </c>
      <c r="AL32" s="144"/>
      <c r="AM32" s="534">
        <f t="shared" si="6"/>
        <v>5</v>
      </c>
      <c r="AN32" s="143">
        <v>11</v>
      </c>
      <c r="AO32" s="144">
        <v>9</v>
      </c>
      <c r="AP32" s="144">
        <v>6</v>
      </c>
      <c r="AQ32" s="144"/>
      <c r="AR32" s="534">
        <f t="shared" si="7"/>
        <v>0</v>
      </c>
      <c r="AS32" s="143">
        <v>1</v>
      </c>
      <c r="AT32" s="144">
        <v>7</v>
      </c>
      <c r="AU32" s="144">
        <v>2</v>
      </c>
      <c r="AV32" s="144"/>
      <c r="AW32" s="534">
        <f t="shared" si="8"/>
        <v>0</v>
      </c>
      <c r="AX32" s="143">
        <v>1</v>
      </c>
      <c r="AY32" s="144">
        <v>9</v>
      </c>
      <c r="AZ32" s="144">
        <v>2</v>
      </c>
      <c r="BA32" s="144"/>
      <c r="BB32" s="534">
        <f t="shared" si="9"/>
        <v>4</v>
      </c>
      <c r="BC32" s="143">
        <v>4</v>
      </c>
      <c r="BD32" s="144">
        <v>3</v>
      </c>
      <c r="BE32" s="144">
        <v>7</v>
      </c>
      <c r="BF32" s="144" t="s">
        <v>254</v>
      </c>
      <c r="BG32" s="534">
        <f t="shared" si="10"/>
        <v>5</v>
      </c>
      <c r="BH32" s="143">
        <v>1</v>
      </c>
      <c r="BI32" s="144">
        <v>2</v>
      </c>
      <c r="BJ32" s="144">
        <v>5</v>
      </c>
      <c r="BK32" s="144"/>
      <c r="BL32" s="534">
        <f t="shared" si="11"/>
        <v>3</v>
      </c>
      <c r="BM32" s="143">
        <v>12</v>
      </c>
      <c r="BN32" s="144">
        <v>1</v>
      </c>
      <c r="BO32" s="144">
        <v>3</v>
      </c>
      <c r="BP32" s="144"/>
      <c r="BQ32" s="534">
        <f t="shared" si="12"/>
        <v>1</v>
      </c>
      <c r="BR32" s="143"/>
      <c r="BS32" s="144"/>
      <c r="BT32" s="144"/>
      <c r="BU32" s="144"/>
      <c r="BV32" s="534">
        <f t="shared" si="13"/>
        <v>0</v>
      </c>
      <c r="BW32" s="143"/>
      <c r="BX32" s="144"/>
      <c r="BY32" s="144"/>
      <c r="BZ32" s="144"/>
      <c r="CA32" s="534">
        <f t="shared" si="14"/>
        <v>0</v>
      </c>
      <c r="CB32" s="143"/>
      <c r="CC32" s="144"/>
      <c r="CD32" s="144"/>
      <c r="CE32" s="144"/>
      <c r="CF32" s="534">
        <f t="shared" si="15"/>
        <v>0</v>
      </c>
      <c r="CG32" s="162">
        <f>IF(BASE01[[#This Row],[1]]="",0,$B$4)</f>
        <v>13</v>
      </c>
      <c r="CH32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7</v>
      </c>
      <c r="CI32" s="164">
        <f>IF(BASE01[[#This Row],[Columna14]]=0,0,(CH32/CG32))</f>
        <v>0.53846153846153844</v>
      </c>
      <c r="CJ32" s="163">
        <f>IF(BASE01[[#This Row],[1]]="",0,$B$4)</f>
        <v>13</v>
      </c>
      <c r="CK32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9</v>
      </c>
      <c r="CL32" s="164">
        <f>IF(BASE01[[#This Row],[Columna14]]=0,0,(CK32/CJ32))</f>
        <v>0.69230769230769229</v>
      </c>
      <c r="CM32" s="162">
        <f>IF(BASE01[[#This Row],[1]]="",0,$B$4)</f>
        <v>13</v>
      </c>
      <c r="CN32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11</v>
      </c>
      <c r="CO32" s="164">
        <f>IF(BASE01[[#This Row],[Columna14]]=0,0,(CN32/CM32))</f>
        <v>0.84615384615384615</v>
      </c>
      <c r="CP32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32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Row],[Columna25]],$AX$5,BA32,"SF")+COUNTIFS(BASE01[[#This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3</v>
      </c>
      <c r="CR32" s="164">
        <f>IF(BASE01[[#This Row],[Columna14]]=0,0,(CQ32/CP32))</f>
        <v>1</v>
      </c>
      <c r="CS32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47</v>
      </c>
      <c r="CT32" s="93"/>
      <c r="CU32" s="536">
        <f t="shared" si="16"/>
        <v>47</v>
      </c>
      <c r="CV32" s="94" t="str">
        <f>IF(BASE01[[#This Row],[TIPO]]="PREMIO",$O$3,"0,00")</f>
        <v>0,00</v>
      </c>
      <c r="CW32" s="515"/>
      <c r="CY32" s="538" t="str">
        <f t="shared" si="17"/>
        <v/>
      </c>
      <c r="CZ32" s="387"/>
      <c r="DA32" s="387" t="str">
        <f t="array" ref="DA32">IF(CZ32="", "", IF((INDEX(E$8:CE$57, MATCH(CZ32, C$8:C$57, 0), ($CZ$25-1)*5 + 1) &amp; "") = (INDEX(E$5:CE$5, 1, ($CZ$25-1)*5 + 1) &amp; ""), 1, IF((INDEX(E$8:CE$57, MATCH(CZ32, C$8:C$57, 0), ($CZ$25-1)*5 + 2) &amp; "") = (INDEX(E$5:CE$5, 1, ($CZ$25-1)*5 + 1) &amp; ""), 2, IF((INDEX(E$8:CE$57, MATCH(CZ32, C$8:C$57, 0), ($CZ$25-1)*5 + 3) &amp; "") = (INDEX(E$5:CE$5, 1, ($CZ$25-1)*5 + 1) &amp; ""), 3, ""))))</f>
        <v/>
      </c>
      <c r="DB32" s="537" t="str">
        <f>BASE01[[#This Row],[COD]]</f>
        <v>COD 25</v>
      </c>
      <c r="DC32" s="390" t="str">
        <f t="array" ref="DC32">IFERROR(IF(AND(INDEX($E$8:$CE$57, MATCH($C32, $C$8:$C$57, 0), (COLUMNS($DC32:DC32)-1)*5 + 1) = INDEX($E$5:$CE$5, 1, (COLUMNS($DC32:DC32)-1)*5 + 1), INDEX($E$8:$CE$57, MATCH($C32, $C$8:$C$57, 0), (COLUMNS($DC32:DC32)-1)*5 + 4) = "F"), INDEX($CZ$8:$CZ$23, COLUMNS($DC32:DC32)), "0"), "")</f>
        <v>0</v>
      </c>
      <c r="DD32" s="390" t="str">
        <f t="array" ref="DD32">IFERROR(IF(AND(INDEX($E$8:$CE$57, MATCH($C32, $C$8:$C$57, 0), (COLUMNS($DC32:DD32)-1)*5 + 1) = INDEX($E$5:$CE$5, 1, (COLUMNS($DC32:DD32)-1)*5 + 1), INDEX($E$8:$CE$57, MATCH($C32, $C$8:$C$57, 0), (COLUMNS($DC32:DD32)-1)*5 + 4) = "F"), INDEX($CZ$8:$CZ$23, COLUMNS($DC32:DD32)), "0"), "")</f>
        <v>0</v>
      </c>
      <c r="DE32" s="390" t="str">
        <f t="array" ref="DE32">IFERROR(IF(AND(INDEX($E$8:$CE$57, MATCH($C32, $C$8:$C$57, 0), (COLUMNS($DC32:DE32)-1)*5 + 1) = INDEX($E$5:$CE$5, 1, (COLUMNS($DC32:DE32)-1)*5 + 1), INDEX($E$8:$CE$57, MATCH($C32, $C$8:$C$57, 0), (COLUMNS($DC32:DE32)-1)*5 + 4) = "F"), INDEX($CZ$8:$CZ$23, COLUMNS($DC32:DE32)), "0"), "")</f>
        <v>0</v>
      </c>
      <c r="DF32" s="390" t="str">
        <f t="array" ref="DF32">IFERROR(IF(AND(INDEX($E$8:$CE$57, MATCH($C32, $C$8:$C$57, 0), (COLUMNS($DC32:DF32)-1)*5 + 1) = INDEX($E$5:$CE$5, 1, (COLUMNS($DC32:DF32)-1)*5 + 1), INDEX($E$8:$CE$57, MATCH($C32, $C$8:$C$57, 0), (COLUMNS($DC32:DF32)-1)*5 + 4) = "F"), INDEX($CZ$8:$CZ$23, COLUMNS($DC32:DF32)), "0"), "")</f>
        <v>0</v>
      </c>
      <c r="DG32" s="390">
        <f t="array" ref="DG32">IFERROR(IF(AND(INDEX($E$8:$CE$57, MATCH($C32, $C$8:$C$57, 0), (COLUMNS($DC32:DG32)-1)*5 + 1) = INDEX($E$5:$CE$5, 1, (COLUMNS($DC32:DG32)-1)*5 + 1), INDEX($E$8:$CE$57, MATCH($C32, $C$8:$C$57, 0), (COLUMNS($DC32:DG32)-1)*5 + 4) = "F"), INDEX($CZ$8:$CZ$23, COLUMNS($DC32:DG32)), "0"), "")</f>
        <v>110</v>
      </c>
      <c r="DH32" s="390" t="str">
        <f t="array" ref="DH32">IFERROR(IF(AND(INDEX($E$8:$CE$57, MATCH($C32, $C$8:$C$57, 0), (COLUMNS($DC32:DH32)-1)*5 + 1) = INDEX($E$5:$CE$5, 1, (COLUMNS($DC32:DH32)-1)*5 + 1), INDEX($E$8:$CE$57, MATCH($C32, $C$8:$C$57, 0), (COLUMNS($DC32:DH32)-1)*5 + 4) = "F"), INDEX($CZ$8:$CZ$23, COLUMNS($DC32:DH32)), "0"), "")</f>
        <v>0</v>
      </c>
      <c r="DI32" s="390" t="str">
        <f t="array" ref="DI32">IFERROR(IF(AND(INDEX($E$8:$CE$57, MATCH($C32, $C$8:$C$57, 0), (COLUMNS($DC32:DI32)-1)*5 + 1) = INDEX($E$5:$CE$5, 1, (COLUMNS($DC32:DI32)-1)*5 + 1), INDEX($E$8:$CE$57, MATCH($C32, $C$8:$C$57, 0), (COLUMNS($DC32:DI32)-1)*5 + 4) = "F"), INDEX($CZ$8:$CZ$23, COLUMNS($DC32:DI32)), "0"), "")</f>
        <v>0</v>
      </c>
      <c r="DJ32" s="390" t="str">
        <f t="array" ref="DJ32">IFERROR(IF(AND(INDEX($E$8:$CE$57, MATCH($C32, $C$8:$C$57, 0), (COLUMNS($DC32:DJ32)-1)*5 + 1) = INDEX($E$5:$CE$5, 1, (COLUMNS($DC32:DJ32)-1)*5 + 1), INDEX($E$8:$CE$57, MATCH($C32, $C$8:$C$57, 0), (COLUMNS($DC32:DJ32)-1)*5 + 4) = "F"), INDEX($CZ$8:$CZ$23, COLUMNS($DC32:DJ32)), "0"), "")</f>
        <v>0</v>
      </c>
      <c r="DK32" s="390" t="str">
        <f t="array" ref="DK32">IFERROR(IF(AND(INDEX($E$8:$CE$57, MATCH($C32, $C$8:$C$57, 0), (COLUMNS($DC32:DK32)-1)*5 + 1) = INDEX($E$5:$CE$5, 1, (COLUMNS($DC32:DK32)-1)*5 + 1), INDEX($E$8:$CE$57, MATCH($C32, $C$8:$C$57, 0), (COLUMNS($DC32:DK32)-1)*5 + 4) = "F"), INDEX($CZ$8:$CZ$23, COLUMNS($DC32:DK32)), "0"), "")</f>
        <v>0</v>
      </c>
      <c r="DL32" s="390" t="str">
        <f t="array" ref="DL32">IFERROR(IF(AND(INDEX($E$8:$CE$57, MATCH($C32, $C$8:$C$57, 0), (COLUMNS($DC32:DL32)-1)*5 + 1) = INDEX($E$5:$CE$5, 1, (COLUMNS($DC32:DL32)-1)*5 + 1), INDEX($E$8:$CE$57, MATCH($C32, $C$8:$C$57, 0), (COLUMNS($DC32:DL32)-1)*5 + 4) = "F"), INDEX($CZ$8:$CZ$23, COLUMNS($DC32:DL32)), "0"), "")</f>
        <v>0</v>
      </c>
      <c r="DM32" s="390">
        <f t="array" ref="DM32">IFERROR(IF(AND(INDEX($E$8:$CE$57, MATCH($C32, $C$8:$C$57, 0), (COLUMNS($DC32:DM32)-1)*5 + 1) = INDEX($E$5:$CE$5, 1, (COLUMNS($DC32:DM32)-1)*5 + 1), INDEX($E$8:$CE$57, MATCH($C32, $C$8:$C$57, 0), (COLUMNS($DC32:DM32)-1)*5 + 4) = "F"), INDEX($CZ$8:$CZ$23, COLUMNS($DC32:DM32)), "0"), "")</f>
        <v>184.94</v>
      </c>
      <c r="DN32" s="390" t="str">
        <f t="array" ref="DN32">IFERROR(IF(AND(INDEX($E$8:$CE$57, MATCH($C32, $C$8:$C$57, 0), (COLUMNS($DC32:DN32)-1)*5 + 1) = INDEX($E$5:$CE$5, 1, (COLUMNS($DC32:DN32)-1)*5 + 1), INDEX($E$8:$CE$57, MATCH($C32, $C$8:$C$57, 0), (COLUMNS($DC32:DN32)-1)*5 + 4) = "F"), INDEX($CZ$8:$CZ$23, COLUMNS($DC32:DN32)), "0"), "")</f>
        <v>0</v>
      </c>
      <c r="DO32" s="390" t="str">
        <f t="array" ref="DO32">IFERROR(IF(AND(INDEX($E$8:$CE$57, MATCH($C32, $C$8:$C$57, 0), (COLUMNS($DC32:DO32)-1)*5 + 1) = INDEX($E$5:$CE$5, 1, (COLUMNS($DC32:DO32)-1)*5 + 1), INDEX($E$8:$CE$57, MATCH($C32, $C$8:$C$57, 0), (COLUMNS($DC32:DO32)-1)*5 + 4) = "F"), INDEX($CZ$8:$CZ$23, COLUMNS($DC32:DO32)), "0"), "")</f>
        <v>0</v>
      </c>
      <c r="DP32" s="390" t="str">
        <f t="array" ref="DP32">IFERROR(IF(AND(INDEX($E$8:$CE$57, MATCH($C32, $C$8:$C$57, 0), (COLUMNS($DC32:DP32)-1)*5 + 1) = INDEX($E$5:$CE$5, 1, (COLUMNS($DC32:DP32)-1)*5 + 1), INDEX($E$8:$CE$57, MATCH($C32, $C$8:$C$57, 0), (COLUMNS($DC32:DP32)-1)*5 + 4) = "F"), INDEX($CZ$8:$CZ$23, COLUMNS($DC32:DP32)), "0"), "")</f>
        <v>0</v>
      </c>
      <c r="DQ32" s="390" t="str">
        <f t="array" ref="DQ32">IFERROR(IF(AND(INDEX($E$8:$CE$57, MATCH($C32, $C$8:$C$57, 0), (COLUMNS($DC32:DQ32)-1)*5 + 1) = INDEX($E$5:$CE$5, 1, (COLUMNS($DC32:DQ32)-1)*5 + 1), INDEX($E$8:$CE$57, MATCH($C32, $C$8:$C$57, 0), (COLUMNS($DC32:DQ32)-1)*5 + 4) = "F"), INDEX($CZ$8:$CZ$23, COLUMNS($DC32:DQ32)), "0"), "")</f>
        <v>0</v>
      </c>
      <c r="DR32" s="390" t="str">
        <f t="array" ref="DR32">IFERROR(IF(AND(INDEX($E$8:$CE$57, MATCH($C32, $C$8:$C$57, 0), (COLUMNS($DC32:DR32)-1)*5 + 1) = INDEX($E$5:$CE$5, 1, (COLUMNS($DC32:DR32)-1)*5 + 1), INDEX($E$8:$CE$57, MATCH($C32, $C$8:$C$57, 0), (COLUMNS($DC32:DR32)-1)*5 + 4) = "F"), INDEX($CZ$8:$CZ$23, COLUMNS($DC32:DR32)), "0"), "")</f>
        <v>0</v>
      </c>
      <c r="DT32" s="537" t="str">
        <f>BASE01[[#This Row],[COD]]</f>
        <v>COD 25</v>
      </c>
      <c r="DU32" s="390" t="str">
        <f t="array" ref="DU32">IFERROR(IF(AND(INDEX($E$8:$CE$57, MATCH($C32, $C$8:$C$57, 0), (COLUMNS($DU32:DU32)-1)*5 + 1) = INDEX($E$5:$CE$5, 1, (COLUMNS($DU32:DU32)-1)*5 + 1), INDEX($E$8:$CE$57, MATCH($C32, $C$8:$C$57, 0), (COLUMNS($DU32:DU32)-1)*5 + 4) = "SF"), INDEX($CZ$8:$CZ$23, COLUMNS($DU32:DU32)), "0"), "")</f>
        <v>0</v>
      </c>
      <c r="DV32" s="390" t="str">
        <f t="array" ref="DV32">IFERROR(IF(AND(INDEX($E$8:$CE$57, MATCH($C32, $C$8:$C$57, 0), (COLUMNS($DU32:DV32)-1)*5 + 1) = INDEX($E$5:$CE$5, 1, (COLUMNS($DU32:DV32)-1)*5 + 1), INDEX($E$8:$CE$57, MATCH($C32, $C$8:$C$57, 0), (COLUMNS($DU32:DV32)-1)*5 + 4) = "SF"), INDEX($CZ$8:$CZ$23, COLUMNS($DU32:DV32)), "0"), "")</f>
        <v>0</v>
      </c>
      <c r="DW32" s="390" t="str">
        <f t="array" ref="DW32">IFERROR(IF(AND(INDEX($E$8:$CE$57, MATCH($C32, $C$8:$C$57, 0), (COLUMNS($DU32:DW32)-1)*5 + 1) = INDEX($E$5:$CE$5, 1, (COLUMNS($DU32:DW32)-1)*5 + 1), INDEX($E$8:$CE$57, MATCH($C32, $C$8:$C$57, 0), (COLUMNS($DU32:DW32)-1)*5 + 4) = "SF"), INDEX($CZ$8:$CZ$23, COLUMNS($DU32:DW32)), "0"), "")</f>
        <v>0</v>
      </c>
      <c r="DX32" s="390">
        <f t="array" ref="DX32">IFERROR(IF(AND(INDEX($E$8:$CE$57, MATCH($C32, $C$8:$C$57, 0), (COLUMNS($DU32:DX32)-1)*5 + 1) = INDEX($E$5:$CE$5, 1, (COLUMNS($DU32:DX32)-1)*5 + 1), INDEX($E$8:$CE$57, MATCH($C32, $C$8:$C$57, 0), (COLUMNS($DU32:DX32)-1)*5 + 4) = "SF"), INDEX($CZ$8:$CZ$23, COLUMNS($DU32:DX32)), "0"), "")</f>
        <v>110</v>
      </c>
      <c r="DY32" s="390" t="str">
        <f t="array" ref="DY32">IFERROR(IF(AND(INDEX($E$8:$CE$57, MATCH($C32, $C$8:$C$57, 0), (COLUMNS($DU32:DY32)-1)*5 + 1) = INDEX($E$5:$CE$5, 1, (COLUMNS($DU32:DY32)-1)*5 + 1), INDEX($E$8:$CE$57, MATCH($C32, $C$8:$C$57, 0), (COLUMNS($DU32:DY32)-1)*5 + 4) = "SF"), INDEX($CZ$8:$CZ$23, COLUMNS($DU32:DY32)), "0"), "")</f>
        <v>0</v>
      </c>
      <c r="DZ32" s="390" t="str">
        <f t="array" ref="DZ32">IFERROR(IF(AND(INDEX($E$8:$CE$57, MATCH($C32, $C$8:$C$57, 0), (COLUMNS($DU32:DZ32)-1)*5 + 1) = INDEX($E$5:$CE$5, 1, (COLUMNS($DU32:DZ32)-1)*5 + 1), INDEX($E$8:$CE$57, MATCH($C32, $C$8:$C$57, 0), (COLUMNS($DU32:DZ32)-1)*5 + 4) = "SF"), INDEX($CZ$8:$CZ$23, COLUMNS($DU32:DZ32)), "0"), "")</f>
        <v>0</v>
      </c>
      <c r="EA32" s="390" t="str">
        <f t="array" ref="EA32">IFERROR(IF(AND(INDEX($E$8:$CE$57, MATCH($C32, $C$8:$C$57, 0), (COLUMNS($DU32:EA32)-1)*5 + 1) = INDEX($E$5:$CE$5, 1, (COLUMNS($DU32:EA32)-1)*5 + 1), INDEX($E$8:$CE$57, MATCH($C32, $C$8:$C$57, 0), (COLUMNS($DU32:EA32)-1)*5 + 4) = "SF"), INDEX($CZ$8:$CZ$23, COLUMNS($DU32:EA32)), "0"), "")</f>
        <v>0</v>
      </c>
      <c r="EB32" s="390" t="str">
        <f t="array" ref="EB32">IFERROR(IF(AND(INDEX($E$8:$CE$57, MATCH($C32, $C$8:$C$57, 0), (COLUMNS($DU32:EB32)-1)*5 + 1) = INDEX($E$5:$CE$5, 1, (COLUMNS($DU32:EB32)-1)*5 + 1), INDEX($E$8:$CE$57, MATCH($C32, $C$8:$C$57, 0), (COLUMNS($DU32:EB32)-1)*5 + 4) = "SF"), INDEX($CZ$8:$CZ$23, COLUMNS($DU32:EB32)), "0"), "")</f>
        <v>0</v>
      </c>
      <c r="EC32" s="390" t="str">
        <f t="array" ref="EC32">IFERROR(IF(AND(INDEX($E$8:$CE$57, MATCH($C32, $C$8:$C$57, 0), (COLUMNS($DU32:EC32)-1)*5 + 1) = INDEX($E$5:$CE$5, 1, (COLUMNS($DU32:EC32)-1)*5 + 1), INDEX($E$8:$CE$57, MATCH($C32, $C$8:$C$57, 0), (COLUMNS($DU32:EC32)-1)*5 + 4) = "SF"), INDEX($CZ$8:$CZ$23, COLUMNS($DU32:EC32)), "0"), "")</f>
        <v>0</v>
      </c>
      <c r="ED32" s="390" t="str">
        <f t="array" ref="ED32">IFERROR(IF(AND(INDEX($E$8:$CE$57, MATCH($C32, $C$8:$C$57, 0), (COLUMNS($DU32:ED32)-1)*5 + 1) = INDEX($E$5:$CE$5, 1, (COLUMNS($DU32:ED32)-1)*5 + 1), INDEX($E$8:$CE$57, MATCH($C32, $C$8:$C$57, 0), (COLUMNS($DU32:ED32)-1)*5 + 4) = "SF"), INDEX($CZ$8:$CZ$23, COLUMNS($DU32:ED32)), "0"), "")</f>
        <v>0</v>
      </c>
      <c r="EE32" s="390" t="str">
        <f t="array" ref="EE32">IFERROR(IF(AND(INDEX($E$8:$CE$57, MATCH($C32, $C$8:$C$57, 0), (COLUMNS($DU32:EE32)-1)*5 + 1) = INDEX($E$5:$CE$5, 1, (COLUMNS($DU32:EE32)-1)*5 + 1), INDEX($E$8:$CE$57, MATCH($C32, $C$8:$C$57, 0), (COLUMNS($DU32:EE32)-1)*5 + 4) = "SF"), INDEX($CZ$8:$CZ$23, COLUMNS($DU32:EE32)), "0"), "")</f>
        <v>0</v>
      </c>
      <c r="EF32" s="390" t="str">
        <f t="array" ref="EF32">IFERROR(IF(AND(INDEX($E$8:$CE$57, MATCH($C32, $C$8:$C$57, 0), (COLUMNS($DU32:EF32)-1)*5 + 1) = INDEX($E$5:$CE$5, 1, (COLUMNS($DU32:EF32)-1)*5 + 1), INDEX($E$8:$CE$57, MATCH($C32, $C$8:$C$57, 0), (COLUMNS($DU32:EF32)-1)*5 + 4) = "SF"), INDEX($CZ$8:$CZ$23, COLUMNS($DU32:EF32)), "0"), "")</f>
        <v>0</v>
      </c>
      <c r="EG32" s="390" t="str">
        <f t="array" ref="EG32">IFERROR(IF(AND(INDEX($E$8:$CE$57, MATCH($C32, $C$8:$C$57, 0), (COLUMNS($DU32:EG32)-1)*5 + 1) = INDEX($E$5:$CE$5, 1, (COLUMNS($DU32:EG32)-1)*5 + 1), INDEX($E$8:$CE$57, MATCH($C32, $C$8:$C$57, 0), (COLUMNS($DU32:EG32)-1)*5 + 4) = "SF"), INDEX($CZ$8:$CZ$23, COLUMNS($DU32:EG32)), "0"), "")</f>
        <v>0</v>
      </c>
      <c r="EH32" s="390" t="str">
        <f t="array" ref="EH32">IFERROR(IF(AND(INDEX($E$8:$CE$57, MATCH($C32, $C$8:$C$57, 0), (COLUMNS($DU32:EH32)-1)*5 + 1) = INDEX($E$5:$CE$5, 1, (COLUMNS($DU32:EH32)-1)*5 + 1), INDEX($E$8:$CE$57, MATCH($C32, $C$8:$C$57, 0), (COLUMNS($DU32:EH32)-1)*5 + 4) = "SF"), INDEX($CZ$8:$CZ$23, COLUMNS($DU32:EH32)), "0"), "")</f>
        <v>0</v>
      </c>
      <c r="EI32" s="390" t="str">
        <f t="array" ref="EI32">IFERROR(IF(AND(INDEX($E$8:$CE$57, MATCH($C32, $C$8:$C$57, 0), (COLUMNS($DU32:EI32)-1)*5 + 1) = INDEX($E$5:$CE$5, 1, (COLUMNS($DU32:EI32)-1)*5 + 1), INDEX($E$8:$CE$57, MATCH($C32, $C$8:$C$57, 0), (COLUMNS($DU32:EI32)-1)*5 + 4) = "SF"), INDEX($CZ$8:$CZ$23, COLUMNS($DU32:EI32)), "0"), "")</f>
        <v>0</v>
      </c>
      <c r="EJ32" s="390" t="str">
        <f t="array" ref="EJ32">IFERROR(IF(AND(INDEX($E$8:$CE$57, MATCH($C32, $C$8:$C$57, 0), (COLUMNS($DU32:EJ32)-1)*5 + 1) = INDEX($E$5:$CE$5, 1, (COLUMNS($DU32:EJ32)-1)*5 + 1), INDEX($E$8:$CE$57, MATCH($C32, $C$8:$C$57, 0), (COLUMNS($DU32:EJ32)-1)*5 + 4) = "SF"), INDEX($CZ$8:$CZ$23, COLUMNS($DU32:EJ32)), "0"), "")</f>
        <v>0</v>
      </c>
    </row>
    <row r="33" spans="1:140" ht="19.5" customHeight="1" x14ac:dyDescent="0.35">
      <c r="A33" s="515"/>
      <c r="B33" s="91">
        <f>IF(BASE01[[#This Row],[COD]]&lt;&gt;"",B32+1,"")</f>
        <v>26</v>
      </c>
      <c r="C33" s="533" t="s">
        <v>82</v>
      </c>
      <c r="D33" s="92" t="str">
        <f t="array" ref="D33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33" s="143">
        <v>6</v>
      </c>
      <c r="F33" s="144">
        <v>1</v>
      </c>
      <c r="G33" s="144">
        <v>8</v>
      </c>
      <c r="H33" s="144"/>
      <c r="I33" s="534">
        <f t="shared" si="0"/>
        <v>1</v>
      </c>
      <c r="J33" s="143">
        <v>8</v>
      </c>
      <c r="K33" s="144">
        <v>3</v>
      </c>
      <c r="L33" s="144">
        <v>1</v>
      </c>
      <c r="M33" s="144"/>
      <c r="N33" s="534">
        <f t="shared" si="1"/>
        <v>2</v>
      </c>
      <c r="O33" s="143">
        <v>3</v>
      </c>
      <c r="P33" s="144">
        <v>6</v>
      </c>
      <c r="Q33" s="144">
        <v>8</v>
      </c>
      <c r="R33" s="144"/>
      <c r="S33" s="534">
        <f t="shared" si="2"/>
        <v>2</v>
      </c>
      <c r="T33" s="143">
        <v>6</v>
      </c>
      <c r="U33" s="144">
        <v>9</v>
      </c>
      <c r="V33" s="144">
        <v>8</v>
      </c>
      <c r="W33" s="144" t="s">
        <v>254</v>
      </c>
      <c r="X33" s="534">
        <f t="shared" si="3"/>
        <v>5.5</v>
      </c>
      <c r="Y33" s="143">
        <v>5</v>
      </c>
      <c r="Z33" s="144"/>
      <c r="AA33" s="144"/>
      <c r="AB33" s="144" t="s">
        <v>255</v>
      </c>
      <c r="AC33" s="534">
        <f t="shared" si="4"/>
        <v>7.5</v>
      </c>
      <c r="AD33" s="143">
        <v>7</v>
      </c>
      <c r="AE33" s="144">
        <v>5</v>
      </c>
      <c r="AF33" s="144">
        <v>2</v>
      </c>
      <c r="AG33" s="144"/>
      <c r="AH33" s="534">
        <f t="shared" si="5"/>
        <v>3</v>
      </c>
      <c r="AI33" s="143">
        <v>7</v>
      </c>
      <c r="AJ33" s="144">
        <v>4</v>
      </c>
      <c r="AK33" s="144">
        <v>3</v>
      </c>
      <c r="AL33" s="144"/>
      <c r="AM33" s="534">
        <f t="shared" si="6"/>
        <v>2</v>
      </c>
      <c r="AN33" s="143">
        <v>9</v>
      </c>
      <c r="AO33" s="144">
        <v>8</v>
      </c>
      <c r="AP33" s="144">
        <v>1</v>
      </c>
      <c r="AQ33" s="144"/>
      <c r="AR33" s="534">
        <f t="shared" si="7"/>
        <v>0</v>
      </c>
      <c r="AS33" s="143">
        <v>1</v>
      </c>
      <c r="AT33" s="144">
        <v>7</v>
      </c>
      <c r="AU33" s="144">
        <v>2</v>
      </c>
      <c r="AV33" s="144"/>
      <c r="AW33" s="534">
        <f t="shared" si="8"/>
        <v>0</v>
      </c>
      <c r="AX33" s="143">
        <v>9</v>
      </c>
      <c r="AY33" s="144">
        <v>8</v>
      </c>
      <c r="AZ33" s="144">
        <v>1</v>
      </c>
      <c r="BA33" s="144"/>
      <c r="BB33" s="534">
        <f t="shared" si="9"/>
        <v>1</v>
      </c>
      <c r="BC33" s="143">
        <v>4</v>
      </c>
      <c r="BD33" s="144">
        <v>3</v>
      </c>
      <c r="BE33" s="144">
        <v>2</v>
      </c>
      <c r="BF33" s="144"/>
      <c r="BG33" s="534">
        <f t="shared" si="10"/>
        <v>4</v>
      </c>
      <c r="BH33" s="143">
        <v>5</v>
      </c>
      <c r="BI33" s="144">
        <v>1</v>
      </c>
      <c r="BJ33" s="144">
        <v>6</v>
      </c>
      <c r="BK33" s="144" t="s">
        <v>254</v>
      </c>
      <c r="BL33" s="534">
        <f t="shared" si="11"/>
        <v>0</v>
      </c>
      <c r="BM33" s="143">
        <v>3</v>
      </c>
      <c r="BN33" s="144">
        <v>1</v>
      </c>
      <c r="BO33" s="144">
        <v>12</v>
      </c>
      <c r="BP33" s="144"/>
      <c r="BQ33" s="534">
        <f t="shared" si="12"/>
        <v>4</v>
      </c>
      <c r="BR33" s="143"/>
      <c r="BS33" s="144"/>
      <c r="BT33" s="144"/>
      <c r="BU33" s="144"/>
      <c r="BV33" s="534">
        <f t="shared" si="13"/>
        <v>0</v>
      </c>
      <c r="BW33" s="143"/>
      <c r="BX33" s="144"/>
      <c r="BY33" s="144"/>
      <c r="BZ33" s="144"/>
      <c r="CA33" s="534">
        <f t="shared" si="14"/>
        <v>0</v>
      </c>
      <c r="CB33" s="143"/>
      <c r="CC33" s="144"/>
      <c r="CD33" s="144"/>
      <c r="CE33" s="144"/>
      <c r="CF33" s="534">
        <f t="shared" si="15"/>
        <v>0</v>
      </c>
      <c r="CG33" s="162">
        <f>IF(BASE01[[#This Row],[1]]="",0,$B$4)</f>
        <v>13</v>
      </c>
      <c r="CH33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4</v>
      </c>
      <c r="CI33" s="164">
        <f>IF(BASE01[[#This Row],[Columna14]]=0,0,(CH33/CG33))</f>
        <v>0.30769230769230771</v>
      </c>
      <c r="CJ33" s="163">
        <f>IF(BASE01[[#This Row],[1]]="",0,$B$4)</f>
        <v>13</v>
      </c>
      <c r="CK33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7</v>
      </c>
      <c r="CL33" s="164">
        <f>IF(BASE01[[#This Row],[Columna14]]=0,0,(CK33/CJ33))</f>
        <v>0.53846153846153844</v>
      </c>
      <c r="CM33" s="162">
        <f>IF(BASE01[[#This Row],[1]]="",0,$B$4)</f>
        <v>13</v>
      </c>
      <c r="CN33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10</v>
      </c>
      <c r="CO33" s="164">
        <f>IF(BASE01[[#This Row],[Columna14]]=0,0,(CN33/CM33))</f>
        <v>0.76923076923076927</v>
      </c>
      <c r="CP33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33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Row],[Columna25]],$AX$5,BA33,"SF")+COUNTIFS(BASE01[[#This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33" s="164">
        <f>IF(BASE01[[#This Row],[Columna14]]=0,0,(CQ33/CP33))</f>
        <v>0.66666666666666663</v>
      </c>
      <c r="CS33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32</v>
      </c>
      <c r="CT33" s="93"/>
      <c r="CU33" s="536">
        <f t="shared" si="16"/>
        <v>32</v>
      </c>
      <c r="CV33" s="94">
        <f>IF(BASE01[[#This Row],[TIPO]]="PREMIO",$O$3,"0,00")</f>
        <v>1000</v>
      </c>
      <c r="CW33" s="515"/>
      <c r="CY33" s="538" t="str">
        <f t="shared" si="17"/>
        <v/>
      </c>
      <c r="CZ33" s="387"/>
      <c r="DA33" s="387" t="str">
        <f t="array" ref="DA33">IF(CZ33="", "", IF((INDEX(E$8:CE$57, MATCH(CZ33, C$8:C$57, 0), ($CZ$25-1)*5 + 1) &amp; "") = (INDEX(E$5:CE$5, 1, ($CZ$25-1)*5 + 1) &amp; ""), 1, IF((INDEX(E$8:CE$57, MATCH(CZ33, C$8:C$57, 0), ($CZ$25-1)*5 + 2) &amp; "") = (INDEX(E$5:CE$5, 1, ($CZ$25-1)*5 + 1) &amp; ""), 2, IF((INDEX(E$8:CE$57, MATCH(CZ33, C$8:C$57, 0), ($CZ$25-1)*5 + 3) &amp; "") = (INDEX(E$5:CE$5, 1, ($CZ$25-1)*5 + 1) &amp; ""), 3, ""))))</f>
        <v/>
      </c>
      <c r="DB33" s="537" t="str">
        <f>BASE01[[#This Row],[COD]]</f>
        <v>COD 26</v>
      </c>
      <c r="DC33" s="390" t="str">
        <f t="array" ref="DC33">IFERROR(IF(AND(INDEX($E$8:$CE$57, MATCH($C33, $C$8:$C$57, 0), (COLUMNS($DC33:DC33)-1)*5 + 1) = INDEX($E$5:$CE$5, 1, (COLUMNS($DC33:DC33)-1)*5 + 1), INDEX($E$8:$CE$57, MATCH($C33, $C$8:$C$57, 0), (COLUMNS($DC33:DC33)-1)*5 + 4) = "F"), INDEX($CZ$8:$CZ$23, COLUMNS($DC33:DC33)), "0"), "")</f>
        <v>0</v>
      </c>
      <c r="DD33" s="390" t="str">
        <f t="array" ref="DD33">IFERROR(IF(AND(INDEX($E$8:$CE$57, MATCH($C33, $C$8:$C$57, 0), (COLUMNS($DC33:DD33)-1)*5 + 1) = INDEX($E$5:$CE$5, 1, (COLUMNS($DC33:DD33)-1)*5 + 1), INDEX($E$8:$CE$57, MATCH($C33, $C$8:$C$57, 0), (COLUMNS($DC33:DD33)-1)*5 + 4) = "F"), INDEX($CZ$8:$CZ$23, COLUMNS($DC33:DD33)), "0"), "")</f>
        <v>0</v>
      </c>
      <c r="DE33" s="390" t="str">
        <f t="array" ref="DE33">IFERROR(IF(AND(INDEX($E$8:$CE$57, MATCH($C33, $C$8:$C$57, 0), (COLUMNS($DC33:DE33)-1)*5 + 1) = INDEX($E$5:$CE$5, 1, (COLUMNS($DC33:DE33)-1)*5 + 1), INDEX($E$8:$CE$57, MATCH($C33, $C$8:$C$57, 0), (COLUMNS($DC33:DE33)-1)*5 + 4) = "F"), INDEX($CZ$8:$CZ$23, COLUMNS($DC33:DE33)), "0"), "")</f>
        <v>0</v>
      </c>
      <c r="DF33" s="390">
        <f t="array" ref="DF33">IFERROR(IF(AND(INDEX($E$8:$CE$57, MATCH($C33, $C$8:$C$57, 0), (COLUMNS($DC33:DF33)-1)*5 + 1) = INDEX($E$5:$CE$5, 1, (COLUMNS($DC33:DF33)-1)*5 + 1), INDEX($E$8:$CE$57, MATCH($C33, $C$8:$C$57, 0), (COLUMNS($DC33:DF33)-1)*5 + 4) = "F"), INDEX($CZ$8:$CZ$23, COLUMNS($DC33:DF33)), "0"), "")</f>
        <v>110</v>
      </c>
      <c r="DG33" s="390" t="str">
        <f t="array" ref="DG33">IFERROR(IF(AND(INDEX($E$8:$CE$57, MATCH($C33, $C$8:$C$57, 0), (COLUMNS($DC33:DG33)-1)*5 + 1) = INDEX($E$5:$CE$5, 1, (COLUMNS($DC33:DG33)-1)*5 + 1), INDEX($E$8:$CE$57, MATCH($C33, $C$8:$C$57, 0), (COLUMNS($DC33:DG33)-1)*5 + 4) = "F"), INDEX($CZ$8:$CZ$23, COLUMNS($DC33:DG33)), "0"), "")</f>
        <v>0</v>
      </c>
      <c r="DH33" s="390" t="str">
        <f t="array" ref="DH33">IFERROR(IF(AND(INDEX($E$8:$CE$57, MATCH($C33, $C$8:$C$57, 0), (COLUMNS($DC33:DH33)-1)*5 + 1) = INDEX($E$5:$CE$5, 1, (COLUMNS($DC33:DH33)-1)*5 + 1), INDEX($E$8:$CE$57, MATCH($C33, $C$8:$C$57, 0), (COLUMNS($DC33:DH33)-1)*5 + 4) = "F"), INDEX($CZ$8:$CZ$23, COLUMNS($DC33:DH33)), "0"), "")</f>
        <v>0</v>
      </c>
      <c r="DI33" s="390" t="str">
        <f t="array" ref="DI33">IFERROR(IF(AND(INDEX($E$8:$CE$57, MATCH($C33, $C$8:$C$57, 0), (COLUMNS($DC33:DI33)-1)*5 + 1) = INDEX($E$5:$CE$5, 1, (COLUMNS($DC33:DI33)-1)*5 + 1), INDEX($E$8:$CE$57, MATCH($C33, $C$8:$C$57, 0), (COLUMNS($DC33:DI33)-1)*5 + 4) = "F"), INDEX($CZ$8:$CZ$23, COLUMNS($DC33:DI33)), "0"), "")</f>
        <v>0</v>
      </c>
      <c r="DJ33" s="390" t="str">
        <f t="array" ref="DJ33">IFERROR(IF(AND(INDEX($E$8:$CE$57, MATCH($C33, $C$8:$C$57, 0), (COLUMNS($DC33:DJ33)-1)*5 + 1) = INDEX($E$5:$CE$5, 1, (COLUMNS($DC33:DJ33)-1)*5 + 1), INDEX($E$8:$CE$57, MATCH($C33, $C$8:$C$57, 0), (COLUMNS($DC33:DJ33)-1)*5 + 4) = "F"), INDEX($CZ$8:$CZ$23, COLUMNS($DC33:DJ33)), "0"), "")</f>
        <v>0</v>
      </c>
      <c r="DK33" s="390" t="str">
        <f t="array" ref="DK33">IFERROR(IF(AND(INDEX($E$8:$CE$57, MATCH($C33, $C$8:$C$57, 0), (COLUMNS($DC33:DK33)-1)*5 + 1) = INDEX($E$5:$CE$5, 1, (COLUMNS($DC33:DK33)-1)*5 + 1), INDEX($E$8:$CE$57, MATCH($C33, $C$8:$C$57, 0), (COLUMNS($DC33:DK33)-1)*5 + 4) = "F"), INDEX($CZ$8:$CZ$23, COLUMNS($DC33:DK33)), "0"), "")</f>
        <v>0</v>
      </c>
      <c r="DL33" s="390" t="str">
        <f t="array" ref="DL33">IFERROR(IF(AND(INDEX($E$8:$CE$57, MATCH($C33, $C$8:$C$57, 0), (COLUMNS($DC33:DL33)-1)*5 + 1) = INDEX($E$5:$CE$5, 1, (COLUMNS($DC33:DL33)-1)*5 + 1), INDEX($E$8:$CE$57, MATCH($C33, $C$8:$C$57, 0), (COLUMNS($DC33:DL33)-1)*5 + 4) = "F"), INDEX($CZ$8:$CZ$23, COLUMNS($DC33:DL33)), "0"), "")</f>
        <v>0</v>
      </c>
      <c r="DM33" s="390" t="str">
        <f t="array" ref="DM33">IFERROR(IF(AND(INDEX($E$8:$CE$57, MATCH($C33, $C$8:$C$57, 0), (COLUMNS($DC33:DM33)-1)*5 + 1) = INDEX($E$5:$CE$5, 1, (COLUMNS($DC33:DM33)-1)*5 + 1), INDEX($E$8:$CE$57, MATCH($C33, $C$8:$C$57, 0), (COLUMNS($DC33:DM33)-1)*5 + 4) = "F"), INDEX($CZ$8:$CZ$23, COLUMNS($DC33:DM33)), "0"), "")</f>
        <v>0</v>
      </c>
      <c r="DN33" s="390" t="str">
        <f t="array" ref="DN33">IFERROR(IF(AND(INDEX($E$8:$CE$57, MATCH($C33, $C$8:$C$57, 0), (COLUMNS($DC33:DN33)-1)*5 + 1) = INDEX($E$5:$CE$5, 1, (COLUMNS($DC33:DN33)-1)*5 + 1), INDEX($E$8:$CE$57, MATCH($C33, $C$8:$C$57, 0), (COLUMNS($DC33:DN33)-1)*5 + 4) = "F"), INDEX($CZ$8:$CZ$23, COLUMNS($DC33:DN33)), "0"), "")</f>
        <v>0</v>
      </c>
      <c r="DO33" s="390" t="str">
        <f t="array" ref="DO33">IFERROR(IF(AND(INDEX($E$8:$CE$57, MATCH($C33, $C$8:$C$57, 0), (COLUMNS($DC33:DO33)-1)*5 + 1) = INDEX($E$5:$CE$5, 1, (COLUMNS($DC33:DO33)-1)*5 + 1), INDEX($E$8:$CE$57, MATCH($C33, $C$8:$C$57, 0), (COLUMNS($DC33:DO33)-1)*5 + 4) = "F"), INDEX($CZ$8:$CZ$23, COLUMNS($DC33:DO33)), "0"), "")</f>
        <v>0</v>
      </c>
      <c r="DP33" s="390" t="str">
        <f t="array" ref="DP33">IFERROR(IF(AND(INDEX($E$8:$CE$57, MATCH($C33, $C$8:$C$57, 0), (COLUMNS($DC33:DP33)-1)*5 + 1) = INDEX($E$5:$CE$5, 1, (COLUMNS($DC33:DP33)-1)*5 + 1), INDEX($E$8:$CE$57, MATCH($C33, $C$8:$C$57, 0), (COLUMNS($DC33:DP33)-1)*5 + 4) = "F"), INDEX($CZ$8:$CZ$23, COLUMNS($DC33:DP33)), "0"), "")</f>
        <v>0</v>
      </c>
      <c r="DQ33" s="390" t="str">
        <f t="array" ref="DQ33">IFERROR(IF(AND(INDEX($E$8:$CE$57, MATCH($C33, $C$8:$C$57, 0), (COLUMNS($DC33:DQ33)-1)*5 + 1) = INDEX($E$5:$CE$5, 1, (COLUMNS($DC33:DQ33)-1)*5 + 1), INDEX($E$8:$CE$57, MATCH($C33, $C$8:$C$57, 0), (COLUMNS($DC33:DQ33)-1)*5 + 4) = "F"), INDEX($CZ$8:$CZ$23, COLUMNS($DC33:DQ33)), "0"), "")</f>
        <v>0</v>
      </c>
      <c r="DR33" s="390" t="str">
        <f t="array" ref="DR33">IFERROR(IF(AND(INDEX($E$8:$CE$57, MATCH($C33, $C$8:$C$57, 0), (COLUMNS($DC33:DR33)-1)*5 + 1) = INDEX($E$5:$CE$5, 1, (COLUMNS($DC33:DR33)-1)*5 + 1), INDEX($E$8:$CE$57, MATCH($C33, $C$8:$C$57, 0), (COLUMNS($DC33:DR33)-1)*5 + 4) = "F"), INDEX($CZ$8:$CZ$23, COLUMNS($DC33:DR33)), "0"), "")</f>
        <v>0</v>
      </c>
      <c r="DT33" s="537" t="str">
        <f>BASE01[[#This Row],[COD]]</f>
        <v>COD 26</v>
      </c>
      <c r="DU33" s="390" t="str">
        <f t="array" ref="DU33">IFERROR(IF(AND(INDEX($E$8:$CE$57, MATCH($C33, $C$8:$C$57, 0), (COLUMNS($DU33:DU33)-1)*5 + 1) = INDEX($E$5:$CE$5, 1, (COLUMNS($DU33:DU33)-1)*5 + 1), INDEX($E$8:$CE$57, MATCH($C33, $C$8:$C$57, 0), (COLUMNS($DU33:DU33)-1)*5 + 4) = "SF"), INDEX($CZ$8:$CZ$23, COLUMNS($DU33:DU33)), "0"), "")</f>
        <v>0</v>
      </c>
      <c r="DV33" s="390" t="str">
        <f t="array" ref="DV33">IFERROR(IF(AND(INDEX($E$8:$CE$57, MATCH($C33, $C$8:$C$57, 0), (COLUMNS($DU33:DV33)-1)*5 + 1) = INDEX($E$5:$CE$5, 1, (COLUMNS($DU33:DV33)-1)*5 + 1), INDEX($E$8:$CE$57, MATCH($C33, $C$8:$C$57, 0), (COLUMNS($DU33:DV33)-1)*5 + 4) = "SF"), INDEX($CZ$8:$CZ$23, COLUMNS($DU33:DV33)), "0"), "")</f>
        <v>0</v>
      </c>
      <c r="DW33" s="390" t="str">
        <f t="array" ref="DW33">IFERROR(IF(AND(INDEX($E$8:$CE$57, MATCH($C33, $C$8:$C$57, 0), (COLUMNS($DU33:DW33)-1)*5 + 1) = INDEX($E$5:$CE$5, 1, (COLUMNS($DU33:DW33)-1)*5 + 1), INDEX($E$8:$CE$57, MATCH($C33, $C$8:$C$57, 0), (COLUMNS($DU33:DW33)-1)*5 + 4) = "SF"), INDEX($CZ$8:$CZ$23, COLUMNS($DU33:DW33)), "0"), "")</f>
        <v>0</v>
      </c>
      <c r="DX33" s="390" t="str">
        <f t="array" ref="DX33">IFERROR(IF(AND(INDEX($E$8:$CE$57, MATCH($C33, $C$8:$C$57, 0), (COLUMNS($DU33:DX33)-1)*5 + 1) = INDEX($E$5:$CE$5, 1, (COLUMNS($DU33:DX33)-1)*5 + 1), INDEX($E$8:$CE$57, MATCH($C33, $C$8:$C$57, 0), (COLUMNS($DU33:DX33)-1)*5 + 4) = "SF"), INDEX($CZ$8:$CZ$23, COLUMNS($DU33:DX33)), "0"), "")</f>
        <v>0</v>
      </c>
      <c r="DY33" s="390">
        <f t="array" ref="DY33">IFERROR(IF(AND(INDEX($E$8:$CE$57, MATCH($C33, $C$8:$C$57, 0), (COLUMNS($DU33:DY33)-1)*5 + 1) = INDEX($E$5:$CE$5, 1, (COLUMNS($DU33:DY33)-1)*5 + 1), INDEX($E$8:$CE$57, MATCH($C33, $C$8:$C$57, 0), (COLUMNS($DU33:DY33)-1)*5 + 4) = "SF"), INDEX($CZ$8:$CZ$23, COLUMNS($DU33:DY33)), "0"), "")</f>
        <v>110</v>
      </c>
      <c r="DZ33" s="390" t="str">
        <f t="array" ref="DZ33">IFERROR(IF(AND(INDEX($E$8:$CE$57, MATCH($C33, $C$8:$C$57, 0), (COLUMNS($DU33:DZ33)-1)*5 + 1) = INDEX($E$5:$CE$5, 1, (COLUMNS($DU33:DZ33)-1)*5 + 1), INDEX($E$8:$CE$57, MATCH($C33, $C$8:$C$57, 0), (COLUMNS($DU33:DZ33)-1)*5 + 4) = "SF"), INDEX($CZ$8:$CZ$23, COLUMNS($DU33:DZ33)), "0"), "")</f>
        <v>0</v>
      </c>
      <c r="EA33" s="390" t="str">
        <f t="array" ref="EA33">IFERROR(IF(AND(INDEX($E$8:$CE$57, MATCH($C33, $C$8:$C$57, 0), (COLUMNS($DU33:EA33)-1)*5 + 1) = INDEX($E$5:$CE$5, 1, (COLUMNS($DU33:EA33)-1)*5 + 1), INDEX($E$8:$CE$57, MATCH($C33, $C$8:$C$57, 0), (COLUMNS($DU33:EA33)-1)*5 + 4) = "SF"), INDEX($CZ$8:$CZ$23, COLUMNS($DU33:EA33)), "0"), "")</f>
        <v>0</v>
      </c>
      <c r="EB33" s="390" t="str">
        <f t="array" ref="EB33">IFERROR(IF(AND(INDEX($E$8:$CE$57, MATCH($C33, $C$8:$C$57, 0), (COLUMNS($DU33:EB33)-1)*5 + 1) = INDEX($E$5:$CE$5, 1, (COLUMNS($DU33:EB33)-1)*5 + 1), INDEX($E$8:$CE$57, MATCH($C33, $C$8:$C$57, 0), (COLUMNS($DU33:EB33)-1)*5 + 4) = "SF"), INDEX($CZ$8:$CZ$23, COLUMNS($DU33:EB33)), "0"), "")</f>
        <v>0</v>
      </c>
      <c r="EC33" s="390" t="str">
        <f t="array" ref="EC33">IFERROR(IF(AND(INDEX($E$8:$CE$57, MATCH($C33, $C$8:$C$57, 0), (COLUMNS($DU33:EC33)-1)*5 + 1) = INDEX($E$5:$CE$5, 1, (COLUMNS($DU33:EC33)-1)*5 + 1), INDEX($E$8:$CE$57, MATCH($C33, $C$8:$C$57, 0), (COLUMNS($DU33:EC33)-1)*5 + 4) = "SF"), INDEX($CZ$8:$CZ$23, COLUMNS($DU33:EC33)), "0"), "")</f>
        <v>0</v>
      </c>
      <c r="ED33" s="390" t="str">
        <f t="array" ref="ED33">IFERROR(IF(AND(INDEX($E$8:$CE$57, MATCH($C33, $C$8:$C$57, 0), (COLUMNS($DU33:ED33)-1)*5 + 1) = INDEX($E$5:$CE$5, 1, (COLUMNS($DU33:ED33)-1)*5 + 1), INDEX($E$8:$CE$57, MATCH($C33, $C$8:$C$57, 0), (COLUMNS($DU33:ED33)-1)*5 + 4) = "SF"), INDEX($CZ$8:$CZ$23, COLUMNS($DU33:ED33)), "0"), "")</f>
        <v>0</v>
      </c>
      <c r="EE33" s="390" t="str">
        <f t="array" ref="EE33">IFERROR(IF(AND(INDEX($E$8:$CE$57, MATCH($C33, $C$8:$C$57, 0), (COLUMNS($DU33:EE33)-1)*5 + 1) = INDEX($E$5:$CE$5, 1, (COLUMNS($DU33:EE33)-1)*5 + 1), INDEX($E$8:$CE$57, MATCH($C33, $C$8:$C$57, 0), (COLUMNS($DU33:EE33)-1)*5 + 4) = "SF"), INDEX($CZ$8:$CZ$23, COLUMNS($DU33:EE33)), "0"), "")</f>
        <v>0</v>
      </c>
      <c r="EF33" s="390" t="str">
        <f t="array" ref="EF33">IFERROR(IF(AND(INDEX($E$8:$CE$57, MATCH($C33, $C$8:$C$57, 0), (COLUMNS($DU33:EF33)-1)*5 + 1) = INDEX($E$5:$CE$5, 1, (COLUMNS($DU33:EF33)-1)*5 + 1), INDEX($E$8:$CE$57, MATCH($C33, $C$8:$C$57, 0), (COLUMNS($DU33:EF33)-1)*5 + 4) = "SF"), INDEX($CZ$8:$CZ$23, COLUMNS($DU33:EF33)), "0"), "")</f>
        <v>0</v>
      </c>
      <c r="EG33" s="390" t="str">
        <f t="array" ref="EG33">IFERROR(IF(AND(INDEX($E$8:$CE$57, MATCH($C33, $C$8:$C$57, 0), (COLUMNS($DU33:EG33)-1)*5 + 1) = INDEX($E$5:$CE$5, 1, (COLUMNS($DU33:EG33)-1)*5 + 1), INDEX($E$8:$CE$57, MATCH($C33, $C$8:$C$57, 0), (COLUMNS($DU33:EG33)-1)*5 + 4) = "SF"), INDEX($CZ$8:$CZ$23, COLUMNS($DU33:EG33)), "0"), "")</f>
        <v>0</v>
      </c>
      <c r="EH33" s="390" t="str">
        <f t="array" ref="EH33">IFERROR(IF(AND(INDEX($E$8:$CE$57, MATCH($C33, $C$8:$C$57, 0), (COLUMNS($DU33:EH33)-1)*5 + 1) = INDEX($E$5:$CE$5, 1, (COLUMNS($DU33:EH33)-1)*5 + 1), INDEX($E$8:$CE$57, MATCH($C33, $C$8:$C$57, 0), (COLUMNS($DU33:EH33)-1)*5 + 4) = "SF"), INDEX($CZ$8:$CZ$23, COLUMNS($DU33:EH33)), "0"), "")</f>
        <v>0</v>
      </c>
      <c r="EI33" s="390" t="str">
        <f t="array" ref="EI33">IFERROR(IF(AND(INDEX($E$8:$CE$57, MATCH($C33, $C$8:$C$57, 0), (COLUMNS($DU33:EI33)-1)*5 + 1) = INDEX($E$5:$CE$5, 1, (COLUMNS($DU33:EI33)-1)*5 + 1), INDEX($E$8:$CE$57, MATCH($C33, $C$8:$C$57, 0), (COLUMNS($DU33:EI33)-1)*5 + 4) = "SF"), INDEX($CZ$8:$CZ$23, COLUMNS($DU33:EI33)), "0"), "")</f>
        <v>0</v>
      </c>
      <c r="EJ33" s="390" t="str">
        <f t="array" ref="EJ33">IFERROR(IF(AND(INDEX($E$8:$CE$57, MATCH($C33, $C$8:$C$57, 0), (COLUMNS($DU33:EJ33)-1)*5 + 1) = INDEX($E$5:$CE$5, 1, (COLUMNS($DU33:EJ33)-1)*5 + 1), INDEX($E$8:$CE$57, MATCH($C33, $C$8:$C$57, 0), (COLUMNS($DU33:EJ33)-1)*5 + 4) = "SF"), INDEX($CZ$8:$CZ$23, COLUMNS($DU33:EJ33)), "0"), "")</f>
        <v>0</v>
      </c>
    </row>
    <row r="34" spans="1:140" ht="19.5" customHeight="1" x14ac:dyDescent="0.35">
      <c r="A34" s="515"/>
      <c r="B34" s="91">
        <f>IF(BASE01[[#This Row],[COD]]&lt;&gt;"",B33+1,"")</f>
        <v>27</v>
      </c>
      <c r="C34" s="533" t="s">
        <v>84</v>
      </c>
      <c r="D34" s="92" t="str">
        <f t="array" ref="D34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34" s="143">
        <v>8</v>
      </c>
      <c r="F34" s="144">
        <v>1</v>
      </c>
      <c r="G34" s="144">
        <v>6</v>
      </c>
      <c r="H34" s="144"/>
      <c r="I34" s="534">
        <f t="shared" si="0"/>
        <v>4</v>
      </c>
      <c r="J34" s="143">
        <v>3</v>
      </c>
      <c r="K34" s="144">
        <v>8</v>
      </c>
      <c r="L34" s="144">
        <v>2</v>
      </c>
      <c r="M34" s="144"/>
      <c r="N34" s="534">
        <f t="shared" si="1"/>
        <v>5</v>
      </c>
      <c r="O34" s="143">
        <v>3</v>
      </c>
      <c r="P34" s="144">
        <v>6</v>
      </c>
      <c r="Q34" s="144">
        <v>1</v>
      </c>
      <c r="R34" s="144"/>
      <c r="S34" s="534">
        <f t="shared" si="2"/>
        <v>2</v>
      </c>
      <c r="T34" s="143">
        <v>6</v>
      </c>
      <c r="U34" s="144">
        <v>8</v>
      </c>
      <c r="V34" s="144">
        <v>9</v>
      </c>
      <c r="W34" s="144"/>
      <c r="X34" s="534">
        <f t="shared" si="3"/>
        <v>3.5</v>
      </c>
      <c r="Y34" s="143">
        <v>5</v>
      </c>
      <c r="Z34" s="144"/>
      <c r="AA34" s="144"/>
      <c r="AB34" s="144" t="s">
        <v>255</v>
      </c>
      <c r="AC34" s="534">
        <f t="shared" si="4"/>
        <v>7.5</v>
      </c>
      <c r="AD34" s="143">
        <v>2</v>
      </c>
      <c r="AE34" s="144">
        <v>7</v>
      </c>
      <c r="AF34" s="144">
        <v>5</v>
      </c>
      <c r="AG34" s="144" t="s">
        <v>254</v>
      </c>
      <c r="AH34" s="534">
        <f t="shared" si="5"/>
        <v>7</v>
      </c>
      <c r="AI34" s="143">
        <v>4</v>
      </c>
      <c r="AJ34" s="144">
        <v>7</v>
      </c>
      <c r="AK34" s="144">
        <v>2</v>
      </c>
      <c r="AL34" s="144"/>
      <c r="AM34" s="534">
        <f t="shared" si="6"/>
        <v>4</v>
      </c>
      <c r="AN34" s="143">
        <v>7</v>
      </c>
      <c r="AO34" s="144">
        <v>9</v>
      </c>
      <c r="AP34" s="144">
        <v>8</v>
      </c>
      <c r="AQ34" s="144"/>
      <c r="AR34" s="534">
        <f t="shared" si="7"/>
        <v>0</v>
      </c>
      <c r="AS34" s="143">
        <v>1</v>
      </c>
      <c r="AT34" s="144">
        <v>7</v>
      </c>
      <c r="AU34" s="144">
        <v>5</v>
      </c>
      <c r="AV34" s="144" t="s">
        <v>254</v>
      </c>
      <c r="AW34" s="534">
        <f t="shared" si="8"/>
        <v>0</v>
      </c>
      <c r="AX34" s="143">
        <v>9</v>
      </c>
      <c r="AY34" s="144">
        <v>1</v>
      </c>
      <c r="AZ34" s="144">
        <v>8</v>
      </c>
      <c r="BA34" s="144"/>
      <c r="BB34" s="534">
        <f t="shared" si="9"/>
        <v>2</v>
      </c>
      <c r="BC34" s="143">
        <v>5</v>
      </c>
      <c r="BD34" s="144">
        <v>4</v>
      </c>
      <c r="BE34" s="144">
        <v>2</v>
      </c>
      <c r="BF34" s="144"/>
      <c r="BG34" s="534">
        <f t="shared" si="10"/>
        <v>2</v>
      </c>
      <c r="BH34" s="143">
        <v>2</v>
      </c>
      <c r="BI34" s="144">
        <v>3</v>
      </c>
      <c r="BJ34" s="144">
        <v>5</v>
      </c>
      <c r="BK34" s="144"/>
      <c r="BL34" s="534">
        <f t="shared" si="11"/>
        <v>5</v>
      </c>
      <c r="BM34" s="143">
        <v>1</v>
      </c>
      <c r="BN34" s="144">
        <v>3</v>
      </c>
      <c r="BO34" s="144">
        <v>2</v>
      </c>
      <c r="BP34" s="144"/>
      <c r="BQ34" s="534">
        <f t="shared" si="12"/>
        <v>2</v>
      </c>
      <c r="BR34" s="143"/>
      <c r="BS34" s="144"/>
      <c r="BT34" s="144"/>
      <c r="BU34" s="144"/>
      <c r="BV34" s="534">
        <f t="shared" si="13"/>
        <v>0</v>
      </c>
      <c r="BW34" s="143"/>
      <c r="BX34" s="144"/>
      <c r="BY34" s="144"/>
      <c r="BZ34" s="144"/>
      <c r="CA34" s="534">
        <f t="shared" si="14"/>
        <v>0</v>
      </c>
      <c r="CB34" s="143"/>
      <c r="CC34" s="144"/>
      <c r="CD34" s="144"/>
      <c r="CE34" s="144"/>
      <c r="CF34" s="534">
        <f t="shared" si="15"/>
        <v>0</v>
      </c>
      <c r="CG34" s="162">
        <f>IF(BASE01[[#This Row],[1]]="",0,$B$4)</f>
        <v>13</v>
      </c>
      <c r="CH34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7</v>
      </c>
      <c r="CI34" s="164">
        <f>IF(BASE01[[#This Row],[Columna14]]=0,0,(CH34/CG34))</f>
        <v>0.53846153846153844</v>
      </c>
      <c r="CJ34" s="163">
        <f>IF(BASE01[[#This Row],[1]]="",0,$B$4)</f>
        <v>13</v>
      </c>
      <c r="CK34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11</v>
      </c>
      <c r="CL34" s="164">
        <f>IF(BASE01[[#This Row],[Columna14]]=0,0,(CK34/CJ34))</f>
        <v>0.84615384615384615</v>
      </c>
      <c r="CM34" s="162">
        <f>IF(BASE01[[#This Row],[1]]="",0,$B$4)</f>
        <v>13</v>
      </c>
      <c r="CN34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11</v>
      </c>
      <c r="CO34" s="164">
        <f>IF(BASE01[[#This Row],[Columna14]]=0,0,(CN34/CM34))</f>
        <v>0.84615384615384615</v>
      </c>
      <c r="CP34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34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Row],[Columna25]],$AX$5,BA34,"SF")+COUNTIFS(BASE01[[#This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34" s="164">
        <f>IF(BASE01[[#This Row],[Columna14]]=0,0,(CQ34/CP34))</f>
        <v>0.66666666666666663</v>
      </c>
      <c r="CS34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44</v>
      </c>
      <c r="CT34" s="93"/>
      <c r="CU34" s="536">
        <f t="shared" si="16"/>
        <v>44</v>
      </c>
      <c r="CV34" s="94">
        <f>IF(BASE01[[#This Row],[TIPO]]="PREMIO",$O$3,"0,00")</f>
        <v>1000</v>
      </c>
      <c r="CW34" s="515"/>
      <c r="CY34" s="538" t="str">
        <f t="shared" si="17"/>
        <v/>
      </c>
      <c r="CZ34" s="387"/>
      <c r="DA34" s="387" t="str">
        <f t="array" ref="DA34">IF(CZ34="", "", IF((INDEX(E$8:CE$57, MATCH(CZ34, C$8:C$57, 0), ($CZ$25-1)*5 + 1) &amp; "") = (INDEX(E$5:CE$5, 1, ($CZ$25-1)*5 + 1) &amp; ""), 1, IF((INDEX(E$8:CE$57, MATCH(CZ34, C$8:C$57, 0), ($CZ$25-1)*5 + 2) &amp; "") = (INDEX(E$5:CE$5, 1, ($CZ$25-1)*5 + 1) &amp; ""), 2, IF((INDEX(E$8:CE$57, MATCH(CZ34, C$8:C$57, 0), ($CZ$25-1)*5 + 3) &amp; "") = (INDEX(E$5:CE$5, 1, ($CZ$25-1)*5 + 1) &amp; ""), 3, ""))))</f>
        <v/>
      </c>
      <c r="DB34" s="537" t="str">
        <f>BASE01[[#This Row],[COD]]</f>
        <v>COD 27</v>
      </c>
      <c r="DC34" s="390" t="str">
        <f t="array" ref="DC34">IFERROR(IF(AND(INDEX($E$8:$CE$57, MATCH($C34, $C$8:$C$57, 0), (COLUMNS($DC34:DC34)-1)*5 + 1) = INDEX($E$5:$CE$5, 1, (COLUMNS($DC34:DC34)-1)*5 + 1), INDEX($E$8:$CE$57, MATCH($C34, $C$8:$C$57, 0), (COLUMNS($DC34:DC34)-1)*5 + 4) = "F"), INDEX($CZ$8:$CZ$23, COLUMNS($DC34:DC34)), "0"), "")</f>
        <v>0</v>
      </c>
      <c r="DD34" s="390" t="str">
        <f t="array" ref="DD34">IFERROR(IF(AND(INDEX($E$8:$CE$57, MATCH($C34, $C$8:$C$57, 0), (COLUMNS($DC34:DD34)-1)*5 + 1) = INDEX($E$5:$CE$5, 1, (COLUMNS($DC34:DD34)-1)*5 + 1), INDEX($E$8:$CE$57, MATCH($C34, $C$8:$C$57, 0), (COLUMNS($DC34:DD34)-1)*5 + 4) = "F"), INDEX($CZ$8:$CZ$23, COLUMNS($DC34:DD34)), "0"), "")</f>
        <v>0</v>
      </c>
      <c r="DE34" s="390" t="str">
        <f t="array" ref="DE34">IFERROR(IF(AND(INDEX($E$8:$CE$57, MATCH($C34, $C$8:$C$57, 0), (COLUMNS($DC34:DE34)-1)*5 + 1) = INDEX($E$5:$CE$5, 1, (COLUMNS($DC34:DE34)-1)*5 + 1), INDEX($E$8:$CE$57, MATCH($C34, $C$8:$C$57, 0), (COLUMNS($DC34:DE34)-1)*5 + 4) = "F"), INDEX($CZ$8:$CZ$23, COLUMNS($DC34:DE34)), "0"), "")</f>
        <v>0</v>
      </c>
      <c r="DF34" s="390" t="str">
        <f t="array" ref="DF34">IFERROR(IF(AND(INDEX($E$8:$CE$57, MATCH($C34, $C$8:$C$57, 0), (COLUMNS($DC34:DF34)-1)*5 + 1) = INDEX($E$5:$CE$5, 1, (COLUMNS($DC34:DF34)-1)*5 + 1), INDEX($E$8:$CE$57, MATCH($C34, $C$8:$C$57, 0), (COLUMNS($DC34:DF34)-1)*5 + 4) = "F"), INDEX($CZ$8:$CZ$23, COLUMNS($DC34:DF34)), "0"), "")</f>
        <v>0</v>
      </c>
      <c r="DG34" s="390" t="str">
        <f t="array" ref="DG34">IFERROR(IF(AND(INDEX($E$8:$CE$57, MATCH($C34, $C$8:$C$57, 0), (COLUMNS($DC34:DG34)-1)*5 + 1) = INDEX($E$5:$CE$5, 1, (COLUMNS($DC34:DG34)-1)*5 + 1), INDEX($E$8:$CE$57, MATCH($C34, $C$8:$C$57, 0), (COLUMNS($DC34:DG34)-1)*5 + 4) = "F"), INDEX($CZ$8:$CZ$23, COLUMNS($DC34:DG34)), "0"), "")</f>
        <v>0</v>
      </c>
      <c r="DH34" s="390">
        <f t="array" ref="DH34">IFERROR(IF(AND(INDEX($E$8:$CE$57, MATCH($C34, $C$8:$C$57, 0), (COLUMNS($DC34:DH34)-1)*5 + 1) = INDEX($E$5:$CE$5, 1, (COLUMNS($DC34:DH34)-1)*5 + 1), INDEX($E$8:$CE$57, MATCH($C34, $C$8:$C$57, 0), (COLUMNS($DC34:DH34)-1)*5 + 4) = "F"), INDEX($CZ$8:$CZ$23, COLUMNS($DC34:DH34)), "0"), "")</f>
        <v>232.48</v>
      </c>
      <c r="DI34" s="390" t="str">
        <f t="array" ref="DI34">IFERROR(IF(AND(INDEX($E$8:$CE$57, MATCH($C34, $C$8:$C$57, 0), (COLUMNS($DC34:DI34)-1)*5 + 1) = INDEX($E$5:$CE$5, 1, (COLUMNS($DC34:DI34)-1)*5 + 1), INDEX($E$8:$CE$57, MATCH($C34, $C$8:$C$57, 0), (COLUMNS($DC34:DI34)-1)*5 + 4) = "F"), INDEX($CZ$8:$CZ$23, COLUMNS($DC34:DI34)), "0"), "")</f>
        <v>0</v>
      </c>
      <c r="DJ34" s="390" t="str">
        <f t="array" ref="DJ34">IFERROR(IF(AND(INDEX($E$8:$CE$57, MATCH($C34, $C$8:$C$57, 0), (COLUMNS($DC34:DJ34)-1)*5 + 1) = INDEX($E$5:$CE$5, 1, (COLUMNS($DC34:DJ34)-1)*5 + 1), INDEX($E$8:$CE$57, MATCH($C34, $C$8:$C$57, 0), (COLUMNS($DC34:DJ34)-1)*5 + 4) = "F"), INDEX($CZ$8:$CZ$23, COLUMNS($DC34:DJ34)), "0"), "")</f>
        <v>0</v>
      </c>
      <c r="DK34" s="390" t="str">
        <f t="array" ref="DK34">IFERROR(IF(AND(INDEX($E$8:$CE$57, MATCH($C34, $C$8:$C$57, 0), (COLUMNS($DC34:DK34)-1)*5 + 1) = INDEX($E$5:$CE$5, 1, (COLUMNS($DC34:DK34)-1)*5 + 1), INDEX($E$8:$CE$57, MATCH($C34, $C$8:$C$57, 0), (COLUMNS($DC34:DK34)-1)*5 + 4) = "F"), INDEX($CZ$8:$CZ$23, COLUMNS($DC34:DK34)), "0"), "")</f>
        <v>0</v>
      </c>
      <c r="DL34" s="390" t="str">
        <f t="array" ref="DL34">IFERROR(IF(AND(INDEX($E$8:$CE$57, MATCH($C34, $C$8:$C$57, 0), (COLUMNS($DC34:DL34)-1)*5 + 1) = INDEX($E$5:$CE$5, 1, (COLUMNS($DC34:DL34)-1)*5 + 1), INDEX($E$8:$CE$57, MATCH($C34, $C$8:$C$57, 0), (COLUMNS($DC34:DL34)-1)*5 + 4) = "F"), INDEX($CZ$8:$CZ$23, COLUMNS($DC34:DL34)), "0"), "")</f>
        <v>0</v>
      </c>
      <c r="DM34" s="390" t="str">
        <f t="array" ref="DM34">IFERROR(IF(AND(INDEX($E$8:$CE$57, MATCH($C34, $C$8:$C$57, 0), (COLUMNS($DC34:DM34)-1)*5 + 1) = INDEX($E$5:$CE$5, 1, (COLUMNS($DC34:DM34)-1)*5 + 1), INDEX($E$8:$CE$57, MATCH($C34, $C$8:$C$57, 0), (COLUMNS($DC34:DM34)-1)*5 + 4) = "F"), INDEX($CZ$8:$CZ$23, COLUMNS($DC34:DM34)), "0"), "")</f>
        <v>0</v>
      </c>
      <c r="DN34" s="390" t="str">
        <f t="array" ref="DN34">IFERROR(IF(AND(INDEX($E$8:$CE$57, MATCH($C34, $C$8:$C$57, 0), (COLUMNS($DC34:DN34)-1)*5 + 1) = INDEX($E$5:$CE$5, 1, (COLUMNS($DC34:DN34)-1)*5 + 1), INDEX($E$8:$CE$57, MATCH($C34, $C$8:$C$57, 0), (COLUMNS($DC34:DN34)-1)*5 + 4) = "F"), INDEX($CZ$8:$CZ$23, COLUMNS($DC34:DN34)), "0"), "")</f>
        <v>0</v>
      </c>
      <c r="DO34" s="390" t="str">
        <f t="array" ref="DO34">IFERROR(IF(AND(INDEX($E$8:$CE$57, MATCH($C34, $C$8:$C$57, 0), (COLUMNS($DC34:DO34)-1)*5 + 1) = INDEX($E$5:$CE$5, 1, (COLUMNS($DC34:DO34)-1)*5 + 1), INDEX($E$8:$CE$57, MATCH($C34, $C$8:$C$57, 0), (COLUMNS($DC34:DO34)-1)*5 + 4) = "F"), INDEX($CZ$8:$CZ$23, COLUMNS($DC34:DO34)), "0"), "")</f>
        <v>0</v>
      </c>
      <c r="DP34" s="390" t="str">
        <f t="array" ref="DP34">IFERROR(IF(AND(INDEX($E$8:$CE$57, MATCH($C34, $C$8:$C$57, 0), (COLUMNS($DC34:DP34)-1)*5 + 1) = INDEX($E$5:$CE$5, 1, (COLUMNS($DC34:DP34)-1)*5 + 1), INDEX($E$8:$CE$57, MATCH($C34, $C$8:$C$57, 0), (COLUMNS($DC34:DP34)-1)*5 + 4) = "F"), INDEX($CZ$8:$CZ$23, COLUMNS($DC34:DP34)), "0"), "")</f>
        <v>0</v>
      </c>
      <c r="DQ34" s="390" t="str">
        <f t="array" ref="DQ34">IFERROR(IF(AND(INDEX($E$8:$CE$57, MATCH($C34, $C$8:$C$57, 0), (COLUMNS($DC34:DQ34)-1)*5 + 1) = INDEX($E$5:$CE$5, 1, (COLUMNS($DC34:DQ34)-1)*5 + 1), INDEX($E$8:$CE$57, MATCH($C34, $C$8:$C$57, 0), (COLUMNS($DC34:DQ34)-1)*5 + 4) = "F"), INDEX($CZ$8:$CZ$23, COLUMNS($DC34:DQ34)), "0"), "")</f>
        <v>0</v>
      </c>
      <c r="DR34" s="390" t="str">
        <f t="array" ref="DR34">IFERROR(IF(AND(INDEX($E$8:$CE$57, MATCH($C34, $C$8:$C$57, 0), (COLUMNS($DC34:DR34)-1)*5 + 1) = INDEX($E$5:$CE$5, 1, (COLUMNS($DC34:DR34)-1)*5 + 1), INDEX($E$8:$CE$57, MATCH($C34, $C$8:$C$57, 0), (COLUMNS($DC34:DR34)-1)*5 + 4) = "F"), INDEX($CZ$8:$CZ$23, COLUMNS($DC34:DR34)), "0"), "")</f>
        <v>0</v>
      </c>
      <c r="DT34" s="537" t="str">
        <f>BASE01[[#This Row],[COD]]</f>
        <v>COD 27</v>
      </c>
      <c r="DU34" s="390" t="str">
        <f t="array" ref="DU34">IFERROR(IF(AND(INDEX($E$8:$CE$57, MATCH($C34, $C$8:$C$57, 0), (COLUMNS($DU34:DU34)-1)*5 + 1) = INDEX($E$5:$CE$5, 1, (COLUMNS($DU34:DU34)-1)*5 + 1), INDEX($E$8:$CE$57, MATCH($C34, $C$8:$C$57, 0), (COLUMNS($DU34:DU34)-1)*5 + 4) = "SF"), INDEX($CZ$8:$CZ$23, COLUMNS($DU34:DU34)), "0"), "")</f>
        <v>0</v>
      </c>
      <c r="DV34" s="390" t="str">
        <f t="array" ref="DV34">IFERROR(IF(AND(INDEX($E$8:$CE$57, MATCH($C34, $C$8:$C$57, 0), (COLUMNS($DU34:DV34)-1)*5 + 1) = INDEX($E$5:$CE$5, 1, (COLUMNS($DU34:DV34)-1)*5 + 1), INDEX($E$8:$CE$57, MATCH($C34, $C$8:$C$57, 0), (COLUMNS($DU34:DV34)-1)*5 + 4) = "SF"), INDEX($CZ$8:$CZ$23, COLUMNS($DU34:DV34)), "0"), "")</f>
        <v>0</v>
      </c>
      <c r="DW34" s="390" t="str">
        <f t="array" ref="DW34">IFERROR(IF(AND(INDEX($E$8:$CE$57, MATCH($C34, $C$8:$C$57, 0), (COLUMNS($DU34:DW34)-1)*5 + 1) = INDEX($E$5:$CE$5, 1, (COLUMNS($DU34:DW34)-1)*5 + 1), INDEX($E$8:$CE$57, MATCH($C34, $C$8:$C$57, 0), (COLUMNS($DU34:DW34)-1)*5 + 4) = "SF"), INDEX($CZ$8:$CZ$23, COLUMNS($DU34:DW34)), "0"), "")</f>
        <v>0</v>
      </c>
      <c r="DX34" s="390" t="str">
        <f t="array" ref="DX34">IFERROR(IF(AND(INDEX($E$8:$CE$57, MATCH($C34, $C$8:$C$57, 0), (COLUMNS($DU34:DX34)-1)*5 + 1) = INDEX($E$5:$CE$5, 1, (COLUMNS($DU34:DX34)-1)*5 + 1), INDEX($E$8:$CE$57, MATCH($C34, $C$8:$C$57, 0), (COLUMNS($DU34:DX34)-1)*5 + 4) = "SF"), INDEX($CZ$8:$CZ$23, COLUMNS($DU34:DX34)), "0"), "")</f>
        <v>0</v>
      </c>
      <c r="DY34" s="390">
        <f t="array" ref="DY34">IFERROR(IF(AND(INDEX($E$8:$CE$57, MATCH($C34, $C$8:$C$57, 0), (COLUMNS($DU34:DY34)-1)*5 + 1) = INDEX($E$5:$CE$5, 1, (COLUMNS($DU34:DY34)-1)*5 + 1), INDEX($E$8:$CE$57, MATCH($C34, $C$8:$C$57, 0), (COLUMNS($DU34:DY34)-1)*5 + 4) = "SF"), INDEX($CZ$8:$CZ$23, COLUMNS($DU34:DY34)), "0"), "")</f>
        <v>110</v>
      </c>
      <c r="DZ34" s="390" t="str">
        <f t="array" ref="DZ34">IFERROR(IF(AND(INDEX($E$8:$CE$57, MATCH($C34, $C$8:$C$57, 0), (COLUMNS($DU34:DZ34)-1)*5 + 1) = INDEX($E$5:$CE$5, 1, (COLUMNS($DU34:DZ34)-1)*5 + 1), INDEX($E$8:$CE$57, MATCH($C34, $C$8:$C$57, 0), (COLUMNS($DU34:DZ34)-1)*5 + 4) = "SF"), INDEX($CZ$8:$CZ$23, COLUMNS($DU34:DZ34)), "0"), "")</f>
        <v>0</v>
      </c>
      <c r="EA34" s="390" t="str">
        <f t="array" ref="EA34">IFERROR(IF(AND(INDEX($E$8:$CE$57, MATCH($C34, $C$8:$C$57, 0), (COLUMNS($DU34:EA34)-1)*5 + 1) = INDEX($E$5:$CE$5, 1, (COLUMNS($DU34:EA34)-1)*5 + 1), INDEX($E$8:$CE$57, MATCH($C34, $C$8:$C$57, 0), (COLUMNS($DU34:EA34)-1)*5 + 4) = "SF"), INDEX($CZ$8:$CZ$23, COLUMNS($DU34:EA34)), "0"), "")</f>
        <v>0</v>
      </c>
      <c r="EB34" s="390" t="str">
        <f t="array" ref="EB34">IFERROR(IF(AND(INDEX($E$8:$CE$57, MATCH($C34, $C$8:$C$57, 0), (COLUMNS($DU34:EB34)-1)*5 + 1) = INDEX($E$5:$CE$5, 1, (COLUMNS($DU34:EB34)-1)*5 + 1), INDEX($E$8:$CE$57, MATCH($C34, $C$8:$C$57, 0), (COLUMNS($DU34:EB34)-1)*5 + 4) = "SF"), INDEX($CZ$8:$CZ$23, COLUMNS($DU34:EB34)), "0"), "")</f>
        <v>0</v>
      </c>
      <c r="EC34" s="390" t="str">
        <f t="array" ref="EC34">IFERROR(IF(AND(INDEX($E$8:$CE$57, MATCH($C34, $C$8:$C$57, 0), (COLUMNS($DU34:EC34)-1)*5 + 1) = INDEX($E$5:$CE$5, 1, (COLUMNS($DU34:EC34)-1)*5 + 1), INDEX($E$8:$CE$57, MATCH($C34, $C$8:$C$57, 0), (COLUMNS($DU34:EC34)-1)*5 + 4) = "SF"), INDEX($CZ$8:$CZ$23, COLUMNS($DU34:EC34)), "0"), "")</f>
        <v>0</v>
      </c>
      <c r="ED34" s="390" t="str">
        <f t="array" ref="ED34">IFERROR(IF(AND(INDEX($E$8:$CE$57, MATCH($C34, $C$8:$C$57, 0), (COLUMNS($DU34:ED34)-1)*5 + 1) = INDEX($E$5:$CE$5, 1, (COLUMNS($DU34:ED34)-1)*5 + 1), INDEX($E$8:$CE$57, MATCH($C34, $C$8:$C$57, 0), (COLUMNS($DU34:ED34)-1)*5 + 4) = "SF"), INDEX($CZ$8:$CZ$23, COLUMNS($DU34:ED34)), "0"), "")</f>
        <v>0</v>
      </c>
      <c r="EE34" s="390" t="str">
        <f t="array" ref="EE34">IFERROR(IF(AND(INDEX($E$8:$CE$57, MATCH($C34, $C$8:$C$57, 0), (COLUMNS($DU34:EE34)-1)*5 + 1) = INDEX($E$5:$CE$5, 1, (COLUMNS($DU34:EE34)-1)*5 + 1), INDEX($E$8:$CE$57, MATCH($C34, $C$8:$C$57, 0), (COLUMNS($DU34:EE34)-1)*5 + 4) = "SF"), INDEX($CZ$8:$CZ$23, COLUMNS($DU34:EE34)), "0"), "")</f>
        <v>0</v>
      </c>
      <c r="EF34" s="390" t="str">
        <f t="array" ref="EF34">IFERROR(IF(AND(INDEX($E$8:$CE$57, MATCH($C34, $C$8:$C$57, 0), (COLUMNS($DU34:EF34)-1)*5 + 1) = INDEX($E$5:$CE$5, 1, (COLUMNS($DU34:EF34)-1)*5 + 1), INDEX($E$8:$CE$57, MATCH($C34, $C$8:$C$57, 0), (COLUMNS($DU34:EF34)-1)*5 + 4) = "SF"), INDEX($CZ$8:$CZ$23, COLUMNS($DU34:EF34)), "0"), "")</f>
        <v>0</v>
      </c>
      <c r="EG34" s="390" t="str">
        <f t="array" ref="EG34">IFERROR(IF(AND(INDEX($E$8:$CE$57, MATCH($C34, $C$8:$C$57, 0), (COLUMNS($DU34:EG34)-1)*5 + 1) = INDEX($E$5:$CE$5, 1, (COLUMNS($DU34:EG34)-1)*5 + 1), INDEX($E$8:$CE$57, MATCH($C34, $C$8:$C$57, 0), (COLUMNS($DU34:EG34)-1)*5 + 4) = "SF"), INDEX($CZ$8:$CZ$23, COLUMNS($DU34:EG34)), "0"), "")</f>
        <v>0</v>
      </c>
      <c r="EH34" s="390" t="str">
        <f t="array" ref="EH34">IFERROR(IF(AND(INDEX($E$8:$CE$57, MATCH($C34, $C$8:$C$57, 0), (COLUMNS($DU34:EH34)-1)*5 + 1) = INDEX($E$5:$CE$5, 1, (COLUMNS($DU34:EH34)-1)*5 + 1), INDEX($E$8:$CE$57, MATCH($C34, $C$8:$C$57, 0), (COLUMNS($DU34:EH34)-1)*5 + 4) = "SF"), INDEX($CZ$8:$CZ$23, COLUMNS($DU34:EH34)), "0"), "")</f>
        <v>0</v>
      </c>
      <c r="EI34" s="390" t="str">
        <f t="array" ref="EI34">IFERROR(IF(AND(INDEX($E$8:$CE$57, MATCH($C34, $C$8:$C$57, 0), (COLUMNS($DU34:EI34)-1)*5 + 1) = INDEX($E$5:$CE$5, 1, (COLUMNS($DU34:EI34)-1)*5 + 1), INDEX($E$8:$CE$57, MATCH($C34, $C$8:$C$57, 0), (COLUMNS($DU34:EI34)-1)*5 + 4) = "SF"), INDEX($CZ$8:$CZ$23, COLUMNS($DU34:EI34)), "0"), "")</f>
        <v>0</v>
      </c>
      <c r="EJ34" s="390" t="str">
        <f t="array" ref="EJ34">IFERROR(IF(AND(INDEX($E$8:$CE$57, MATCH($C34, $C$8:$C$57, 0), (COLUMNS($DU34:EJ34)-1)*5 + 1) = INDEX($E$5:$CE$5, 1, (COLUMNS($DU34:EJ34)-1)*5 + 1), INDEX($E$8:$CE$57, MATCH($C34, $C$8:$C$57, 0), (COLUMNS($DU34:EJ34)-1)*5 + 4) = "SF"), INDEX($CZ$8:$CZ$23, COLUMNS($DU34:EJ34)), "0"), "")</f>
        <v>0</v>
      </c>
    </row>
    <row r="35" spans="1:140" ht="19.5" customHeight="1" x14ac:dyDescent="0.35">
      <c r="A35" s="515"/>
      <c r="B35" s="91">
        <f>IF(BASE01[[#This Row],[COD]]&lt;&gt;"",B34+1,"")</f>
        <v>28</v>
      </c>
      <c r="C35" s="533" t="s">
        <v>86</v>
      </c>
      <c r="D35" s="92" t="str">
        <f t="array" ref="D35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35" s="143">
        <v>1</v>
      </c>
      <c r="F35" s="144">
        <v>8</v>
      </c>
      <c r="G35" s="144">
        <v>6</v>
      </c>
      <c r="H35" s="144"/>
      <c r="I35" s="534">
        <f t="shared" si="0"/>
        <v>2</v>
      </c>
      <c r="J35" s="143">
        <v>8</v>
      </c>
      <c r="K35" s="144">
        <v>3</v>
      </c>
      <c r="L35" s="144">
        <v>5</v>
      </c>
      <c r="M35" s="144"/>
      <c r="N35" s="534">
        <f t="shared" si="1"/>
        <v>4</v>
      </c>
      <c r="O35" s="143">
        <v>6</v>
      </c>
      <c r="P35" s="144">
        <v>3</v>
      </c>
      <c r="Q35" s="144">
        <v>2</v>
      </c>
      <c r="R35" s="144"/>
      <c r="S35" s="534">
        <f t="shared" si="2"/>
        <v>4</v>
      </c>
      <c r="T35" s="143">
        <v>6</v>
      </c>
      <c r="U35" s="144"/>
      <c r="V35" s="144"/>
      <c r="W35" s="144" t="s">
        <v>255</v>
      </c>
      <c r="X35" s="534">
        <f t="shared" si="3"/>
        <v>7.5</v>
      </c>
      <c r="Y35" s="143">
        <v>5</v>
      </c>
      <c r="Z35" s="144">
        <v>3</v>
      </c>
      <c r="AA35" s="144">
        <v>6</v>
      </c>
      <c r="AB35" s="144" t="s">
        <v>254</v>
      </c>
      <c r="AC35" s="534">
        <f t="shared" si="4"/>
        <v>4.5</v>
      </c>
      <c r="AD35" s="143">
        <v>2</v>
      </c>
      <c r="AE35" s="144">
        <v>7</v>
      </c>
      <c r="AF35" s="144">
        <v>5</v>
      </c>
      <c r="AG35" s="144"/>
      <c r="AH35" s="534">
        <f t="shared" si="5"/>
        <v>6</v>
      </c>
      <c r="AI35" s="143">
        <v>7</v>
      </c>
      <c r="AJ35" s="144">
        <v>3</v>
      </c>
      <c r="AK35" s="144">
        <v>4</v>
      </c>
      <c r="AL35" s="144"/>
      <c r="AM35" s="534">
        <f t="shared" si="6"/>
        <v>1</v>
      </c>
      <c r="AN35" s="143">
        <v>8</v>
      </c>
      <c r="AO35" s="144">
        <v>9</v>
      </c>
      <c r="AP35" s="144">
        <v>6</v>
      </c>
      <c r="AQ35" s="144"/>
      <c r="AR35" s="534">
        <f t="shared" si="7"/>
        <v>0</v>
      </c>
      <c r="AS35" s="143">
        <v>7</v>
      </c>
      <c r="AT35" s="144">
        <v>3</v>
      </c>
      <c r="AU35" s="144">
        <v>1</v>
      </c>
      <c r="AV35" s="144" t="s">
        <v>254</v>
      </c>
      <c r="AW35" s="534">
        <f t="shared" si="8"/>
        <v>0</v>
      </c>
      <c r="AX35" s="143">
        <v>9</v>
      </c>
      <c r="AY35" s="144">
        <v>1</v>
      </c>
      <c r="AZ35" s="144">
        <v>8</v>
      </c>
      <c r="BA35" s="144"/>
      <c r="BB35" s="534">
        <f t="shared" si="9"/>
        <v>2</v>
      </c>
      <c r="BC35" s="143">
        <v>3</v>
      </c>
      <c r="BD35" s="144">
        <v>2</v>
      </c>
      <c r="BE35" s="144">
        <v>4</v>
      </c>
      <c r="BF35" s="144"/>
      <c r="BG35" s="534">
        <f t="shared" si="10"/>
        <v>1</v>
      </c>
      <c r="BH35" s="143">
        <v>5</v>
      </c>
      <c r="BI35" s="144">
        <v>2</v>
      </c>
      <c r="BJ35" s="144">
        <v>1</v>
      </c>
      <c r="BK35" s="144"/>
      <c r="BL35" s="534">
        <f t="shared" si="11"/>
        <v>3</v>
      </c>
      <c r="BM35" s="143">
        <v>3</v>
      </c>
      <c r="BN35" s="144">
        <v>1</v>
      </c>
      <c r="BO35" s="144">
        <v>5</v>
      </c>
      <c r="BP35" s="144"/>
      <c r="BQ35" s="534">
        <f t="shared" si="12"/>
        <v>4</v>
      </c>
      <c r="BR35" s="143"/>
      <c r="BS35" s="144"/>
      <c r="BT35" s="144"/>
      <c r="BU35" s="144"/>
      <c r="BV35" s="534">
        <f t="shared" si="13"/>
        <v>0</v>
      </c>
      <c r="BW35" s="143"/>
      <c r="BX35" s="144"/>
      <c r="BY35" s="144"/>
      <c r="BZ35" s="144"/>
      <c r="CA35" s="534">
        <f t="shared" si="14"/>
        <v>0</v>
      </c>
      <c r="CB35" s="143"/>
      <c r="CC35" s="144"/>
      <c r="CD35" s="144"/>
      <c r="CE35" s="144"/>
      <c r="CF35" s="534">
        <f t="shared" si="15"/>
        <v>0</v>
      </c>
      <c r="CG35" s="162">
        <f>IF(BASE01[[#This Row],[1]]="",0,$B$4)</f>
        <v>13</v>
      </c>
      <c r="CH35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5</v>
      </c>
      <c r="CI35" s="164">
        <f>IF(BASE01[[#This Row],[Columna14]]=0,0,(CH35/CG35))</f>
        <v>0.38461538461538464</v>
      </c>
      <c r="CJ35" s="163">
        <f>IF(BASE01[[#This Row],[1]]="",0,$B$4)</f>
        <v>13</v>
      </c>
      <c r="CK35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9</v>
      </c>
      <c r="CL35" s="164">
        <f>IF(BASE01[[#This Row],[Columna14]]=0,0,(CK35/CJ35))</f>
        <v>0.69230769230769229</v>
      </c>
      <c r="CM35" s="162">
        <f>IF(BASE01[[#This Row],[1]]="",0,$B$4)</f>
        <v>13</v>
      </c>
      <c r="CN35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11</v>
      </c>
      <c r="CO35" s="164">
        <f>IF(BASE01[[#This Row],[Columna14]]=0,0,(CN35/CM35))</f>
        <v>0.84615384615384615</v>
      </c>
      <c r="CP35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35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Row],[Columna25]],$AX$5,BA35,"SF")+COUNTIFS(BASE01[[#This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35" s="164">
        <f>IF(BASE01[[#This Row],[Columna14]]=0,0,(CQ35/CP35))</f>
        <v>0.66666666666666663</v>
      </c>
      <c r="CS35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39</v>
      </c>
      <c r="CT35" s="93"/>
      <c r="CU35" s="536">
        <f t="shared" si="16"/>
        <v>39</v>
      </c>
      <c r="CV35" s="94">
        <f>IF(BASE01[[#This Row],[TIPO]]="PREMIO",$O$3,"0,00")</f>
        <v>1000</v>
      </c>
      <c r="CW35" s="515"/>
      <c r="CY35" s="538" t="str">
        <f t="shared" si="17"/>
        <v/>
      </c>
      <c r="CZ35" s="387"/>
      <c r="DA35" s="387" t="str">
        <f t="array" ref="DA35">IF(CZ35="", "", IF((INDEX(E$8:CE$57, MATCH(CZ35, C$8:C$57, 0), ($CZ$25-1)*5 + 1) &amp; "") = (INDEX(E$5:CE$5, 1, ($CZ$25-1)*5 + 1) &amp; ""), 1, IF((INDEX(E$8:CE$57, MATCH(CZ35, C$8:C$57, 0), ($CZ$25-1)*5 + 2) &amp; "") = (INDEX(E$5:CE$5, 1, ($CZ$25-1)*5 + 1) &amp; ""), 2, IF((INDEX(E$8:CE$57, MATCH(CZ35, C$8:C$57, 0), ($CZ$25-1)*5 + 3) &amp; "") = (INDEX(E$5:CE$5, 1, ($CZ$25-1)*5 + 1) &amp; ""), 3, ""))))</f>
        <v/>
      </c>
      <c r="DB35" s="537" t="str">
        <f>BASE01[[#This Row],[COD]]</f>
        <v>COD 28</v>
      </c>
      <c r="DC35" s="390" t="str">
        <f t="array" ref="DC35">IFERROR(IF(AND(INDEX($E$8:$CE$57, MATCH($C35, $C$8:$C$57, 0), (COLUMNS($DC35:DC35)-1)*5 + 1) = INDEX($E$5:$CE$5, 1, (COLUMNS($DC35:DC35)-1)*5 + 1), INDEX($E$8:$CE$57, MATCH($C35, $C$8:$C$57, 0), (COLUMNS($DC35:DC35)-1)*5 + 4) = "F"), INDEX($CZ$8:$CZ$23, COLUMNS($DC35:DC35)), "0"), "")</f>
        <v>0</v>
      </c>
      <c r="DD35" s="390" t="str">
        <f t="array" ref="DD35">IFERROR(IF(AND(INDEX($E$8:$CE$57, MATCH($C35, $C$8:$C$57, 0), (COLUMNS($DC35:DD35)-1)*5 + 1) = INDEX($E$5:$CE$5, 1, (COLUMNS($DC35:DD35)-1)*5 + 1), INDEX($E$8:$CE$57, MATCH($C35, $C$8:$C$57, 0), (COLUMNS($DC35:DD35)-1)*5 + 4) = "F"), INDEX($CZ$8:$CZ$23, COLUMNS($DC35:DD35)), "0"), "")</f>
        <v>0</v>
      </c>
      <c r="DE35" s="390" t="str">
        <f t="array" ref="DE35">IFERROR(IF(AND(INDEX($E$8:$CE$57, MATCH($C35, $C$8:$C$57, 0), (COLUMNS($DC35:DE35)-1)*5 + 1) = INDEX($E$5:$CE$5, 1, (COLUMNS($DC35:DE35)-1)*5 + 1), INDEX($E$8:$CE$57, MATCH($C35, $C$8:$C$57, 0), (COLUMNS($DC35:DE35)-1)*5 + 4) = "F"), INDEX($CZ$8:$CZ$23, COLUMNS($DC35:DE35)), "0"), "")</f>
        <v>0</v>
      </c>
      <c r="DF35" s="390" t="str">
        <f t="array" ref="DF35">IFERROR(IF(AND(INDEX($E$8:$CE$57, MATCH($C35, $C$8:$C$57, 0), (COLUMNS($DC35:DF35)-1)*5 + 1) = INDEX($E$5:$CE$5, 1, (COLUMNS($DC35:DF35)-1)*5 + 1), INDEX($E$8:$CE$57, MATCH($C35, $C$8:$C$57, 0), (COLUMNS($DC35:DF35)-1)*5 + 4) = "F"), INDEX($CZ$8:$CZ$23, COLUMNS($DC35:DF35)), "0"), "")</f>
        <v>0</v>
      </c>
      <c r="DG35" s="390">
        <f t="array" ref="DG35">IFERROR(IF(AND(INDEX($E$8:$CE$57, MATCH($C35, $C$8:$C$57, 0), (COLUMNS($DC35:DG35)-1)*5 + 1) = INDEX($E$5:$CE$5, 1, (COLUMNS($DC35:DG35)-1)*5 + 1), INDEX($E$8:$CE$57, MATCH($C35, $C$8:$C$57, 0), (COLUMNS($DC35:DG35)-1)*5 + 4) = "F"), INDEX($CZ$8:$CZ$23, COLUMNS($DC35:DG35)), "0"), "")</f>
        <v>110</v>
      </c>
      <c r="DH35" s="390" t="str">
        <f t="array" ref="DH35">IFERROR(IF(AND(INDEX($E$8:$CE$57, MATCH($C35, $C$8:$C$57, 0), (COLUMNS($DC35:DH35)-1)*5 + 1) = INDEX($E$5:$CE$5, 1, (COLUMNS($DC35:DH35)-1)*5 + 1), INDEX($E$8:$CE$57, MATCH($C35, $C$8:$C$57, 0), (COLUMNS($DC35:DH35)-1)*5 + 4) = "F"), INDEX($CZ$8:$CZ$23, COLUMNS($DC35:DH35)), "0"), "")</f>
        <v>0</v>
      </c>
      <c r="DI35" s="390" t="str">
        <f t="array" ref="DI35">IFERROR(IF(AND(INDEX($E$8:$CE$57, MATCH($C35, $C$8:$C$57, 0), (COLUMNS($DC35:DI35)-1)*5 + 1) = INDEX($E$5:$CE$5, 1, (COLUMNS($DC35:DI35)-1)*5 + 1), INDEX($E$8:$CE$57, MATCH($C35, $C$8:$C$57, 0), (COLUMNS($DC35:DI35)-1)*5 + 4) = "F"), INDEX($CZ$8:$CZ$23, COLUMNS($DC35:DI35)), "0"), "")</f>
        <v>0</v>
      </c>
      <c r="DJ35" s="390" t="str">
        <f t="array" ref="DJ35">IFERROR(IF(AND(INDEX($E$8:$CE$57, MATCH($C35, $C$8:$C$57, 0), (COLUMNS($DC35:DJ35)-1)*5 + 1) = INDEX($E$5:$CE$5, 1, (COLUMNS($DC35:DJ35)-1)*5 + 1), INDEX($E$8:$CE$57, MATCH($C35, $C$8:$C$57, 0), (COLUMNS($DC35:DJ35)-1)*5 + 4) = "F"), INDEX($CZ$8:$CZ$23, COLUMNS($DC35:DJ35)), "0"), "")</f>
        <v>0</v>
      </c>
      <c r="DK35" s="390" t="str">
        <f t="array" ref="DK35">IFERROR(IF(AND(INDEX($E$8:$CE$57, MATCH($C35, $C$8:$C$57, 0), (COLUMNS($DC35:DK35)-1)*5 + 1) = INDEX($E$5:$CE$5, 1, (COLUMNS($DC35:DK35)-1)*5 + 1), INDEX($E$8:$CE$57, MATCH($C35, $C$8:$C$57, 0), (COLUMNS($DC35:DK35)-1)*5 + 4) = "F"), INDEX($CZ$8:$CZ$23, COLUMNS($DC35:DK35)), "0"), "")</f>
        <v>0</v>
      </c>
      <c r="DL35" s="390" t="str">
        <f t="array" ref="DL35">IFERROR(IF(AND(INDEX($E$8:$CE$57, MATCH($C35, $C$8:$C$57, 0), (COLUMNS($DC35:DL35)-1)*5 + 1) = INDEX($E$5:$CE$5, 1, (COLUMNS($DC35:DL35)-1)*5 + 1), INDEX($E$8:$CE$57, MATCH($C35, $C$8:$C$57, 0), (COLUMNS($DC35:DL35)-1)*5 + 4) = "F"), INDEX($CZ$8:$CZ$23, COLUMNS($DC35:DL35)), "0"), "")</f>
        <v>0</v>
      </c>
      <c r="DM35" s="390" t="str">
        <f t="array" ref="DM35">IFERROR(IF(AND(INDEX($E$8:$CE$57, MATCH($C35, $C$8:$C$57, 0), (COLUMNS($DC35:DM35)-1)*5 + 1) = INDEX($E$5:$CE$5, 1, (COLUMNS($DC35:DM35)-1)*5 + 1), INDEX($E$8:$CE$57, MATCH($C35, $C$8:$C$57, 0), (COLUMNS($DC35:DM35)-1)*5 + 4) = "F"), INDEX($CZ$8:$CZ$23, COLUMNS($DC35:DM35)), "0"), "")</f>
        <v>0</v>
      </c>
      <c r="DN35" s="390" t="str">
        <f t="array" ref="DN35">IFERROR(IF(AND(INDEX($E$8:$CE$57, MATCH($C35, $C$8:$C$57, 0), (COLUMNS($DC35:DN35)-1)*5 + 1) = INDEX($E$5:$CE$5, 1, (COLUMNS($DC35:DN35)-1)*5 + 1), INDEX($E$8:$CE$57, MATCH($C35, $C$8:$C$57, 0), (COLUMNS($DC35:DN35)-1)*5 + 4) = "F"), INDEX($CZ$8:$CZ$23, COLUMNS($DC35:DN35)), "0"), "")</f>
        <v>0</v>
      </c>
      <c r="DO35" s="390" t="str">
        <f t="array" ref="DO35">IFERROR(IF(AND(INDEX($E$8:$CE$57, MATCH($C35, $C$8:$C$57, 0), (COLUMNS($DC35:DO35)-1)*5 + 1) = INDEX($E$5:$CE$5, 1, (COLUMNS($DC35:DO35)-1)*5 + 1), INDEX($E$8:$CE$57, MATCH($C35, $C$8:$C$57, 0), (COLUMNS($DC35:DO35)-1)*5 + 4) = "F"), INDEX($CZ$8:$CZ$23, COLUMNS($DC35:DO35)), "0"), "")</f>
        <v>0</v>
      </c>
      <c r="DP35" s="390" t="str">
        <f t="array" ref="DP35">IFERROR(IF(AND(INDEX($E$8:$CE$57, MATCH($C35, $C$8:$C$57, 0), (COLUMNS($DC35:DP35)-1)*5 + 1) = INDEX($E$5:$CE$5, 1, (COLUMNS($DC35:DP35)-1)*5 + 1), INDEX($E$8:$CE$57, MATCH($C35, $C$8:$C$57, 0), (COLUMNS($DC35:DP35)-1)*5 + 4) = "F"), INDEX($CZ$8:$CZ$23, COLUMNS($DC35:DP35)), "0"), "")</f>
        <v>0</v>
      </c>
      <c r="DQ35" s="390" t="str">
        <f t="array" ref="DQ35">IFERROR(IF(AND(INDEX($E$8:$CE$57, MATCH($C35, $C$8:$C$57, 0), (COLUMNS($DC35:DQ35)-1)*5 + 1) = INDEX($E$5:$CE$5, 1, (COLUMNS($DC35:DQ35)-1)*5 + 1), INDEX($E$8:$CE$57, MATCH($C35, $C$8:$C$57, 0), (COLUMNS($DC35:DQ35)-1)*5 + 4) = "F"), INDEX($CZ$8:$CZ$23, COLUMNS($DC35:DQ35)), "0"), "")</f>
        <v>0</v>
      </c>
      <c r="DR35" s="390" t="str">
        <f t="array" ref="DR35">IFERROR(IF(AND(INDEX($E$8:$CE$57, MATCH($C35, $C$8:$C$57, 0), (COLUMNS($DC35:DR35)-1)*5 + 1) = INDEX($E$5:$CE$5, 1, (COLUMNS($DC35:DR35)-1)*5 + 1), INDEX($E$8:$CE$57, MATCH($C35, $C$8:$C$57, 0), (COLUMNS($DC35:DR35)-1)*5 + 4) = "F"), INDEX($CZ$8:$CZ$23, COLUMNS($DC35:DR35)), "0"), "")</f>
        <v>0</v>
      </c>
      <c r="DT35" s="537" t="str">
        <f>BASE01[[#This Row],[COD]]</f>
        <v>COD 28</v>
      </c>
      <c r="DU35" s="390" t="str">
        <f t="array" ref="DU35">IFERROR(IF(AND(INDEX($E$8:$CE$57, MATCH($C35, $C$8:$C$57, 0), (COLUMNS($DU35:DU35)-1)*5 + 1) = INDEX($E$5:$CE$5, 1, (COLUMNS($DU35:DU35)-1)*5 + 1), INDEX($E$8:$CE$57, MATCH($C35, $C$8:$C$57, 0), (COLUMNS($DU35:DU35)-1)*5 + 4) = "SF"), INDEX($CZ$8:$CZ$23, COLUMNS($DU35:DU35)), "0"), "")</f>
        <v>0</v>
      </c>
      <c r="DV35" s="390" t="str">
        <f t="array" ref="DV35">IFERROR(IF(AND(INDEX($E$8:$CE$57, MATCH($C35, $C$8:$C$57, 0), (COLUMNS($DU35:DV35)-1)*5 + 1) = INDEX($E$5:$CE$5, 1, (COLUMNS($DU35:DV35)-1)*5 + 1), INDEX($E$8:$CE$57, MATCH($C35, $C$8:$C$57, 0), (COLUMNS($DU35:DV35)-1)*5 + 4) = "SF"), INDEX($CZ$8:$CZ$23, COLUMNS($DU35:DV35)), "0"), "")</f>
        <v>0</v>
      </c>
      <c r="DW35" s="390" t="str">
        <f t="array" ref="DW35">IFERROR(IF(AND(INDEX($E$8:$CE$57, MATCH($C35, $C$8:$C$57, 0), (COLUMNS($DU35:DW35)-1)*5 + 1) = INDEX($E$5:$CE$5, 1, (COLUMNS($DU35:DW35)-1)*5 + 1), INDEX($E$8:$CE$57, MATCH($C35, $C$8:$C$57, 0), (COLUMNS($DU35:DW35)-1)*5 + 4) = "SF"), INDEX($CZ$8:$CZ$23, COLUMNS($DU35:DW35)), "0"), "")</f>
        <v>0</v>
      </c>
      <c r="DX35" s="390">
        <f t="array" ref="DX35">IFERROR(IF(AND(INDEX($E$8:$CE$57, MATCH($C35, $C$8:$C$57, 0), (COLUMNS($DU35:DX35)-1)*5 + 1) = INDEX($E$5:$CE$5, 1, (COLUMNS($DU35:DX35)-1)*5 + 1), INDEX($E$8:$CE$57, MATCH($C35, $C$8:$C$57, 0), (COLUMNS($DU35:DX35)-1)*5 + 4) = "SF"), INDEX($CZ$8:$CZ$23, COLUMNS($DU35:DX35)), "0"), "")</f>
        <v>110</v>
      </c>
      <c r="DY35" s="390" t="str">
        <f t="array" ref="DY35">IFERROR(IF(AND(INDEX($E$8:$CE$57, MATCH($C35, $C$8:$C$57, 0), (COLUMNS($DU35:DY35)-1)*5 + 1) = INDEX($E$5:$CE$5, 1, (COLUMNS($DU35:DY35)-1)*5 + 1), INDEX($E$8:$CE$57, MATCH($C35, $C$8:$C$57, 0), (COLUMNS($DU35:DY35)-1)*5 + 4) = "SF"), INDEX($CZ$8:$CZ$23, COLUMNS($DU35:DY35)), "0"), "")</f>
        <v>0</v>
      </c>
      <c r="DZ35" s="390" t="str">
        <f t="array" ref="DZ35">IFERROR(IF(AND(INDEX($E$8:$CE$57, MATCH($C35, $C$8:$C$57, 0), (COLUMNS($DU35:DZ35)-1)*5 + 1) = INDEX($E$5:$CE$5, 1, (COLUMNS($DU35:DZ35)-1)*5 + 1), INDEX($E$8:$CE$57, MATCH($C35, $C$8:$C$57, 0), (COLUMNS($DU35:DZ35)-1)*5 + 4) = "SF"), INDEX($CZ$8:$CZ$23, COLUMNS($DU35:DZ35)), "0"), "")</f>
        <v>0</v>
      </c>
      <c r="EA35" s="390" t="str">
        <f t="array" ref="EA35">IFERROR(IF(AND(INDEX($E$8:$CE$57, MATCH($C35, $C$8:$C$57, 0), (COLUMNS($DU35:EA35)-1)*5 + 1) = INDEX($E$5:$CE$5, 1, (COLUMNS($DU35:EA35)-1)*5 + 1), INDEX($E$8:$CE$57, MATCH($C35, $C$8:$C$57, 0), (COLUMNS($DU35:EA35)-1)*5 + 4) = "SF"), INDEX($CZ$8:$CZ$23, COLUMNS($DU35:EA35)), "0"), "")</f>
        <v>0</v>
      </c>
      <c r="EB35" s="390" t="str">
        <f t="array" ref="EB35">IFERROR(IF(AND(INDEX($E$8:$CE$57, MATCH($C35, $C$8:$C$57, 0), (COLUMNS($DU35:EB35)-1)*5 + 1) = INDEX($E$5:$CE$5, 1, (COLUMNS($DU35:EB35)-1)*5 + 1), INDEX($E$8:$CE$57, MATCH($C35, $C$8:$C$57, 0), (COLUMNS($DU35:EB35)-1)*5 + 4) = "SF"), INDEX($CZ$8:$CZ$23, COLUMNS($DU35:EB35)), "0"), "")</f>
        <v>0</v>
      </c>
      <c r="EC35" s="390" t="str">
        <f t="array" ref="EC35">IFERROR(IF(AND(INDEX($E$8:$CE$57, MATCH($C35, $C$8:$C$57, 0), (COLUMNS($DU35:EC35)-1)*5 + 1) = INDEX($E$5:$CE$5, 1, (COLUMNS($DU35:EC35)-1)*5 + 1), INDEX($E$8:$CE$57, MATCH($C35, $C$8:$C$57, 0), (COLUMNS($DU35:EC35)-1)*5 + 4) = "SF"), INDEX($CZ$8:$CZ$23, COLUMNS($DU35:EC35)), "0"), "")</f>
        <v>0</v>
      </c>
      <c r="ED35" s="390" t="str">
        <f t="array" ref="ED35">IFERROR(IF(AND(INDEX($E$8:$CE$57, MATCH($C35, $C$8:$C$57, 0), (COLUMNS($DU35:ED35)-1)*5 + 1) = INDEX($E$5:$CE$5, 1, (COLUMNS($DU35:ED35)-1)*5 + 1), INDEX($E$8:$CE$57, MATCH($C35, $C$8:$C$57, 0), (COLUMNS($DU35:ED35)-1)*5 + 4) = "SF"), INDEX($CZ$8:$CZ$23, COLUMNS($DU35:ED35)), "0"), "")</f>
        <v>0</v>
      </c>
      <c r="EE35" s="390" t="str">
        <f t="array" ref="EE35">IFERROR(IF(AND(INDEX($E$8:$CE$57, MATCH($C35, $C$8:$C$57, 0), (COLUMNS($DU35:EE35)-1)*5 + 1) = INDEX($E$5:$CE$5, 1, (COLUMNS($DU35:EE35)-1)*5 + 1), INDEX($E$8:$CE$57, MATCH($C35, $C$8:$C$57, 0), (COLUMNS($DU35:EE35)-1)*5 + 4) = "SF"), INDEX($CZ$8:$CZ$23, COLUMNS($DU35:EE35)), "0"), "")</f>
        <v>0</v>
      </c>
      <c r="EF35" s="390" t="str">
        <f t="array" ref="EF35">IFERROR(IF(AND(INDEX($E$8:$CE$57, MATCH($C35, $C$8:$C$57, 0), (COLUMNS($DU35:EF35)-1)*5 + 1) = INDEX($E$5:$CE$5, 1, (COLUMNS($DU35:EF35)-1)*5 + 1), INDEX($E$8:$CE$57, MATCH($C35, $C$8:$C$57, 0), (COLUMNS($DU35:EF35)-1)*5 + 4) = "SF"), INDEX($CZ$8:$CZ$23, COLUMNS($DU35:EF35)), "0"), "")</f>
        <v>0</v>
      </c>
      <c r="EG35" s="390" t="str">
        <f t="array" ref="EG35">IFERROR(IF(AND(INDEX($E$8:$CE$57, MATCH($C35, $C$8:$C$57, 0), (COLUMNS($DU35:EG35)-1)*5 + 1) = INDEX($E$5:$CE$5, 1, (COLUMNS($DU35:EG35)-1)*5 + 1), INDEX($E$8:$CE$57, MATCH($C35, $C$8:$C$57, 0), (COLUMNS($DU35:EG35)-1)*5 + 4) = "SF"), INDEX($CZ$8:$CZ$23, COLUMNS($DU35:EG35)), "0"), "")</f>
        <v>0</v>
      </c>
      <c r="EH35" s="390" t="str">
        <f t="array" ref="EH35">IFERROR(IF(AND(INDEX($E$8:$CE$57, MATCH($C35, $C$8:$C$57, 0), (COLUMNS($DU35:EH35)-1)*5 + 1) = INDEX($E$5:$CE$5, 1, (COLUMNS($DU35:EH35)-1)*5 + 1), INDEX($E$8:$CE$57, MATCH($C35, $C$8:$C$57, 0), (COLUMNS($DU35:EH35)-1)*5 + 4) = "SF"), INDEX($CZ$8:$CZ$23, COLUMNS($DU35:EH35)), "0"), "")</f>
        <v>0</v>
      </c>
      <c r="EI35" s="390" t="str">
        <f t="array" ref="EI35">IFERROR(IF(AND(INDEX($E$8:$CE$57, MATCH($C35, $C$8:$C$57, 0), (COLUMNS($DU35:EI35)-1)*5 + 1) = INDEX($E$5:$CE$5, 1, (COLUMNS($DU35:EI35)-1)*5 + 1), INDEX($E$8:$CE$57, MATCH($C35, $C$8:$C$57, 0), (COLUMNS($DU35:EI35)-1)*5 + 4) = "SF"), INDEX($CZ$8:$CZ$23, COLUMNS($DU35:EI35)), "0"), "")</f>
        <v>0</v>
      </c>
      <c r="EJ35" s="390" t="str">
        <f t="array" ref="EJ35">IFERROR(IF(AND(INDEX($E$8:$CE$57, MATCH($C35, $C$8:$C$57, 0), (COLUMNS($DU35:EJ35)-1)*5 + 1) = INDEX($E$5:$CE$5, 1, (COLUMNS($DU35:EJ35)-1)*5 + 1), INDEX($E$8:$CE$57, MATCH($C35, $C$8:$C$57, 0), (COLUMNS($DU35:EJ35)-1)*5 + 4) = "SF"), INDEX($CZ$8:$CZ$23, COLUMNS($DU35:EJ35)), "0"), "")</f>
        <v>0</v>
      </c>
    </row>
    <row r="36" spans="1:140" ht="19.5" customHeight="1" x14ac:dyDescent="0.35">
      <c r="A36" s="515"/>
      <c r="B36" s="91">
        <f>IF(BASE01[[#This Row],[COD]]&lt;&gt;"",B35+1,"")</f>
        <v>29</v>
      </c>
      <c r="C36" s="533" t="s">
        <v>88</v>
      </c>
      <c r="D36" s="92" t="str">
        <f t="array" ref="D36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36" s="143">
        <v>6</v>
      </c>
      <c r="F36" s="144">
        <v>1</v>
      </c>
      <c r="G36" s="144">
        <v>8</v>
      </c>
      <c r="H36" s="144"/>
      <c r="I36" s="534">
        <f t="shared" si="0"/>
        <v>1</v>
      </c>
      <c r="J36" s="143">
        <v>8</v>
      </c>
      <c r="K36" s="144">
        <v>3</v>
      </c>
      <c r="L36" s="144">
        <v>5</v>
      </c>
      <c r="M36" s="144"/>
      <c r="N36" s="534">
        <f t="shared" si="1"/>
        <v>4</v>
      </c>
      <c r="O36" s="143">
        <v>3</v>
      </c>
      <c r="P36" s="144">
        <v>8</v>
      </c>
      <c r="Q36" s="144">
        <v>6</v>
      </c>
      <c r="R36" s="144"/>
      <c r="S36" s="534">
        <f t="shared" si="2"/>
        <v>1</v>
      </c>
      <c r="T36" s="143">
        <v>6</v>
      </c>
      <c r="U36" s="144">
        <v>8</v>
      </c>
      <c r="V36" s="144">
        <v>9</v>
      </c>
      <c r="W36" s="144"/>
      <c r="X36" s="534">
        <f t="shared" si="3"/>
        <v>3.5</v>
      </c>
      <c r="Y36" s="143">
        <v>5</v>
      </c>
      <c r="Z36" s="144"/>
      <c r="AA36" s="144"/>
      <c r="AB36" s="144" t="s">
        <v>255</v>
      </c>
      <c r="AC36" s="534">
        <f t="shared" si="4"/>
        <v>7.5</v>
      </c>
      <c r="AD36" s="143">
        <v>7</v>
      </c>
      <c r="AE36" s="144">
        <v>5</v>
      </c>
      <c r="AF36" s="144">
        <v>2</v>
      </c>
      <c r="AG36" s="144" t="s">
        <v>254</v>
      </c>
      <c r="AH36" s="534">
        <f t="shared" si="5"/>
        <v>3</v>
      </c>
      <c r="AI36" s="143">
        <v>3</v>
      </c>
      <c r="AJ36" s="144">
        <v>4</v>
      </c>
      <c r="AK36" s="144">
        <v>8</v>
      </c>
      <c r="AL36" s="144"/>
      <c r="AM36" s="534">
        <f t="shared" si="6"/>
        <v>2</v>
      </c>
      <c r="AN36" s="143">
        <v>8</v>
      </c>
      <c r="AO36" s="144">
        <v>9</v>
      </c>
      <c r="AP36" s="144">
        <v>11</v>
      </c>
      <c r="AQ36" s="144" t="s">
        <v>254</v>
      </c>
      <c r="AR36" s="534">
        <f t="shared" si="7"/>
        <v>0</v>
      </c>
      <c r="AS36" s="143">
        <v>3</v>
      </c>
      <c r="AT36" s="144">
        <v>7</v>
      </c>
      <c r="AU36" s="144">
        <v>1</v>
      </c>
      <c r="AV36" s="144"/>
      <c r="AW36" s="534">
        <f t="shared" si="8"/>
        <v>0</v>
      </c>
      <c r="AX36" s="143">
        <v>1</v>
      </c>
      <c r="AY36" s="144">
        <v>9</v>
      </c>
      <c r="AZ36" s="144">
        <v>8</v>
      </c>
      <c r="BA36" s="144"/>
      <c r="BB36" s="534">
        <f t="shared" si="9"/>
        <v>4</v>
      </c>
      <c r="BC36" s="143">
        <v>4</v>
      </c>
      <c r="BD36" s="144">
        <v>2</v>
      </c>
      <c r="BE36" s="144">
        <v>3</v>
      </c>
      <c r="BF36" s="144"/>
      <c r="BG36" s="534">
        <f t="shared" si="10"/>
        <v>5</v>
      </c>
      <c r="BH36" s="143">
        <v>5</v>
      </c>
      <c r="BI36" s="144">
        <v>6</v>
      </c>
      <c r="BJ36" s="144">
        <v>2</v>
      </c>
      <c r="BK36" s="144"/>
      <c r="BL36" s="534">
        <f t="shared" si="11"/>
        <v>4</v>
      </c>
      <c r="BM36" s="143">
        <v>3</v>
      </c>
      <c r="BN36" s="144">
        <v>12</v>
      </c>
      <c r="BO36" s="144">
        <v>1</v>
      </c>
      <c r="BP36" s="144"/>
      <c r="BQ36" s="534">
        <f t="shared" si="12"/>
        <v>4</v>
      </c>
      <c r="BR36" s="143"/>
      <c r="BS36" s="144"/>
      <c r="BT36" s="144"/>
      <c r="BU36" s="144"/>
      <c r="BV36" s="534">
        <f t="shared" si="13"/>
        <v>0</v>
      </c>
      <c r="BW36" s="143"/>
      <c r="BX36" s="144"/>
      <c r="BY36" s="144"/>
      <c r="BZ36" s="144"/>
      <c r="CA36" s="534">
        <f t="shared" si="14"/>
        <v>0</v>
      </c>
      <c r="CB36" s="143"/>
      <c r="CC36" s="144"/>
      <c r="CD36" s="144"/>
      <c r="CE36" s="144"/>
      <c r="CF36" s="534">
        <f t="shared" si="15"/>
        <v>0</v>
      </c>
      <c r="CG36" s="162">
        <f>IF(BASE01[[#This Row],[1]]="",0,$B$4)</f>
        <v>13</v>
      </c>
      <c r="CH36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5</v>
      </c>
      <c r="CI36" s="164">
        <f>IF(BASE01[[#This Row],[Columna14]]=0,0,(CH36/CG36))</f>
        <v>0.38461538461538464</v>
      </c>
      <c r="CJ36" s="163">
        <f>IF(BASE01[[#This Row],[1]]="",0,$B$4)</f>
        <v>13</v>
      </c>
      <c r="CK36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7</v>
      </c>
      <c r="CL36" s="164">
        <f>IF(BASE01[[#This Row],[Columna14]]=0,0,(CK36/CJ36))</f>
        <v>0.53846153846153844</v>
      </c>
      <c r="CM36" s="162">
        <f>IF(BASE01[[#This Row],[1]]="",0,$B$4)</f>
        <v>13</v>
      </c>
      <c r="CN36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11</v>
      </c>
      <c r="CO36" s="164">
        <f>IF(BASE01[[#This Row],[Columna14]]=0,0,(CN36/CM36))</f>
        <v>0.84615384615384615</v>
      </c>
      <c r="CP36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36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Row],[Columna25]],$AX$5,BA36,"SF")+COUNTIFS(BASE01[[#This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1</v>
      </c>
      <c r="CR36" s="164">
        <f>IF(BASE01[[#This Row],[Columna14]]=0,0,(CQ36/CP36))</f>
        <v>0.33333333333333331</v>
      </c>
      <c r="CS36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39</v>
      </c>
      <c r="CT36" s="93"/>
      <c r="CU36" s="536">
        <f t="shared" si="16"/>
        <v>39</v>
      </c>
      <c r="CV36" s="94">
        <f>IF(BASE01[[#This Row],[TIPO]]="PREMIO",$O$3,"0,00")</f>
        <v>1000</v>
      </c>
      <c r="CW36" s="515"/>
      <c r="CY36" s="538" t="str">
        <f t="shared" si="17"/>
        <v/>
      </c>
      <c r="CZ36" s="387"/>
      <c r="DA36" s="387" t="str">
        <f t="array" ref="DA36">IF(CZ36="", "", IF((INDEX(E$8:CE$57, MATCH(CZ36, C$8:C$57, 0), ($CZ$25-1)*5 + 1) &amp; "") = (INDEX(E$5:CE$5, 1, ($CZ$25-1)*5 + 1) &amp; ""), 1, IF((INDEX(E$8:CE$57, MATCH(CZ36, C$8:C$57, 0), ($CZ$25-1)*5 + 2) &amp; "") = (INDEX(E$5:CE$5, 1, ($CZ$25-1)*5 + 1) &amp; ""), 2, IF((INDEX(E$8:CE$57, MATCH(CZ36, C$8:C$57, 0), ($CZ$25-1)*5 + 3) &amp; "") = (INDEX(E$5:CE$5, 1, ($CZ$25-1)*5 + 1) &amp; ""), 3, ""))))</f>
        <v/>
      </c>
      <c r="DB36" s="537" t="str">
        <f>BASE01[[#This Row],[COD]]</f>
        <v>COD 29</v>
      </c>
      <c r="DC36" s="390" t="str">
        <f t="array" ref="DC36">IFERROR(IF(AND(INDEX($E$8:$CE$57, MATCH($C36, $C$8:$C$57, 0), (COLUMNS($DC36:DC36)-1)*5 + 1) = INDEX($E$5:$CE$5, 1, (COLUMNS($DC36:DC36)-1)*5 + 1), INDEX($E$8:$CE$57, MATCH($C36, $C$8:$C$57, 0), (COLUMNS($DC36:DC36)-1)*5 + 4) = "F"), INDEX($CZ$8:$CZ$23, COLUMNS($DC36:DC36)), "0"), "")</f>
        <v>0</v>
      </c>
      <c r="DD36" s="390" t="str">
        <f t="array" ref="DD36">IFERROR(IF(AND(INDEX($E$8:$CE$57, MATCH($C36, $C$8:$C$57, 0), (COLUMNS($DC36:DD36)-1)*5 + 1) = INDEX($E$5:$CE$5, 1, (COLUMNS($DC36:DD36)-1)*5 + 1), INDEX($E$8:$CE$57, MATCH($C36, $C$8:$C$57, 0), (COLUMNS($DC36:DD36)-1)*5 + 4) = "F"), INDEX($CZ$8:$CZ$23, COLUMNS($DC36:DD36)), "0"), "")</f>
        <v>0</v>
      </c>
      <c r="DE36" s="390" t="str">
        <f t="array" ref="DE36">IFERROR(IF(AND(INDEX($E$8:$CE$57, MATCH($C36, $C$8:$C$57, 0), (COLUMNS($DC36:DE36)-1)*5 + 1) = INDEX($E$5:$CE$5, 1, (COLUMNS($DC36:DE36)-1)*5 + 1), INDEX($E$8:$CE$57, MATCH($C36, $C$8:$C$57, 0), (COLUMNS($DC36:DE36)-1)*5 + 4) = "F"), INDEX($CZ$8:$CZ$23, COLUMNS($DC36:DE36)), "0"), "")</f>
        <v>0</v>
      </c>
      <c r="DF36" s="390" t="str">
        <f t="array" ref="DF36">IFERROR(IF(AND(INDEX($E$8:$CE$57, MATCH($C36, $C$8:$C$57, 0), (COLUMNS($DC36:DF36)-1)*5 + 1) = INDEX($E$5:$CE$5, 1, (COLUMNS($DC36:DF36)-1)*5 + 1), INDEX($E$8:$CE$57, MATCH($C36, $C$8:$C$57, 0), (COLUMNS($DC36:DF36)-1)*5 + 4) = "F"), INDEX($CZ$8:$CZ$23, COLUMNS($DC36:DF36)), "0"), "")</f>
        <v>0</v>
      </c>
      <c r="DG36" s="390" t="str">
        <f t="array" ref="DG36">IFERROR(IF(AND(INDEX($E$8:$CE$57, MATCH($C36, $C$8:$C$57, 0), (COLUMNS($DC36:DG36)-1)*5 + 1) = INDEX($E$5:$CE$5, 1, (COLUMNS($DC36:DG36)-1)*5 + 1), INDEX($E$8:$CE$57, MATCH($C36, $C$8:$C$57, 0), (COLUMNS($DC36:DG36)-1)*5 + 4) = "F"), INDEX($CZ$8:$CZ$23, COLUMNS($DC36:DG36)), "0"), "")</f>
        <v>0</v>
      </c>
      <c r="DH36" s="390" t="str">
        <f t="array" ref="DH36">IFERROR(IF(AND(INDEX($E$8:$CE$57, MATCH($C36, $C$8:$C$57, 0), (COLUMNS($DC36:DH36)-1)*5 + 1) = INDEX($E$5:$CE$5, 1, (COLUMNS($DC36:DH36)-1)*5 + 1), INDEX($E$8:$CE$57, MATCH($C36, $C$8:$C$57, 0), (COLUMNS($DC36:DH36)-1)*5 + 4) = "F"), INDEX($CZ$8:$CZ$23, COLUMNS($DC36:DH36)), "0"), "")</f>
        <v>0</v>
      </c>
      <c r="DI36" s="390" t="str">
        <f t="array" ref="DI36">IFERROR(IF(AND(INDEX($E$8:$CE$57, MATCH($C36, $C$8:$C$57, 0), (COLUMNS($DC36:DI36)-1)*5 + 1) = INDEX($E$5:$CE$5, 1, (COLUMNS($DC36:DI36)-1)*5 + 1), INDEX($E$8:$CE$57, MATCH($C36, $C$8:$C$57, 0), (COLUMNS($DC36:DI36)-1)*5 + 4) = "F"), INDEX($CZ$8:$CZ$23, COLUMNS($DC36:DI36)), "0"), "")</f>
        <v>0</v>
      </c>
      <c r="DJ36" s="390" t="str">
        <f t="array" ref="DJ36">IFERROR(IF(AND(INDEX($E$8:$CE$57, MATCH($C36, $C$8:$C$57, 0), (COLUMNS($DC36:DJ36)-1)*5 + 1) = INDEX($E$5:$CE$5, 1, (COLUMNS($DC36:DJ36)-1)*5 + 1), INDEX($E$8:$CE$57, MATCH($C36, $C$8:$C$57, 0), (COLUMNS($DC36:DJ36)-1)*5 + 4) = "F"), INDEX($CZ$8:$CZ$23, COLUMNS($DC36:DJ36)), "0"), "")</f>
        <v>0</v>
      </c>
      <c r="DK36" s="390" t="str">
        <f t="array" ref="DK36">IFERROR(IF(AND(INDEX($E$8:$CE$57, MATCH($C36, $C$8:$C$57, 0), (COLUMNS($DC36:DK36)-1)*5 + 1) = INDEX($E$5:$CE$5, 1, (COLUMNS($DC36:DK36)-1)*5 + 1), INDEX($E$8:$CE$57, MATCH($C36, $C$8:$C$57, 0), (COLUMNS($DC36:DK36)-1)*5 + 4) = "F"), INDEX($CZ$8:$CZ$23, COLUMNS($DC36:DK36)), "0"), "")</f>
        <v>0</v>
      </c>
      <c r="DL36" s="390" t="str">
        <f t="array" ref="DL36">IFERROR(IF(AND(INDEX($E$8:$CE$57, MATCH($C36, $C$8:$C$57, 0), (COLUMNS($DC36:DL36)-1)*5 + 1) = INDEX($E$5:$CE$5, 1, (COLUMNS($DC36:DL36)-1)*5 + 1), INDEX($E$8:$CE$57, MATCH($C36, $C$8:$C$57, 0), (COLUMNS($DC36:DL36)-1)*5 + 4) = "F"), INDEX($CZ$8:$CZ$23, COLUMNS($DC36:DL36)), "0"), "")</f>
        <v>0</v>
      </c>
      <c r="DM36" s="390" t="str">
        <f t="array" ref="DM36">IFERROR(IF(AND(INDEX($E$8:$CE$57, MATCH($C36, $C$8:$C$57, 0), (COLUMNS($DC36:DM36)-1)*5 + 1) = INDEX($E$5:$CE$5, 1, (COLUMNS($DC36:DM36)-1)*5 + 1), INDEX($E$8:$CE$57, MATCH($C36, $C$8:$C$57, 0), (COLUMNS($DC36:DM36)-1)*5 + 4) = "F"), INDEX($CZ$8:$CZ$23, COLUMNS($DC36:DM36)), "0"), "")</f>
        <v>0</v>
      </c>
      <c r="DN36" s="390" t="str">
        <f t="array" ref="DN36">IFERROR(IF(AND(INDEX($E$8:$CE$57, MATCH($C36, $C$8:$C$57, 0), (COLUMNS($DC36:DN36)-1)*5 + 1) = INDEX($E$5:$CE$5, 1, (COLUMNS($DC36:DN36)-1)*5 + 1), INDEX($E$8:$CE$57, MATCH($C36, $C$8:$C$57, 0), (COLUMNS($DC36:DN36)-1)*5 + 4) = "F"), INDEX($CZ$8:$CZ$23, COLUMNS($DC36:DN36)), "0"), "")</f>
        <v>0</v>
      </c>
      <c r="DO36" s="390" t="str">
        <f t="array" ref="DO36">IFERROR(IF(AND(INDEX($E$8:$CE$57, MATCH($C36, $C$8:$C$57, 0), (COLUMNS($DC36:DO36)-1)*5 + 1) = INDEX($E$5:$CE$5, 1, (COLUMNS($DC36:DO36)-1)*5 + 1), INDEX($E$8:$CE$57, MATCH($C36, $C$8:$C$57, 0), (COLUMNS($DC36:DO36)-1)*5 + 4) = "F"), INDEX($CZ$8:$CZ$23, COLUMNS($DC36:DO36)), "0"), "")</f>
        <v>0</v>
      </c>
      <c r="DP36" s="390" t="str">
        <f t="array" ref="DP36">IFERROR(IF(AND(INDEX($E$8:$CE$57, MATCH($C36, $C$8:$C$57, 0), (COLUMNS($DC36:DP36)-1)*5 + 1) = INDEX($E$5:$CE$5, 1, (COLUMNS($DC36:DP36)-1)*5 + 1), INDEX($E$8:$CE$57, MATCH($C36, $C$8:$C$57, 0), (COLUMNS($DC36:DP36)-1)*5 + 4) = "F"), INDEX($CZ$8:$CZ$23, COLUMNS($DC36:DP36)), "0"), "")</f>
        <v>0</v>
      </c>
      <c r="DQ36" s="390" t="str">
        <f t="array" ref="DQ36">IFERROR(IF(AND(INDEX($E$8:$CE$57, MATCH($C36, $C$8:$C$57, 0), (COLUMNS($DC36:DQ36)-1)*5 + 1) = INDEX($E$5:$CE$5, 1, (COLUMNS($DC36:DQ36)-1)*5 + 1), INDEX($E$8:$CE$57, MATCH($C36, $C$8:$C$57, 0), (COLUMNS($DC36:DQ36)-1)*5 + 4) = "F"), INDEX($CZ$8:$CZ$23, COLUMNS($DC36:DQ36)), "0"), "")</f>
        <v>0</v>
      </c>
      <c r="DR36" s="390" t="str">
        <f t="array" ref="DR36">IFERROR(IF(AND(INDEX($E$8:$CE$57, MATCH($C36, $C$8:$C$57, 0), (COLUMNS($DC36:DR36)-1)*5 + 1) = INDEX($E$5:$CE$5, 1, (COLUMNS($DC36:DR36)-1)*5 + 1), INDEX($E$8:$CE$57, MATCH($C36, $C$8:$C$57, 0), (COLUMNS($DC36:DR36)-1)*5 + 4) = "F"), INDEX($CZ$8:$CZ$23, COLUMNS($DC36:DR36)), "0"), "")</f>
        <v>0</v>
      </c>
      <c r="DT36" s="537" t="str">
        <f>BASE01[[#This Row],[COD]]</f>
        <v>COD 29</v>
      </c>
      <c r="DU36" s="390" t="str">
        <f t="array" ref="DU36">IFERROR(IF(AND(INDEX($E$8:$CE$57, MATCH($C36, $C$8:$C$57, 0), (COLUMNS($DU36:DU36)-1)*5 + 1) = INDEX($E$5:$CE$5, 1, (COLUMNS($DU36:DU36)-1)*5 + 1), INDEX($E$8:$CE$57, MATCH($C36, $C$8:$C$57, 0), (COLUMNS($DU36:DU36)-1)*5 + 4) = "SF"), INDEX($CZ$8:$CZ$23, COLUMNS($DU36:DU36)), "0"), "")</f>
        <v>0</v>
      </c>
      <c r="DV36" s="390" t="str">
        <f t="array" ref="DV36">IFERROR(IF(AND(INDEX($E$8:$CE$57, MATCH($C36, $C$8:$C$57, 0), (COLUMNS($DU36:DV36)-1)*5 + 1) = INDEX($E$5:$CE$5, 1, (COLUMNS($DU36:DV36)-1)*5 + 1), INDEX($E$8:$CE$57, MATCH($C36, $C$8:$C$57, 0), (COLUMNS($DU36:DV36)-1)*5 + 4) = "SF"), INDEX($CZ$8:$CZ$23, COLUMNS($DU36:DV36)), "0"), "")</f>
        <v>0</v>
      </c>
      <c r="DW36" s="390" t="str">
        <f t="array" ref="DW36">IFERROR(IF(AND(INDEX($E$8:$CE$57, MATCH($C36, $C$8:$C$57, 0), (COLUMNS($DU36:DW36)-1)*5 + 1) = INDEX($E$5:$CE$5, 1, (COLUMNS($DU36:DW36)-1)*5 + 1), INDEX($E$8:$CE$57, MATCH($C36, $C$8:$C$57, 0), (COLUMNS($DU36:DW36)-1)*5 + 4) = "SF"), INDEX($CZ$8:$CZ$23, COLUMNS($DU36:DW36)), "0"), "")</f>
        <v>0</v>
      </c>
      <c r="DX36" s="390" t="str">
        <f t="array" ref="DX36">IFERROR(IF(AND(INDEX($E$8:$CE$57, MATCH($C36, $C$8:$C$57, 0), (COLUMNS($DU36:DX36)-1)*5 + 1) = INDEX($E$5:$CE$5, 1, (COLUMNS($DU36:DX36)-1)*5 + 1), INDEX($E$8:$CE$57, MATCH($C36, $C$8:$C$57, 0), (COLUMNS($DU36:DX36)-1)*5 + 4) = "SF"), INDEX($CZ$8:$CZ$23, COLUMNS($DU36:DX36)), "0"), "")</f>
        <v>0</v>
      </c>
      <c r="DY36" s="390">
        <f t="array" ref="DY36">IFERROR(IF(AND(INDEX($E$8:$CE$57, MATCH($C36, $C$8:$C$57, 0), (COLUMNS($DU36:DY36)-1)*5 + 1) = INDEX($E$5:$CE$5, 1, (COLUMNS($DU36:DY36)-1)*5 + 1), INDEX($E$8:$CE$57, MATCH($C36, $C$8:$C$57, 0), (COLUMNS($DU36:DY36)-1)*5 + 4) = "SF"), INDEX($CZ$8:$CZ$23, COLUMNS($DU36:DY36)), "0"), "")</f>
        <v>110</v>
      </c>
      <c r="DZ36" s="390" t="str">
        <f t="array" ref="DZ36">IFERROR(IF(AND(INDEX($E$8:$CE$57, MATCH($C36, $C$8:$C$57, 0), (COLUMNS($DU36:DZ36)-1)*5 + 1) = INDEX($E$5:$CE$5, 1, (COLUMNS($DU36:DZ36)-1)*5 + 1), INDEX($E$8:$CE$57, MATCH($C36, $C$8:$C$57, 0), (COLUMNS($DU36:DZ36)-1)*5 + 4) = "SF"), INDEX($CZ$8:$CZ$23, COLUMNS($DU36:DZ36)), "0"), "")</f>
        <v>0</v>
      </c>
      <c r="EA36" s="390" t="str">
        <f t="array" ref="EA36">IFERROR(IF(AND(INDEX($E$8:$CE$57, MATCH($C36, $C$8:$C$57, 0), (COLUMNS($DU36:EA36)-1)*5 + 1) = INDEX($E$5:$CE$5, 1, (COLUMNS($DU36:EA36)-1)*5 + 1), INDEX($E$8:$CE$57, MATCH($C36, $C$8:$C$57, 0), (COLUMNS($DU36:EA36)-1)*5 + 4) = "SF"), INDEX($CZ$8:$CZ$23, COLUMNS($DU36:EA36)), "0"), "")</f>
        <v>0</v>
      </c>
      <c r="EB36" s="390" t="str">
        <f t="array" ref="EB36">IFERROR(IF(AND(INDEX($E$8:$CE$57, MATCH($C36, $C$8:$C$57, 0), (COLUMNS($DU36:EB36)-1)*5 + 1) = INDEX($E$5:$CE$5, 1, (COLUMNS($DU36:EB36)-1)*5 + 1), INDEX($E$8:$CE$57, MATCH($C36, $C$8:$C$57, 0), (COLUMNS($DU36:EB36)-1)*5 + 4) = "SF"), INDEX($CZ$8:$CZ$23, COLUMNS($DU36:EB36)), "0"), "")</f>
        <v>0</v>
      </c>
      <c r="EC36" s="390" t="str">
        <f t="array" ref="EC36">IFERROR(IF(AND(INDEX($E$8:$CE$57, MATCH($C36, $C$8:$C$57, 0), (COLUMNS($DU36:EC36)-1)*5 + 1) = INDEX($E$5:$CE$5, 1, (COLUMNS($DU36:EC36)-1)*5 + 1), INDEX($E$8:$CE$57, MATCH($C36, $C$8:$C$57, 0), (COLUMNS($DU36:EC36)-1)*5 + 4) = "SF"), INDEX($CZ$8:$CZ$23, COLUMNS($DU36:EC36)), "0"), "")</f>
        <v>0</v>
      </c>
      <c r="ED36" s="390" t="str">
        <f t="array" ref="ED36">IFERROR(IF(AND(INDEX($E$8:$CE$57, MATCH($C36, $C$8:$C$57, 0), (COLUMNS($DU36:ED36)-1)*5 + 1) = INDEX($E$5:$CE$5, 1, (COLUMNS($DU36:ED36)-1)*5 + 1), INDEX($E$8:$CE$57, MATCH($C36, $C$8:$C$57, 0), (COLUMNS($DU36:ED36)-1)*5 + 4) = "SF"), INDEX($CZ$8:$CZ$23, COLUMNS($DU36:ED36)), "0"), "")</f>
        <v>0</v>
      </c>
      <c r="EE36" s="390" t="str">
        <f t="array" ref="EE36">IFERROR(IF(AND(INDEX($E$8:$CE$57, MATCH($C36, $C$8:$C$57, 0), (COLUMNS($DU36:EE36)-1)*5 + 1) = INDEX($E$5:$CE$5, 1, (COLUMNS($DU36:EE36)-1)*5 + 1), INDEX($E$8:$CE$57, MATCH($C36, $C$8:$C$57, 0), (COLUMNS($DU36:EE36)-1)*5 + 4) = "SF"), INDEX($CZ$8:$CZ$23, COLUMNS($DU36:EE36)), "0"), "")</f>
        <v>0</v>
      </c>
      <c r="EF36" s="390" t="str">
        <f t="array" ref="EF36">IFERROR(IF(AND(INDEX($E$8:$CE$57, MATCH($C36, $C$8:$C$57, 0), (COLUMNS($DU36:EF36)-1)*5 + 1) = INDEX($E$5:$CE$5, 1, (COLUMNS($DU36:EF36)-1)*5 + 1), INDEX($E$8:$CE$57, MATCH($C36, $C$8:$C$57, 0), (COLUMNS($DU36:EF36)-1)*5 + 4) = "SF"), INDEX($CZ$8:$CZ$23, COLUMNS($DU36:EF36)), "0"), "")</f>
        <v>0</v>
      </c>
      <c r="EG36" s="390" t="str">
        <f t="array" ref="EG36">IFERROR(IF(AND(INDEX($E$8:$CE$57, MATCH($C36, $C$8:$C$57, 0), (COLUMNS($DU36:EG36)-1)*5 + 1) = INDEX($E$5:$CE$5, 1, (COLUMNS($DU36:EG36)-1)*5 + 1), INDEX($E$8:$CE$57, MATCH($C36, $C$8:$C$57, 0), (COLUMNS($DU36:EG36)-1)*5 + 4) = "SF"), INDEX($CZ$8:$CZ$23, COLUMNS($DU36:EG36)), "0"), "")</f>
        <v>0</v>
      </c>
      <c r="EH36" s="390" t="str">
        <f t="array" ref="EH36">IFERROR(IF(AND(INDEX($E$8:$CE$57, MATCH($C36, $C$8:$C$57, 0), (COLUMNS($DU36:EH36)-1)*5 + 1) = INDEX($E$5:$CE$5, 1, (COLUMNS($DU36:EH36)-1)*5 + 1), INDEX($E$8:$CE$57, MATCH($C36, $C$8:$C$57, 0), (COLUMNS($DU36:EH36)-1)*5 + 4) = "SF"), INDEX($CZ$8:$CZ$23, COLUMNS($DU36:EH36)), "0"), "")</f>
        <v>0</v>
      </c>
      <c r="EI36" s="390" t="str">
        <f t="array" ref="EI36">IFERROR(IF(AND(INDEX($E$8:$CE$57, MATCH($C36, $C$8:$C$57, 0), (COLUMNS($DU36:EI36)-1)*5 + 1) = INDEX($E$5:$CE$5, 1, (COLUMNS($DU36:EI36)-1)*5 + 1), INDEX($E$8:$CE$57, MATCH($C36, $C$8:$C$57, 0), (COLUMNS($DU36:EI36)-1)*5 + 4) = "SF"), INDEX($CZ$8:$CZ$23, COLUMNS($DU36:EI36)), "0"), "")</f>
        <v>0</v>
      </c>
      <c r="EJ36" s="390" t="str">
        <f t="array" ref="EJ36">IFERROR(IF(AND(INDEX($E$8:$CE$57, MATCH($C36, $C$8:$C$57, 0), (COLUMNS($DU36:EJ36)-1)*5 + 1) = INDEX($E$5:$CE$5, 1, (COLUMNS($DU36:EJ36)-1)*5 + 1), INDEX($E$8:$CE$57, MATCH($C36, $C$8:$C$57, 0), (COLUMNS($DU36:EJ36)-1)*5 + 4) = "SF"), INDEX($CZ$8:$CZ$23, COLUMNS($DU36:EJ36)), "0"), "")</f>
        <v>0</v>
      </c>
    </row>
    <row r="37" spans="1:140" ht="19.5" customHeight="1" x14ac:dyDescent="0.35">
      <c r="A37" s="515"/>
      <c r="B37" s="91">
        <f>IF(BASE01[[#This Row],[COD]]&lt;&gt;"",B36+1,"")</f>
        <v>30</v>
      </c>
      <c r="C37" s="533" t="s">
        <v>89</v>
      </c>
      <c r="D37" s="92" t="str">
        <f t="array" ref="D37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37" s="143">
        <v>1</v>
      </c>
      <c r="F37" s="150">
        <v>8</v>
      </c>
      <c r="G37" s="150">
        <v>2</v>
      </c>
      <c r="H37" s="150"/>
      <c r="I37" s="534">
        <f t="shared" si="0"/>
        <v>2</v>
      </c>
      <c r="J37" s="143">
        <v>6</v>
      </c>
      <c r="K37" s="150">
        <v>3</v>
      </c>
      <c r="L37" s="150">
        <v>1</v>
      </c>
      <c r="M37" s="150"/>
      <c r="N37" s="534">
        <f t="shared" si="1"/>
        <v>2</v>
      </c>
      <c r="O37" s="143">
        <v>7</v>
      </c>
      <c r="P37" s="150">
        <v>2</v>
      </c>
      <c r="Q37" s="150">
        <v>3</v>
      </c>
      <c r="R37" s="150"/>
      <c r="S37" s="534">
        <f t="shared" si="2"/>
        <v>0</v>
      </c>
      <c r="T37" s="143">
        <v>6</v>
      </c>
      <c r="U37" s="150">
        <v>4</v>
      </c>
      <c r="V37" s="150">
        <v>2</v>
      </c>
      <c r="W37" s="150" t="s">
        <v>254</v>
      </c>
      <c r="X37" s="534">
        <f t="shared" si="3"/>
        <v>4.5</v>
      </c>
      <c r="Y37" s="143">
        <v>5</v>
      </c>
      <c r="Z37" s="150">
        <v>8</v>
      </c>
      <c r="AA37" s="150">
        <v>3</v>
      </c>
      <c r="AB37" s="150"/>
      <c r="AC37" s="534">
        <f t="shared" si="4"/>
        <v>4.5</v>
      </c>
      <c r="AD37" s="143">
        <v>5</v>
      </c>
      <c r="AE37" s="150"/>
      <c r="AF37" s="150"/>
      <c r="AG37" s="150" t="s">
        <v>255</v>
      </c>
      <c r="AH37" s="534">
        <f t="shared" si="5"/>
        <v>0</v>
      </c>
      <c r="AI37" s="143">
        <v>3</v>
      </c>
      <c r="AJ37" s="150">
        <v>4</v>
      </c>
      <c r="AK37" s="150">
        <v>2</v>
      </c>
      <c r="AL37" s="150"/>
      <c r="AM37" s="534">
        <f t="shared" si="6"/>
        <v>2</v>
      </c>
      <c r="AN37" s="143">
        <v>9</v>
      </c>
      <c r="AO37" s="150">
        <v>8</v>
      </c>
      <c r="AP37" s="150">
        <v>6</v>
      </c>
      <c r="AQ37" s="150"/>
      <c r="AR37" s="534">
        <f t="shared" si="7"/>
        <v>0</v>
      </c>
      <c r="AS37" s="143">
        <v>5</v>
      </c>
      <c r="AT37" s="150">
        <v>1</v>
      </c>
      <c r="AU37" s="150">
        <v>8</v>
      </c>
      <c r="AV37" s="150"/>
      <c r="AW37" s="534">
        <f t="shared" si="8"/>
        <v>0</v>
      </c>
      <c r="AX37" s="143">
        <v>5</v>
      </c>
      <c r="AY37" s="150">
        <v>9</v>
      </c>
      <c r="AZ37" s="150">
        <v>1</v>
      </c>
      <c r="BA37" s="150"/>
      <c r="BB37" s="534">
        <f t="shared" si="9"/>
        <v>1</v>
      </c>
      <c r="BC37" s="143">
        <v>4</v>
      </c>
      <c r="BD37" s="150">
        <v>2</v>
      </c>
      <c r="BE37" s="150">
        <v>8</v>
      </c>
      <c r="BF37" s="150" t="s">
        <v>254</v>
      </c>
      <c r="BG37" s="534">
        <f t="shared" si="10"/>
        <v>6</v>
      </c>
      <c r="BH37" s="143">
        <v>1</v>
      </c>
      <c r="BI37" s="150">
        <v>5</v>
      </c>
      <c r="BJ37" s="150">
        <v>3</v>
      </c>
      <c r="BK37" s="150"/>
      <c r="BL37" s="534">
        <f t="shared" si="11"/>
        <v>0</v>
      </c>
      <c r="BM37" s="143">
        <v>9</v>
      </c>
      <c r="BN37" s="150">
        <v>10</v>
      </c>
      <c r="BO37" s="150">
        <v>1</v>
      </c>
      <c r="BP37" s="150"/>
      <c r="BQ37" s="534">
        <f t="shared" si="12"/>
        <v>0</v>
      </c>
      <c r="BR37" s="143"/>
      <c r="BS37" s="150"/>
      <c r="BT37" s="150"/>
      <c r="BU37" s="150"/>
      <c r="BV37" s="534">
        <f t="shared" si="13"/>
        <v>0</v>
      </c>
      <c r="BW37" s="143"/>
      <c r="BX37" s="150"/>
      <c r="BY37" s="150"/>
      <c r="BZ37" s="150"/>
      <c r="CA37" s="534">
        <f t="shared" si="14"/>
        <v>0</v>
      </c>
      <c r="CB37" s="143"/>
      <c r="CC37" s="150"/>
      <c r="CD37" s="150"/>
      <c r="CE37" s="150"/>
      <c r="CF37" s="534">
        <f t="shared" si="15"/>
        <v>0</v>
      </c>
      <c r="CG37" s="162">
        <f>IF(BASE01[[#This Row],[1]]="",0,$B$4)</f>
        <v>13</v>
      </c>
      <c r="CH37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3</v>
      </c>
      <c r="CI37" s="164">
        <f>IF(BASE01[[#This Row],[Columna14]]=0,0,(CH37/CG37))</f>
        <v>0.23076923076923078</v>
      </c>
      <c r="CJ37" s="163">
        <f>IF(BASE01[[#This Row],[1]]="",0,$B$4)</f>
        <v>13</v>
      </c>
      <c r="CK37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6</v>
      </c>
      <c r="CL37" s="164">
        <f>IF(BASE01[[#This Row],[Columna14]]=0,0,(CK37/CJ37))</f>
        <v>0.46153846153846156</v>
      </c>
      <c r="CM37" s="162">
        <f>IF(BASE01[[#This Row],[1]]="",0,$B$4)</f>
        <v>13</v>
      </c>
      <c r="CN37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7</v>
      </c>
      <c r="CO37" s="164">
        <f>IF(BASE01[[#This Row],[Columna14]]=0,0,(CN37/CM37))</f>
        <v>0.53846153846153844</v>
      </c>
      <c r="CP37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37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Row],[Columna25]],$AX$5,BA37,"SF")+COUNTIFS(BASE01[[#This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37" s="164">
        <f>IF(BASE01[[#This Row],[Columna14]]=0,0,(CQ37/CP37))</f>
        <v>0.66666666666666663</v>
      </c>
      <c r="CS37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22</v>
      </c>
      <c r="CT37" s="93"/>
      <c r="CU37" s="536">
        <f t="shared" si="16"/>
        <v>22</v>
      </c>
      <c r="CV37" s="94">
        <f>IF(BASE01[[#This Row],[TIPO]]="PREMIO",$O$3,"0,00")</f>
        <v>1000</v>
      </c>
      <c r="CW37" s="515"/>
      <c r="CY37" s="538" t="str">
        <f t="shared" si="17"/>
        <v/>
      </c>
      <c r="CZ37" s="387"/>
      <c r="DA37" s="387" t="str">
        <f t="array" ref="DA37">IF(CZ37="", "", IF((INDEX(E$8:CE$57, MATCH(CZ37, C$8:C$57, 0), ($CZ$25-1)*5 + 1) &amp; "") = (INDEX(E$5:CE$5, 1, ($CZ$25-1)*5 + 1) &amp; ""), 1, IF((INDEX(E$8:CE$57, MATCH(CZ37, C$8:C$57, 0), ($CZ$25-1)*5 + 2) &amp; "") = (INDEX(E$5:CE$5, 1, ($CZ$25-1)*5 + 1) &amp; ""), 2, IF((INDEX(E$8:CE$57, MATCH(CZ37, C$8:C$57, 0), ($CZ$25-1)*5 + 3) &amp; "") = (INDEX(E$5:CE$5, 1, ($CZ$25-1)*5 + 1) &amp; ""), 3, ""))))</f>
        <v/>
      </c>
      <c r="DB37" s="537" t="str">
        <f>BASE01[[#This Row],[COD]]</f>
        <v>COD 30</v>
      </c>
      <c r="DC37" s="390" t="str">
        <f t="array" ref="DC37">IFERROR(IF(AND(INDEX($E$8:$CE$57, MATCH($C37, $C$8:$C$57, 0), (COLUMNS($DC37:DC37)-1)*5 + 1) = INDEX($E$5:$CE$5, 1, (COLUMNS($DC37:DC37)-1)*5 + 1), INDEX($E$8:$CE$57, MATCH($C37, $C$8:$C$57, 0), (COLUMNS($DC37:DC37)-1)*5 + 4) = "F"), INDEX($CZ$8:$CZ$23, COLUMNS($DC37:DC37)), "0"), "")</f>
        <v>0</v>
      </c>
      <c r="DD37" s="390" t="str">
        <f t="array" ref="DD37">IFERROR(IF(AND(INDEX($E$8:$CE$57, MATCH($C37, $C$8:$C$57, 0), (COLUMNS($DC37:DD37)-1)*5 + 1) = INDEX($E$5:$CE$5, 1, (COLUMNS($DC37:DD37)-1)*5 + 1), INDEX($E$8:$CE$57, MATCH($C37, $C$8:$C$57, 0), (COLUMNS($DC37:DD37)-1)*5 + 4) = "F"), INDEX($CZ$8:$CZ$23, COLUMNS($DC37:DD37)), "0"), "")</f>
        <v>0</v>
      </c>
      <c r="DE37" s="390" t="str">
        <f t="array" ref="DE37">IFERROR(IF(AND(INDEX($E$8:$CE$57, MATCH($C37, $C$8:$C$57, 0), (COLUMNS($DC37:DE37)-1)*5 + 1) = INDEX($E$5:$CE$5, 1, (COLUMNS($DC37:DE37)-1)*5 + 1), INDEX($E$8:$CE$57, MATCH($C37, $C$8:$C$57, 0), (COLUMNS($DC37:DE37)-1)*5 + 4) = "F"), INDEX($CZ$8:$CZ$23, COLUMNS($DC37:DE37)), "0"), "")</f>
        <v>0</v>
      </c>
      <c r="DF37" s="390">
        <f t="array" ref="DF37">IFERROR(IF(AND(INDEX($E$8:$CE$57, MATCH($C37, $C$8:$C$57, 0), (COLUMNS($DC37:DF37)-1)*5 + 1) = INDEX($E$5:$CE$5, 1, (COLUMNS($DC37:DF37)-1)*5 + 1), INDEX($E$8:$CE$57, MATCH($C37, $C$8:$C$57, 0), (COLUMNS($DC37:DF37)-1)*5 + 4) = "F"), INDEX($CZ$8:$CZ$23, COLUMNS($DC37:DF37)), "0"), "")</f>
        <v>110</v>
      </c>
      <c r="DG37" s="390" t="str">
        <f t="array" ref="DG37">IFERROR(IF(AND(INDEX($E$8:$CE$57, MATCH($C37, $C$8:$C$57, 0), (COLUMNS($DC37:DG37)-1)*5 + 1) = INDEX($E$5:$CE$5, 1, (COLUMNS($DC37:DG37)-1)*5 + 1), INDEX($E$8:$CE$57, MATCH($C37, $C$8:$C$57, 0), (COLUMNS($DC37:DG37)-1)*5 + 4) = "F"), INDEX($CZ$8:$CZ$23, COLUMNS($DC37:DG37)), "0"), "")</f>
        <v>0</v>
      </c>
      <c r="DH37" s="390" t="str">
        <f t="array" ref="DH37">IFERROR(IF(AND(INDEX($E$8:$CE$57, MATCH($C37, $C$8:$C$57, 0), (COLUMNS($DC37:DH37)-1)*5 + 1) = INDEX($E$5:$CE$5, 1, (COLUMNS($DC37:DH37)-1)*5 + 1), INDEX($E$8:$CE$57, MATCH($C37, $C$8:$C$57, 0), (COLUMNS($DC37:DH37)-1)*5 + 4) = "F"), INDEX($CZ$8:$CZ$23, COLUMNS($DC37:DH37)), "0"), "")</f>
        <v>0</v>
      </c>
      <c r="DI37" s="390" t="str">
        <f t="array" ref="DI37">IFERROR(IF(AND(INDEX($E$8:$CE$57, MATCH($C37, $C$8:$C$57, 0), (COLUMNS($DC37:DI37)-1)*5 + 1) = INDEX($E$5:$CE$5, 1, (COLUMNS($DC37:DI37)-1)*5 + 1), INDEX($E$8:$CE$57, MATCH($C37, $C$8:$C$57, 0), (COLUMNS($DC37:DI37)-1)*5 + 4) = "F"), INDEX($CZ$8:$CZ$23, COLUMNS($DC37:DI37)), "0"), "")</f>
        <v>0</v>
      </c>
      <c r="DJ37" s="390" t="str">
        <f t="array" ref="DJ37">IFERROR(IF(AND(INDEX($E$8:$CE$57, MATCH($C37, $C$8:$C$57, 0), (COLUMNS($DC37:DJ37)-1)*5 + 1) = INDEX($E$5:$CE$5, 1, (COLUMNS($DC37:DJ37)-1)*5 + 1), INDEX($E$8:$CE$57, MATCH($C37, $C$8:$C$57, 0), (COLUMNS($DC37:DJ37)-1)*5 + 4) = "F"), INDEX($CZ$8:$CZ$23, COLUMNS($DC37:DJ37)), "0"), "")</f>
        <v>0</v>
      </c>
      <c r="DK37" s="390" t="str">
        <f t="array" ref="DK37">IFERROR(IF(AND(INDEX($E$8:$CE$57, MATCH($C37, $C$8:$C$57, 0), (COLUMNS($DC37:DK37)-1)*5 + 1) = INDEX($E$5:$CE$5, 1, (COLUMNS($DC37:DK37)-1)*5 + 1), INDEX($E$8:$CE$57, MATCH($C37, $C$8:$C$57, 0), (COLUMNS($DC37:DK37)-1)*5 + 4) = "F"), INDEX($CZ$8:$CZ$23, COLUMNS($DC37:DK37)), "0"), "")</f>
        <v>0</v>
      </c>
      <c r="DL37" s="390" t="str">
        <f t="array" ref="DL37">IFERROR(IF(AND(INDEX($E$8:$CE$57, MATCH($C37, $C$8:$C$57, 0), (COLUMNS($DC37:DL37)-1)*5 + 1) = INDEX($E$5:$CE$5, 1, (COLUMNS($DC37:DL37)-1)*5 + 1), INDEX($E$8:$CE$57, MATCH($C37, $C$8:$C$57, 0), (COLUMNS($DC37:DL37)-1)*5 + 4) = "F"), INDEX($CZ$8:$CZ$23, COLUMNS($DC37:DL37)), "0"), "")</f>
        <v>0</v>
      </c>
      <c r="DM37" s="390">
        <f t="array" ref="DM37">IFERROR(IF(AND(INDEX($E$8:$CE$57, MATCH($C37, $C$8:$C$57, 0), (COLUMNS($DC37:DM37)-1)*5 + 1) = INDEX($E$5:$CE$5, 1, (COLUMNS($DC37:DM37)-1)*5 + 1), INDEX($E$8:$CE$57, MATCH($C37, $C$8:$C$57, 0), (COLUMNS($DC37:DM37)-1)*5 + 4) = "F"), INDEX($CZ$8:$CZ$23, COLUMNS($DC37:DM37)), "0"), "")</f>
        <v>184.94</v>
      </c>
      <c r="DN37" s="390" t="str">
        <f t="array" ref="DN37">IFERROR(IF(AND(INDEX($E$8:$CE$57, MATCH($C37, $C$8:$C$57, 0), (COLUMNS($DC37:DN37)-1)*5 + 1) = INDEX($E$5:$CE$5, 1, (COLUMNS($DC37:DN37)-1)*5 + 1), INDEX($E$8:$CE$57, MATCH($C37, $C$8:$C$57, 0), (COLUMNS($DC37:DN37)-1)*5 + 4) = "F"), INDEX($CZ$8:$CZ$23, COLUMNS($DC37:DN37)), "0"), "")</f>
        <v>0</v>
      </c>
      <c r="DO37" s="390" t="str">
        <f t="array" ref="DO37">IFERROR(IF(AND(INDEX($E$8:$CE$57, MATCH($C37, $C$8:$C$57, 0), (COLUMNS($DC37:DO37)-1)*5 + 1) = INDEX($E$5:$CE$5, 1, (COLUMNS($DC37:DO37)-1)*5 + 1), INDEX($E$8:$CE$57, MATCH($C37, $C$8:$C$57, 0), (COLUMNS($DC37:DO37)-1)*5 + 4) = "F"), INDEX($CZ$8:$CZ$23, COLUMNS($DC37:DO37)), "0"), "")</f>
        <v>0</v>
      </c>
      <c r="DP37" s="390" t="str">
        <f t="array" ref="DP37">IFERROR(IF(AND(INDEX($E$8:$CE$57, MATCH($C37, $C$8:$C$57, 0), (COLUMNS($DC37:DP37)-1)*5 + 1) = INDEX($E$5:$CE$5, 1, (COLUMNS($DC37:DP37)-1)*5 + 1), INDEX($E$8:$CE$57, MATCH($C37, $C$8:$C$57, 0), (COLUMNS($DC37:DP37)-1)*5 + 4) = "F"), INDEX($CZ$8:$CZ$23, COLUMNS($DC37:DP37)), "0"), "")</f>
        <v>0</v>
      </c>
      <c r="DQ37" s="390" t="str">
        <f t="array" ref="DQ37">IFERROR(IF(AND(INDEX($E$8:$CE$57, MATCH($C37, $C$8:$C$57, 0), (COLUMNS($DC37:DQ37)-1)*5 + 1) = INDEX($E$5:$CE$5, 1, (COLUMNS($DC37:DQ37)-1)*5 + 1), INDEX($E$8:$CE$57, MATCH($C37, $C$8:$C$57, 0), (COLUMNS($DC37:DQ37)-1)*5 + 4) = "F"), INDEX($CZ$8:$CZ$23, COLUMNS($DC37:DQ37)), "0"), "")</f>
        <v>0</v>
      </c>
      <c r="DR37" s="390" t="str">
        <f t="array" ref="DR37">IFERROR(IF(AND(INDEX($E$8:$CE$57, MATCH($C37, $C$8:$C$57, 0), (COLUMNS($DC37:DR37)-1)*5 + 1) = INDEX($E$5:$CE$5, 1, (COLUMNS($DC37:DR37)-1)*5 + 1), INDEX($E$8:$CE$57, MATCH($C37, $C$8:$C$57, 0), (COLUMNS($DC37:DR37)-1)*5 + 4) = "F"), INDEX($CZ$8:$CZ$23, COLUMNS($DC37:DR37)), "0"), "")</f>
        <v>0</v>
      </c>
      <c r="DT37" s="537" t="str">
        <f>BASE01[[#This Row],[COD]]</f>
        <v>COD 30</v>
      </c>
      <c r="DU37" s="390" t="str">
        <f t="array" ref="DU37">IFERROR(IF(AND(INDEX($E$8:$CE$57, MATCH($C37, $C$8:$C$57, 0), (COLUMNS($DU37:DU37)-1)*5 + 1) = INDEX($E$5:$CE$5, 1, (COLUMNS($DU37:DU37)-1)*5 + 1), INDEX($E$8:$CE$57, MATCH($C37, $C$8:$C$57, 0), (COLUMNS($DU37:DU37)-1)*5 + 4) = "SF"), INDEX($CZ$8:$CZ$23, COLUMNS($DU37:DU37)), "0"), "")</f>
        <v>0</v>
      </c>
      <c r="DV37" s="390" t="str">
        <f t="array" ref="DV37">IFERROR(IF(AND(INDEX($E$8:$CE$57, MATCH($C37, $C$8:$C$57, 0), (COLUMNS($DU37:DV37)-1)*5 + 1) = INDEX($E$5:$CE$5, 1, (COLUMNS($DU37:DV37)-1)*5 + 1), INDEX($E$8:$CE$57, MATCH($C37, $C$8:$C$57, 0), (COLUMNS($DU37:DV37)-1)*5 + 4) = "SF"), INDEX($CZ$8:$CZ$23, COLUMNS($DU37:DV37)), "0"), "")</f>
        <v>0</v>
      </c>
      <c r="DW37" s="390" t="str">
        <f t="array" ref="DW37">IFERROR(IF(AND(INDEX($E$8:$CE$57, MATCH($C37, $C$8:$C$57, 0), (COLUMNS($DU37:DW37)-1)*5 + 1) = INDEX($E$5:$CE$5, 1, (COLUMNS($DU37:DW37)-1)*5 + 1), INDEX($E$8:$CE$57, MATCH($C37, $C$8:$C$57, 0), (COLUMNS($DU37:DW37)-1)*5 + 4) = "SF"), INDEX($CZ$8:$CZ$23, COLUMNS($DU37:DW37)), "0"), "")</f>
        <v>0</v>
      </c>
      <c r="DX37" s="390" t="str">
        <f t="array" ref="DX37">IFERROR(IF(AND(INDEX($E$8:$CE$57, MATCH($C37, $C$8:$C$57, 0), (COLUMNS($DU37:DX37)-1)*5 + 1) = INDEX($E$5:$CE$5, 1, (COLUMNS($DU37:DX37)-1)*5 + 1), INDEX($E$8:$CE$57, MATCH($C37, $C$8:$C$57, 0), (COLUMNS($DU37:DX37)-1)*5 + 4) = "SF"), INDEX($CZ$8:$CZ$23, COLUMNS($DU37:DX37)), "0"), "")</f>
        <v>0</v>
      </c>
      <c r="DY37" s="390" t="str">
        <f t="array" ref="DY37">IFERROR(IF(AND(INDEX($E$8:$CE$57, MATCH($C37, $C$8:$C$57, 0), (COLUMNS($DU37:DY37)-1)*5 + 1) = INDEX($E$5:$CE$5, 1, (COLUMNS($DU37:DY37)-1)*5 + 1), INDEX($E$8:$CE$57, MATCH($C37, $C$8:$C$57, 0), (COLUMNS($DU37:DY37)-1)*5 + 4) = "SF"), INDEX($CZ$8:$CZ$23, COLUMNS($DU37:DY37)), "0"), "")</f>
        <v>0</v>
      </c>
      <c r="DZ37" s="390" t="str">
        <f t="array" ref="DZ37">IFERROR(IF(AND(INDEX($E$8:$CE$57, MATCH($C37, $C$8:$C$57, 0), (COLUMNS($DU37:DZ37)-1)*5 + 1) = INDEX($E$5:$CE$5, 1, (COLUMNS($DU37:DZ37)-1)*5 + 1), INDEX($E$8:$CE$57, MATCH($C37, $C$8:$C$57, 0), (COLUMNS($DU37:DZ37)-1)*5 + 4) = "SF"), INDEX($CZ$8:$CZ$23, COLUMNS($DU37:DZ37)), "0"), "")</f>
        <v>0</v>
      </c>
      <c r="EA37" s="390" t="str">
        <f t="array" ref="EA37">IFERROR(IF(AND(INDEX($E$8:$CE$57, MATCH($C37, $C$8:$C$57, 0), (COLUMNS($DU37:EA37)-1)*5 + 1) = INDEX($E$5:$CE$5, 1, (COLUMNS($DU37:EA37)-1)*5 + 1), INDEX($E$8:$CE$57, MATCH($C37, $C$8:$C$57, 0), (COLUMNS($DU37:EA37)-1)*5 + 4) = "SF"), INDEX($CZ$8:$CZ$23, COLUMNS($DU37:EA37)), "0"), "")</f>
        <v>0</v>
      </c>
      <c r="EB37" s="390" t="str">
        <f t="array" ref="EB37">IFERROR(IF(AND(INDEX($E$8:$CE$57, MATCH($C37, $C$8:$C$57, 0), (COLUMNS($DU37:EB37)-1)*5 + 1) = INDEX($E$5:$CE$5, 1, (COLUMNS($DU37:EB37)-1)*5 + 1), INDEX($E$8:$CE$57, MATCH($C37, $C$8:$C$57, 0), (COLUMNS($DU37:EB37)-1)*5 + 4) = "SF"), INDEX($CZ$8:$CZ$23, COLUMNS($DU37:EB37)), "0"), "")</f>
        <v>0</v>
      </c>
      <c r="EC37" s="390" t="str">
        <f t="array" ref="EC37">IFERROR(IF(AND(INDEX($E$8:$CE$57, MATCH($C37, $C$8:$C$57, 0), (COLUMNS($DU37:EC37)-1)*5 + 1) = INDEX($E$5:$CE$5, 1, (COLUMNS($DU37:EC37)-1)*5 + 1), INDEX($E$8:$CE$57, MATCH($C37, $C$8:$C$57, 0), (COLUMNS($DU37:EC37)-1)*5 + 4) = "SF"), INDEX($CZ$8:$CZ$23, COLUMNS($DU37:EC37)), "0"), "")</f>
        <v>0</v>
      </c>
      <c r="ED37" s="390" t="str">
        <f t="array" ref="ED37">IFERROR(IF(AND(INDEX($E$8:$CE$57, MATCH($C37, $C$8:$C$57, 0), (COLUMNS($DU37:ED37)-1)*5 + 1) = INDEX($E$5:$CE$5, 1, (COLUMNS($DU37:ED37)-1)*5 + 1), INDEX($E$8:$CE$57, MATCH($C37, $C$8:$C$57, 0), (COLUMNS($DU37:ED37)-1)*5 + 4) = "SF"), INDEX($CZ$8:$CZ$23, COLUMNS($DU37:ED37)), "0"), "")</f>
        <v>0</v>
      </c>
      <c r="EE37" s="390" t="str">
        <f t="array" ref="EE37">IFERROR(IF(AND(INDEX($E$8:$CE$57, MATCH($C37, $C$8:$C$57, 0), (COLUMNS($DU37:EE37)-1)*5 + 1) = INDEX($E$5:$CE$5, 1, (COLUMNS($DU37:EE37)-1)*5 + 1), INDEX($E$8:$CE$57, MATCH($C37, $C$8:$C$57, 0), (COLUMNS($DU37:EE37)-1)*5 + 4) = "SF"), INDEX($CZ$8:$CZ$23, COLUMNS($DU37:EE37)), "0"), "")</f>
        <v>0</v>
      </c>
      <c r="EF37" s="390" t="str">
        <f t="array" ref="EF37">IFERROR(IF(AND(INDEX($E$8:$CE$57, MATCH($C37, $C$8:$C$57, 0), (COLUMNS($DU37:EF37)-1)*5 + 1) = INDEX($E$5:$CE$5, 1, (COLUMNS($DU37:EF37)-1)*5 + 1), INDEX($E$8:$CE$57, MATCH($C37, $C$8:$C$57, 0), (COLUMNS($DU37:EF37)-1)*5 + 4) = "SF"), INDEX($CZ$8:$CZ$23, COLUMNS($DU37:EF37)), "0"), "")</f>
        <v>0</v>
      </c>
      <c r="EG37" s="390" t="str">
        <f t="array" ref="EG37">IFERROR(IF(AND(INDEX($E$8:$CE$57, MATCH($C37, $C$8:$C$57, 0), (COLUMNS($DU37:EG37)-1)*5 + 1) = INDEX($E$5:$CE$5, 1, (COLUMNS($DU37:EG37)-1)*5 + 1), INDEX($E$8:$CE$57, MATCH($C37, $C$8:$C$57, 0), (COLUMNS($DU37:EG37)-1)*5 + 4) = "SF"), INDEX($CZ$8:$CZ$23, COLUMNS($DU37:EG37)), "0"), "")</f>
        <v>0</v>
      </c>
      <c r="EH37" s="390" t="str">
        <f t="array" ref="EH37">IFERROR(IF(AND(INDEX($E$8:$CE$57, MATCH($C37, $C$8:$C$57, 0), (COLUMNS($DU37:EH37)-1)*5 + 1) = INDEX($E$5:$CE$5, 1, (COLUMNS($DU37:EH37)-1)*5 + 1), INDEX($E$8:$CE$57, MATCH($C37, $C$8:$C$57, 0), (COLUMNS($DU37:EH37)-1)*5 + 4) = "SF"), INDEX($CZ$8:$CZ$23, COLUMNS($DU37:EH37)), "0"), "")</f>
        <v>0</v>
      </c>
      <c r="EI37" s="390" t="str">
        <f t="array" ref="EI37">IFERROR(IF(AND(INDEX($E$8:$CE$57, MATCH($C37, $C$8:$C$57, 0), (COLUMNS($DU37:EI37)-1)*5 + 1) = INDEX($E$5:$CE$5, 1, (COLUMNS($DU37:EI37)-1)*5 + 1), INDEX($E$8:$CE$57, MATCH($C37, $C$8:$C$57, 0), (COLUMNS($DU37:EI37)-1)*5 + 4) = "SF"), INDEX($CZ$8:$CZ$23, COLUMNS($DU37:EI37)), "0"), "")</f>
        <v>0</v>
      </c>
      <c r="EJ37" s="390" t="str">
        <f t="array" ref="EJ37">IFERROR(IF(AND(INDEX($E$8:$CE$57, MATCH($C37, $C$8:$C$57, 0), (COLUMNS($DU37:EJ37)-1)*5 + 1) = INDEX($E$5:$CE$5, 1, (COLUMNS($DU37:EJ37)-1)*5 + 1), INDEX($E$8:$CE$57, MATCH($C37, $C$8:$C$57, 0), (COLUMNS($DU37:EJ37)-1)*5 + 4) = "SF"), INDEX($CZ$8:$CZ$23, COLUMNS($DU37:EJ37)), "0"), "")</f>
        <v>0</v>
      </c>
    </row>
    <row r="38" spans="1:140" ht="19.5" customHeight="1" x14ac:dyDescent="0.35">
      <c r="A38" s="515"/>
      <c r="B38" s="91">
        <f>IF(BASE01[[#This Row],[COD]]&lt;&gt;"",B37+1,"")</f>
        <v>31</v>
      </c>
      <c r="C38" s="533" t="s">
        <v>91</v>
      </c>
      <c r="D38" s="92" t="str">
        <f t="array" ref="D38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38" s="143">
        <v>8</v>
      </c>
      <c r="F38" s="144">
        <v>6</v>
      </c>
      <c r="G38" s="144">
        <v>1</v>
      </c>
      <c r="H38" s="144"/>
      <c r="I38" s="534">
        <f t="shared" si="0"/>
        <v>5</v>
      </c>
      <c r="J38" s="143">
        <v>8</v>
      </c>
      <c r="K38" s="144">
        <v>3</v>
      </c>
      <c r="L38" s="144">
        <v>5</v>
      </c>
      <c r="M38" s="144" t="s">
        <v>254</v>
      </c>
      <c r="N38" s="534">
        <f t="shared" si="1"/>
        <v>4</v>
      </c>
      <c r="O38" s="143">
        <v>8</v>
      </c>
      <c r="P38" s="144">
        <v>3</v>
      </c>
      <c r="Q38" s="144">
        <v>5</v>
      </c>
      <c r="R38" s="144"/>
      <c r="S38" s="534">
        <f t="shared" si="2"/>
        <v>0</v>
      </c>
      <c r="T38" s="143">
        <v>6</v>
      </c>
      <c r="U38" s="144">
        <v>8</v>
      </c>
      <c r="V38" s="144">
        <v>7</v>
      </c>
      <c r="W38" s="144"/>
      <c r="X38" s="534">
        <f t="shared" si="3"/>
        <v>3.5</v>
      </c>
      <c r="Y38" s="143">
        <v>5</v>
      </c>
      <c r="Z38" s="144"/>
      <c r="AA38" s="144"/>
      <c r="AB38" s="144" t="s">
        <v>255</v>
      </c>
      <c r="AC38" s="534">
        <f t="shared" si="4"/>
        <v>7.5</v>
      </c>
      <c r="AD38" s="143">
        <v>7</v>
      </c>
      <c r="AE38" s="144">
        <v>2</v>
      </c>
      <c r="AF38" s="144">
        <v>9</v>
      </c>
      <c r="AG38" s="144"/>
      <c r="AH38" s="534">
        <f t="shared" si="5"/>
        <v>2</v>
      </c>
      <c r="AI38" s="143">
        <v>3</v>
      </c>
      <c r="AJ38" s="144">
        <v>7</v>
      </c>
      <c r="AK38" s="144">
        <v>1</v>
      </c>
      <c r="AL38" s="144"/>
      <c r="AM38" s="534">
        <f t="shared" si="6"/>
        <v>0</v>
      </c>
      <c r="AN38" s="143">
        <v>8</v>
      </c>
      <c r="AO38" s="144">
        <v>9</v>
      </c>
      <c r="AP38" s="144">
        <v>12</v>
      </c>
      <c r="AQ38" s="144"/>
      <c r="AR38" s="534">
        <f t="shared" si="7"/>
        <v>0</v>
      </c>
      <c r="AS38" s="143">
        <v>1</v>
      </c>
      <c r="AT38" s="144">
        <v>7</v>
      </c>
      <c r="AU38" s="144">
        <v>2</v>
      </c>
      <c r="AV38" s="144" t="s">
        <v>254</v>
      </c>
      <c r="AW38" s="534">
        <f t="shared" si="8"/>
        <v>0</v>
      </c>
      <c r="AX38" s="143">
        <v>9</v>
      </c>
      <c r="AY38" s="144">
        <v>1</v>
      </c>
      <c r="AZ38" s="144">
        <v>8</v>
      </c>
      <c r="BA38" s="144"/>
      <c r="BB38" s="534">
        <f t="shared" si="9"/>
        <v>2</v>
      </c>
      <c r="BC38" s="143">
        <v>4</v>
      </c>
      <c r="BD38" s="144">
        <v>5</v>
      </c>
      <c r="BE38" s="144">
        <v>3</v>
      </c>
      <c r="BF38" s="144"/>
      <c r="BG38" s="534">
        <f t="shared" si="10"/>
        <v>4</v>
      </c>
      <c r="BH38" s="143">
        <v>2</v>
      </c>
      <c r="BI38" s="144">
        <v>5</v>
      </c>
      <c r="BJ38" s="144">
        <v>1</v>
      </c>
      <c r="BK38" s="144"/>
      <c r="BL38" s="534">
        <f t="shared" si="11"/>
        <v>5</v>
      </c>
      <c r="BM38" s="143">
        <v>12</v>
      </c>
      <c r="BN38" s="144">
        <v>3</v>
      </c>
      <c r="BO38" s="144">
        <v>1</v>
      </c>
      <c r="BP38" s="144"/>
      <c r="BQ38" s="534">
        <f t="shared" si="12"/>
        <v>2</v>
      </c>
      <c r="BR38" s="143"/>
      <c r="BS38" s="144"/>
      <c r="BT38" s="144"/>
      <c r="BU38" s="144"/>
      <c r="BV38" s="534">
        <f t="shared" si="13"/>
        <v>0</v>
      </c>
      <c r="BW38" s="143"/>
      <c r="BX38" s="144"/>
      <c r="BY38" s="144"/>
      <c r="BZ38" s="144"/>
      <c r="CA38" s="534">
        <f t="shared" si="14"/>
        <v>0</v>
      </c>
      <c r="CB38" s="143"/>
      <c r="CC38" s="144"/>
      <c r="CD38" s="144"/>
      <c r="CE38" s="144"/>
      <c r="CF38" s="534">
        <f t="shared" si="15"/>
        <v>0</v>
      </c>
      <c r="CG38" s="162">
        <f>IF(BASE01[[#This Row],[1]]="",0,$B$4)</f>
        <v>13</v>
      </c>
      <c r="CH38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5</v>
      </c>
      <c r="CI38" s="164">
        <f>IF(BASE01[[#This Row],[Columna14]]=0,0,(CH38/CG38))</f>
        <v>0.38461538461538464</v>
      </c>
      <c r="CJ38" s="163">
        <f>IF(BASE01[[#This Row],[1]]="",0,$B$4)</f>
        <v>13</v>
      </c>
      <c r="CK38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9</v>
      </c>
      <c r="CL38" s="164">
        <f>IF(BASE01[[#This Row],[Columna14]]=0,0,(CK38/CJ38))</f>
        <v>0.69230769230769229</v>
      </c>
      <c r="CM38" s="162">
        <f>IF(BASE01[[#This Row],[1]]="",0,$B$4)</f>
        <v>13</v>
      </c>
      <c r="CN38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9</v>
      </c>
      <c r="CO38" s="164">
        <f>IF(BASE01[[#This Row],[Columna14]]=0,0,(CN38/CM38))</f>
        <v>0.69230769230769229</v>
      </c>
      <c r="CP38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38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Row],[Columna25]],$AX$5,BA38,"SF")+COUNTIFS(BASE01[[#This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1</v>
      </c>
      <c r="CR38" s="164">
        <f>IF(BASE01[[#This Row],[Columna14]]=0,0,(CQ38/CP38))</f>
        <v>0.33333333333333331</v>
      </c>
      <c r="CS38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35</v>
      </c>
      <c r="CT38" s="93"/>
      <c r="CU38" s="536">
        <f t="shared" si="16"/>
        <v>35</v>
      </c>
      <c r="CV38" s="94">
        <f>IF(BASE01[[#This Row],[TIPO]]="PREMIO",$O$3,"0,00")</f>
        <v>1000</v>
      </c>
      <c r="CW38" s="515"/>
      <c r="CY38" s="538" t="str">
        <f t="shared" si="17"/>
        <v/>
      </c>
      <c r="CZ38" s="387"/>
      <c r="DA38" s="387" t="str">
        <f t="array" ref="DA38">IF(CZ38="", "", IF((INDEX(E$8:CE$57, MATCH(CZ38, C$8:C$57, 0), ($CZ$25-1)*5 + 1) &amp; "") = (INDEX(E$5:CE$5, 1, ($CZ$25-1)*5 + 1) &amp; ""), 1, IF((INDEX(E$8:CE$57, MATCH(CZ38, C$8:C$57, 0), ($CZ$25-1)*5 + 2) &amp; "") = (INDEX(E$5:CE$5, 1, ($CZ$25-1)*5 + 1) &amp; ""), 2, IF((INDEX(E$8:CE$57, MATCH(CZ38, C$8:C$57, 0), ($CZ$25-1)*5 + 3) &amp; "") = (INDEX(E$5:CE$5, 1, ($CZ$25-1)*5 + 1) &amp; ""), 3, ""))))</f>
        <v/>
      </c>
      <c r="DB38" s="537" t="str">
        <f>BASE01[[#This Row],[COD]]</f>
        <v>COD 31</v>
      </c>
      <c r="DC38" s="390" t="str">
        <f t="array" ref="DC38">IFERROR(IF(AND(INDEX($E$8:$CE$57, MATCH($C38, $C$8:$C$57, 0), (COLUMNS($DC38:DC38)-1)*5 + 1) = INDEX($E$5:$CE$5, 1, (COLUMNS($DC38:DC38)-1)*5 + 1), INDEX($E$8:$CE$57, MATCH($C38, $C$8:$C$57, 0), (COLUMNS($DC38:DC38)-1)*5 + 4) = "F"), INDEX($CZ$8:$CZ$23, COLUMNS($DC38:DC38)), "0"), "")</f>
        <v>0</v>
      </c>
      <c r="DD38" s="390" t="str">
        <f t="array" ref="DD38">IFERROR(IF(AND(INDEX($E$8:$CE$57, MATCH($C38, $C$8:$C$57, 0), (COLUMNS($DC38:DD38)-1)*5 + 1) = INDEX($E$5:$CE$5, 1, (COLUMNS($DC38:DD38)-1)*5 + 1), INDEX($E$8:$CE$57, MATCH($C38, $C$8:$C$57, 0), (COLUMNS($DC38:DD38)-1)*5 + 4) = "F"), INDEX($CZ$8:$CZ$23, COLUMNS($DC38:DD38)), "0"), "")</f>
        <v>0</v>
      </c>
      <c r="DE38" s="390" t="str">
        <f t="array" ref="DE38">IFERROR(IF(AND(INDEX($E$8:$CE$57, MATCH($C38, $C$8:$C$57, 0), (COLUMNS($DC38:DE38)-1)*5 + 1) = INDEX($E$5:$CE$5, 1, (COLUMNS($DC38:DE38)-1)*5 + 1), INDEX($E$8:$CE$57, MATCH($C38, $C$8:$C$57, 0), (COLUMNS($DC38:DE38)-1)*5 + 4) = "F"), INDEX($CZ$8:$CZ$23, COLUMNS($DC38:DE38)), "0"), "")</f>
        <v>0</v>
      </c>
      <c r="DF38" s="390" t="str">
        <f t="array" ref="DF38">IFERROR(IF(AND(INDEX($E$8:$CE$57, MATCH($C38, $C$8:$C$57, 0), (COLUMNS($DC38:DF38)-1)*5 + 1) = INDEX($E$5:$CE$5, 1, (COLUMNS($DC38:DF38)-1)*5 + 1), INDEX($E$8:$CE$57, MATCH($C38, $C$8:$C$57, 0), (COLUMNS($DC38:DF38)-1)*5 + 4) = "F"), INDEX($CZ$8:$CZ$23, COLUMNS($DC38:DF38)), "0"), "")</f>
        <v>0</v>
      </c>
      <c r="DG38" s="390" t="str">
        <f t="array" ref="DG38">IFERROR(IF(AND(INDEX($E$8:$CE$57, MATCH($C38, $C$8:$C$57, 0), (COLUMNS($DC38:DG38)-1)*5 + 1) = INDEX($E$5:$CE$5, 1, (COLUMNS($DC38:DG38)-1)*5 + 1), INDEX($E$8:$CE$57, MATCH($C38, $C$8:$C$57, 0), (COLUMNS($DC38:DG38)-1)*5 + 4) = "F"), INDEX($CZ$8:$CZ$23, COLUMNS($DC38:DG38)), "0"), "")</f>
        <v>0</v>
      </c>
      <c r="DH38" s="390" t="str">
        <f t="array" ref="DH38">IFERROR(IF(AND(INDEX($E$8:$CE$57, MATCH($C38, $C$8:$C$57, 0), (COLUMNS($DC38:DH38)-1)*5 + 1) = INDEX($E$5:$CE$5, 1, (COLUMNS($DC38:DH38)-1)*5 + 1), INDEX($E$8:$CE$57, MATCH($C38, $C$8:$C$57, 0), (COLUMNS($DC38:DH38)-1)*5 + 4) = "F"), INDEX($CZ$8:$CZ$23, COLUMNS($DC38:DH38)), "0"), "")</f>
        <v>0</v>
      </c>
      <c r="DI38" s="390" t="str">
        <f t="array" ref="DI38">IFERROR(IF(AND(INDEX($E$8:$CE$57, MATCH($C38, $C$8:$C$57, 0), (COLUMNS($DC38:DI38)-1)*5 + 1) = INDEX($E$5:$CE$5, 1, (COLUMNS($DC38:DI38)-1)*5 + 1), INDEX($E$8:$CE$57, MATCH($C38, $C$8:$C$57, 0), (COLUMNS($DC38:DI38)-1)*5 + 4) = "F"), INDEX($CZ$8:$CZ$23, COLUMNS($DC38:DI38)), "0"), "")</f>
        <v>0</v>
      </c>
      <c r="DJ38" s="390" t="str">
        <f t="array" ref="DJ38">IFERROR(IF(AND(INDEX($E$8:$CE$57, MATCH($C38, $C$8:$C$57, 0), (COLUMNS($DC38:DJ38)-1)*5 + 1) = INDEX($E$5:$CE$5, 1, (COLUMNS($DC38:DJ38)-1)*5 + 1), INDEX($E$8:$CE$57, MATCH($C38, $C$8:$C$57, 0), (COLUMNS($DC38:DJ38)-1)*5 + 4) = "F"), INDEX($CZ$8:$CZ$23, COLUMNS($DC38:DJ38)), "0"), "")</f>
        <v>0</v>
      </c>
      <c r="DK38" s="390" t="str">
        <f t="array" ref="DK38">IFERROR(IF(AND(INDEX($E$8:$CE$57, MATCH($C38, $C$8:$C$57, 0), (COLUMNS($DC38:DK38)-1)*5 + 1) = INDEX($E$5:$CE$5, 1, (COLUMNS($DC38:DK38)-1)*5 + 1), INDEX($E$8:$CE$57, MATCH($C38, $C$8:$C$57, 0), (COLUMNS($DC38:DK38)-1)*5 + 4) = "F"), INDEX($CZ$8:$CZ$23, COLUMNS($DC38:DK38)), "0"), "")</f>
        <v>0</v>
      </c>
      <c r="DL38" s="390" t="str">
        <f t="array" ref="DL38">IFERROR(IF(AND(INDEX($E$8:$CE$57, MATCH($C38, $C$8:$C$57, 0), (COLUMNS($DC38:DL38)-1)*5 + 1) = INDEX($E$5:$CE$5, 1, (COLUMNS($DC38:DL38)-1)*5 + 1), INDEX($E$8:$CE$57, MATCH($C38, $C$8:$C$57, 0), (COLUMNS($DC38:DL38)-1)*5 + 4) = "F"), INDEX($CZ$8:$CZ$23, COLUMNS($DC38:DL38)), "0"), "")</f>
        <v>0</v>
      </c>
      <c r="DM38" s="390" t="str">
        <f t="array" ref="DM38">IFERROR(IF(AND(INDEX($E$8:$CE$57, MATCH($C38, $C$8:$C$57, 0), (COLUMNS($DC38:DM38)-1)*5 + 1) = INDEX($E$5:$CE$5, 1, (COLUMNS($DC38:DM38)-1)*5 + 1), INDEX($E$8:$CE$57, MATCH($C38, $C$8:$C$57, 0), (COLUMNS($DC38:DM38)-1)*5 + 4) = "F"), INDEX($CZ$8:$CZ$23, COLUMNS($DC38:DM38)), "0"), "")</f>
        <v>0</v>
      </c>
      <c r="DN38" s="390" t="str">
        <f t="array" ref="DN38">IFERROR(IF(AND(INDEX($E$8:$CE$57, MATCH($C38, $C$8:$C$57, 0), (COLUMNS($DC38:DN38)-1)*5 + 1) = INDEX($E$5:$CE$5, 1, (COLUMNS($DC38:DN38)-1)*5 + 1), INDEX($E$8:$CE$57, MATCH($C38, $C$8:$C$57, 0), (COLUMNS($DC38:DN38)-1)*5 + 4) = "F"), INDEX($CZ$8:$CZ$23, COLUMNS($DC38:DN38)), "0"), "")</f>
        <v>0</v>
      </c>
      <c r="DO38" s="390" t="str">
        <f t="array" ref="DO38">IFERROR(IF(AND(INDEX($E$8:$CE$57, MATCH($C38, $C$8:$C$57, 0), (COLUMNS($DC38:DO38)-1)*5 + 1) = INDEX($E$5:$CE$5, 1, (COLUMNS($DC38:DO38)-1)*5 + 1), INDEX($E$8:$CE$57, MATCH($C38, $C$8:$C$57, 0), (COLUMNS($DC38:DO38)-1)*5 + 4) = "F"), INDEX($CZ$8:$CZ$23, COLUMNS($DC38:DO38)), "0"), "")</f>
        <v>0</v>
      </c>
      <c r="DP38" s="390" t="str">
        <f t="array" ref="DP38">IFERROR(IF(AND(INDEX($E$8:$CE$57, MATCH($C38, $C$8:$C$57, 0), (COLUMNS($DC38:DP38)-1)*5 + 1) = INDEX($E$5:$CE$5, 1, (COLUMNS($DC38:DP38)-1)*5 + 1), INDEX($E$8:$CE$57, MATCH($C38, $C$8:$C$57, 0), (COLUMNS($DC38:DP38)-1)*5 + 4) = "F"), INDEX($CZ$8:$CZ$23, COLUMNS($DC38:DP38)), "0"), "")</f>
        <v>0</v>
      </c>
      <c r="DQ38" s="390" t="str">
        <f t="array" ref="DQ38">IFERROR(IF(AND(INDEX($E$8:$CE$57, MATCH($C38, $C$8:$C$57, 0), (COLUMNS($DC38:DQ38)-1)*5 + 1) = INDEX($E$5:$CE$5, 1, (COLUMNS($DC38:DQ38)-1)*5 + 1), INDEX($E$8:$CE$57, MATCH($C38, $C$8:$C$57, 0), (COLUMNS($DC38:DQ38)-1)*5 + 4) = "F"), INDEX($CZ$8:$CZ$23, COLUMNS($DC38:DQ38)), "0"), "")</f>
        <v>0</v>
      </c>
      <c r="DR38" s="390" t="str">
        <f t="array" ref="DR38">IFERROR(IF(AND(INDEX($E$8:$CE$57, MATCH($C38, $C$8:$C$57, 0), (COLUMNS($DC38:DR38)-1)*5 + 1) = INDEX($E$5:$CE$5, 1, (COLUMNS($DC38:DR38)-1)*5 + 1), INDEX($E$8:$CE$57, MATCH($C38, $C$8:$C$57, 0), (COLUMNS($DC38:DR38)-1)*5 + 4) = "F"), INDEX($CZ$8:$CZ$23, COLUMNS($DC38:DR38)), "0"), "")</f>
        <v>0</v>
      </c>
      <c r="DT38" s="537" t="str">
        <f>BASE01[[#This Row],[COD]]</f>
        <v>COD 31</v>
      </c>
      <c r="DU38" s="390" t="str">
        <f t="array" ref="DU38">IFERROR(IF(AND(INDEX($E$8:$CE$57, MATCH($C38, $C$8:$C$57, 0), (COLUMNS($DU38:DU38)-1)*5 + 1) = INDEX($E$5:$CE$5, 1, (COLUMNS($DU38:DU38)-1)*5 + 1), INDEX($E$8:$CE$57, MATCH($C38, $C$8:$C$57, 0), (COLUMNS($DU38:DU38)-1)*5 + 4) = "SF"), INDEX($CZ$8:$CZ$23, COLUMNS($DU38:DU38)), "0"), "")</f>
        <v>0</v>
      </c>
      <c r="DV38" s="390" t="str">
        <f t="array" ref="DV38">IFERROR(IF(AND(INDEX($E$8:$CE$57, MATCH($C38, $C$8:$C$57, 0), (COLUMNS($DU38:DV38)-1)*5 + 1) = INDEX($E$5:$CE$5, 1, (COLUMNS($DU38:DV38)-1)*5 + 1), INDEX($E$8:$CE$57, MATCH($C38, $C$8:$C$57, 0), (COLUMNS($DU38:DV38)-1)*5 + 4) = "SF"), INDEX($CZ$8:$CZ$23, COLUMNS($DU38:DV38)), "0"), "")</f>
        <v>0</v>
      </c>
      <c r="DW38" s="390" t="str">
        <f t="array" ref="DW38">IFERROR(IF(AND(INDEX($E$8:$CE$57, MATCH($C38, $C$8:$C$57, 0), (COLUMNS($DU38:DW38)-1)*5 + 1) = INDEX($E$5:$CE$5, 1, (COLUMNS($DU38:DW38)-1)*5 + 1), INDEX($E$8:$CE$57, MATCH($C38, $C$8:$C$57, 0), (COLUMNS($DU38:DW38)-1)*5 + 4) = "SF"), INDEX($CZ$8:$CZ$23, COLUMNS($DU38:DW38)), "0"), "")</f>
        <v>0</v>
      </c>
      <c r="DX38" s="390" t="str">
        <f t="array" ref="DX38">IFERROR(IF(AND(INDEX($E$8:$CE$57, MATCH($C38, $C$8:$C$57, 0), (COLUMNS($DU38:DX38)-1)*5 + 1) = INDEX($E$5:$CE$5, 1, (COLUMNS($DU38:DX38)-1)*5 + 1), INDEX($E$8:$CE$57, MATCH($C38, $C$8:$C$57, 0), (COLUMNS($DU38:DX38)-1)*5 + 4) = "SF"), INDEX($CZ$8:$CZ$23, COLUMNS($DU38:DX38)), "0"), "")</f>
        <v>0</v>
      </c>
      <c r="DY38" s="390">
        <f t="array" ref="DY38">IFERROR(IF(AND(INDEX($E$8:$CE$57, MATCH($C38, $C$8:$C$57, 0), (COLUMNS($DU38:DY38)-1)*5 + 1) = INDEX($E$5:$CE$5, 1, (COLUMNS($DU38:DY38)-1)*5 + 1), INDEX($E$8:$CE$57, MATCH($C38, $C$8:$C$57, 0), (COLUMNS($DU38:DY38)-1)*5 + 4) = "SF"), INDEX($CZ$8:$CZ$23, COLUMNS($DU38:DY38)), "0"), "")</f>
        <v>110</v>
      </c>
      <c r="DZ38" s="390" t="str">
        <f t="array" ref="DZ38">IFERROR(IF(AND(INDEX($E$8:$CE$57, MATCH($C38, $C$8:$C$57, 0), (COLUMNS($DU38:DZ38)-1)*5 + 1) = INDEX($E$5:$CE$5, 1, (COLUMNS($DU38:DZ38)-1)*5 + 1), INDEX($E$8:$CE$57, MATCH($C38, $C$8:$C$57, 0), (COLUMNS($DU38:DZ38)-1)*5 + 4) = "SF"), INDEX($CZ$8:$CZ$23, COLUMNS($DU38:DZ38)), "0"), "")</f>
        <v>0</v>
      </c>
      <c r="EA38" s="390" t="str">
        <f t="array" ref="EA38">IFERROR(IF(AND(INDEX($E$8:$CE$57, MATCH($C38, $C$8:$C$57, 0), (COLUMNS($DU38:EA38)-1)*5 + 1) = INDEX($E$5:$CE$5, 1, (COLUMNS($DU38:EA38)-1)*5 + 1), INDEX($E$8:$CE$57, MATCH($C38, $C$8:$C$57, 0), (COLUMNS($DU38:EA38)-1)*5 + 4) = "SF"), INDEX($CZ$8:$CZ$23, COLUMNS($DU38:EA38)), "0"), "")</f>
        <v>0</v>
      </c>
      <c r="EB38" s="390" t="str">
        <f t="array" ref="EB38">IFERROR(IF(AND(INDEX($E$8:$CE$57, MATCH($C38, $C$8:$C$57, 0), (COLUMNS($DU38:EB38)-1)*5 + 1) = INDEX($E$5:$CE$5, 1, (COLUMNS($DU38:EB38)-1)*5 + 1), INDEX($E$8:$CE$57, MATCH($C38, $C$8:$C$57, 0), (COLUMNS($DU38:EB38)-1)*5 + 4) = "SF"), INDEX($CZ$8:$CZ$23, COLUMNS($DU38:EB38)), "0"), "")</f>
        <v>0</v>
      </c>
      <c r="EC38" s="390" t="str">
        <f t="array" ref="EC38">IFERROR(IF(AND(INDEX($E$8:$CE$57, MATCH($C38, $C$8:$C$57, 0), (COLUMNS($DU38:EC38)-1)*5 + 1) = INDEX($E$5:$CE$5, 1, (COLUMNS($DU38:EC38)-1)*5 + 1), INDEX($E$8:$CE$57, MATCH($C38, $C$8:$C$57, 0), (COLUMNS($DU38:EC38)-1)*5 + 4) = "SF"), INDEX($CZ$8:$CZ$23, COLUMNS($DU38:EC38)), "0"), "")</f>
        <v>0</v>
      </c>
      <c r="ED38" s="390" t="str">
        <f t="array" ref="ED38">IFERROR(IF(AND(INDEX($E$8:$CE$57, MATCH($C38, $C$8:$C$57, 0), (COLUMNS($DU38:ED38)-1)*5 + 1) = INDEX($E$5:$CE$5, 1, (COLUMNS($DU38:ED38)-1)*5 + 1), INDEX($E$8:$CE$57, MATCH($C38, $C$8:$C$57, 0), (COLUMNS($DU38:ED38)-1)*5 + 4) = "SF"), INDEX($CZ$8:$CZ$23, COLUMNS($DU38:ED38)), "0"), "")</f>
        <v>0</v>
      </c>
      <c r="EE38" s="390" t="str">
        <f t="array" ref="EE38">IFERROR(IF(AND(INDEX($E$8:$CE$57, MATCH($C38, $C$8:$C$57, 0), (COLUMNS($DU38:EE38)-1)*5 + 1) = INDEX($E$5:$CE$5, 1, (COLUMNS($DU38:EE38)-1)*5 + 1), INDEX($E$8:$CE$57, MATCH($C38, $C$8:$C$57, 0), (COLUMNS($DU38:EE38)-1)*5 + 4) = "SF"), INDEX($CZ$8:$CZ$23, COLUMNS($DU38:EE38)), "0"), "")</f>
        <v>0</v>
      </c>
      <c r="EF38" s="390" t="str">
        <f t="array" ref="EF38">IFERROR(IF(AND(INDEX($E$8:$CE$57, MATCH($C38, $C$8:$C$57, 0), (COLUMNS($DU38:EF38)-1)*5 + 1) = INDEX($E$5:$CE$5, 1, (COLUMNS($DU38:EF38)-1)*5 + 1), INDEX($E$8:$CE$57, MATCH($C38, $C$8:$C$57, 0), (COLUMNS($DU38:EF38)-1)*5 + 4) = "SF"), INDEX($CZ$8:$CZ$23, COLUMNS($DU38:EF38)), "0"), "")</f>
        <v>0</v>
      </c>
      <c r="EG38" s="390" t="str">
        <f t="array" ref="EG38">IFERROR(IF(AND(INDEX($E$8:$CE$57, MATCH($C38, $C$8:$C$57, 0), (COLUMNS($DU38:EG38)-1)*5 + 1) = INDEX($E$5:$CE$5, 1, (COLUMNS($DU38:EG38)-1)*5 + 1), INDEX($E$8:$CE$57, MATCH($C38, $C$8:$C$57, 0), (COLUMNS($DU38:EG38)-1)*5 + 4) = "SF"), INDEX($CZ$8:$CZ$23, COLUMNS($DU38:EG38)), "0"), "")</f>
        <v>0</v>
      </c>
      <c r="EH38" s="390" t="str">
        <f t="array" ref="EH38">IFERROR(IF(AND(INDEX($E$8:$CE$57, MATCH($C38, $C$8:$C$57, 0), (COLUMNS($DU38:EH38)-1)*5 + 1) = INDEX($E$5:$CE$5, 1, (COLUMNS($DU38:EH38)-1)*5 + 1), INDEX($E$8:$CE$57, MATCH($C38, $C$8:$C$57, 0), (COLUMNS($DU38:EH38)-1)*5 + 4) = "SF"), INDEX($CZ$8:$CZ$23, COLUMNS($DU38:EH38)), "0"), "")</f>
        <v>0</v>
      </c>
      <c r="EI38" s="390" t="str">
        <f t="array" ref="EI38">IFERROR(IF(AND(INDEX($E$8:$CE$57, MATCH($C38, $C$8:$C$57, 0), (COLUMNS($DU38:EI38)-1)*5 + 1) = INDEX($E$5:$CE$5, 1, (COLUMNS($DU38:EI38)-1)*5 + 1), INDEX($E$8:$CE$57, MATCH($C38, $C$8:$C$57, 0), (COLUMNS($DU38:EI38)-1)*5 + 4) = "SF"), INDEX($CZ$8:$CZ$23, COLUMNS($DU38:EI38)), "0"), "")</f>
        <v>0</v>
      </c>
      <c r="EJ38" s="390" t="str">
        <f t="array" ref="EJ38">IFERROR(IF(AND(INDEX($E$8:$CE$57, MATCH($C38, $C$8:$C$57, 0), (COLUMNS($DU38:EJ38)-1)*5 + 1) = INDEX($E$5:$CE$5, 1, (COLUMNS($DU38:EJ38)-1)*5 + 1), INDEX($E$8:$CE$57, MATCH($C38, $C$8:$C$57, 0), (COLUMNS($DU38:EJ38)-1)*5 + 4) = "SF"), INDEX($CZ$8:$CZ$23, COLUMNS($DU38:EJ38)), "0"), "")</f>
        <v>0</v>
      </c>
    </row>
    <row r="39" spans="1:140" ht="19.5" customHeight="1" x14ac:dyDescent="0.35">
      <c r="A39" s="515"/>
      <c r="B39" s="91">
        <f>IF(BASE01[[#This Row],[COD]]&lt;&gt;"",B38+1,"")</f>
        <v>32</v>
      </c>
      <c r="C39" s="533" t="s">
        <v>93</v>
      </c>
      <c r="D39" s="92" t="str">
        <f t="array" ref="D39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39" s="143">
        <v>1</v>
      </c>
      <c r="F39" s="144">
        <v>6</v>
      </c>
      <c r="G39" s="144">
        <v>8</v>
      </c>
      <c r="H39" s="144"/>
      <c r="I39" s="534">
        <f t="shared" si="0"/>
        <v>1</v>
      </c>
      <c r="J39" s="143">
        <v>3</v>
      </c>
      <c r="K39" s="144">
        <v>8</v>
      </c>
      <c r="L39" s="144">
        <v>2</v>
      </c>
      <c r="M39" s="144"/>
      <c r="N39" s="534">
        <f t="shared" si="1"/>
        <v>5</v>
      </c>
      <c r="O39" s="143">
        <v>3</v>
      </c>
      <c r="P39" s="144">
        <v>1</v>
      </c>
      <c r="Q39" s="144">
        <v>8</v>
      </c>
      <c r="R39" s="144"/>
      <c r="S39" s="534">
        <f t="shared" si="2"/>
        <v>0</v>
      </c>
      <c r="T39" s="143">
        <v>6</v>
      </c>
      <c r="U39" s="144">
        <v>9</v>
      </c>
      <c r="V39" s="144">
        <v>8</v>
      </c>
      <c r="W39" s="144" t="s">
        <v>254</v>
      </c>
      <c r="X39" s="534">
        <f t="shared" si="3"/>
        <v>5.5</v>
      </c>
      <c r="Y39" s="143">
        <v>5</v>
      </c>
      <c r="Z39" s="144">
        <v>10</v>
      </c>
      <c r="AA39" s="144">
        <v>4</v>
      </c>
      <c r="AB39" s="144"/>
      <c r="AC39" s="534">
        <f t="shared" si="4"/>
        <v>3.5</v>
      </c>
      <c r="AD39" s="143">
        <v>7</v>
      </c>
      <c r="AE39" s="144">
        <v>2</v>
      </c>
      <c r="AF39" s="144">
        <v>3</v>
      </c>
      <c r="AG39" s="144"/>
      <c r="AH39" s="534">
        <f t="shared" si="5"/>
        <v>2</v>
      </c>
      <c r="AI39" s="143">
        <v>4</v>
      </c>
      <c r="AJ39" s="144">
        <v>7</v>
      </c>
      <c r="AK39" s="144">
        <v>3</v>
      </c>
      <c r="AL39" s="144"/>
      <c r="AM39" s="534">
        <f t="shared" si="6"/>
        <v>4</v>
      </c>
      <c r="AN39" s="143">
        <v>9</v>
      </c>
      <c r="AO39" s="144">
        <v>8</v>
      </c>
      <c r="AP39" s="144">
        <v>11</v>
      </c>
      <c r="AQ39" s="144"/>
      <c r="AR39" s="534">
        <f t="shared" si="7"/>
        <v>0</v>
      </c>
      <c r="AS39" s="143">
        <v>1</v>
      </c>
      <c r="AT39" s="144">
        <v>2</v>
      </c>
      <c r="AU39" s="144">
        <v>6</v>
      </c>
      <c r="AV39" s="144"/>
      <c r="AW39" s="534">
        <f t="shared" si="8"/>
        <v>0</v>
      </c>
      <c r="AX39" s="143">
        <v>1</v>
      </c>
      <c r="AY39" s="144">
        <v>9</v>
      </c>
      <c r="AZ39" s="144">
        <v>8</v>
      </c>
      <c r="BA39" s="144"/>
      <c r="BB39" s="534">
        <f t="shared" si="9"/>
        <v>4</v>
      </c>
      <c r="BC39" s="143">
        <v>4</v>
      </c>
      <c r="BD39" s="144"/>
      <c r="BE39" s="144"/>
      <c r="BF39" s="144" t="s">
        <v>255</v>
      </c>
      <c r="BG39" s="534">
        <f t="shared" si="10"/>
        <v>8</v>
      </c>
      <c r="BH39" s="143">
        <v>5</v>
      </c>
      <c r="BI39" s="144">
        <v>2</v>
      </c>
      <c r="BJ39" s="144">
        <v>6</v>
      </c>
      <c r="BK39" s="144" t="s">
        <v>254</v>
      </c>
      <c r="BL39" s="534">
        <f t="shared" si="11"/>
        <v>5</v>
      </c>
      <c r="BM39" s="143">
        <v>1</v>
      </c>
      <c r="BN39" s="144">
        <v>2</v>
      </c>
      <c r="BO39" s="144">
        <v>3</v>
      </c>
      <c r="BP39" s="144"/>
      <c r="BQ39" s="534">
        <f t="shared" si="12"/>
        <v>1</v>
      </c>
      <c r="BR39" s="143"/>
      <c r="BS39" s="144"/>
      <c r="BT39" s="144"/>
      <c r="BU39" s="144"/>
      <c r="BV39" s="534">
        <f t="shared" si="13"/>
        <v>0</v>
      </c>
      <c r="BW39" s="143"/>
      <c r="BX39" s="144"/>
      <c r="BY39" s="144"/>
      <c r="BZ39" s="144"/>
      <c r="CA39" s="534">
        <f t="shared" si="14"/>
        <v>0</v>
      </c>
      <c r="CB39" s="143"/>
      <c r="CC39" s="144"/>
      <c r="CD39" s="144"/>
      <c r="CE39" s="144"/>
      <c r="CF39" s="534">
        <f t="shared" si="15"/>
        <v>0</v>
      </c>
      <c r="CG39" s="162">
        <f>IF(BASE01[[#This Row],[1]]="",0,$B$4)</f>
        <v>13</v>
      </c>
      <c r="CH39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6</v>
      </c>
      <c r="CI39" s="164">
        <f>IF(BASE01[[#This Row],[Columna14]]=0,0,(CH39/CG39))</f>
        <v>0.46153846153846156</v>
      </c>
      <c r="CJ39" s="163">
        <f>IF(BASE01[[#This Row],[1]]="",0,$B$4)</f>
        <v>13</v>
      </c>
      <c r="CK39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8</v>
      </c>
      <c r="CL39" s="164">
        <f>IF(BASE01[[#This Row],[Columna14]]=0,0,(CK39/CJ39))</f>
        <v>0.61538461538461542</v>
      </c>
      <c r="CM39" s="162">
        <f>IF(BASE01[[#This Row],[1]]="",0,$B$4)</f>
        <v>13</v>
      </c>
      <c r="CN39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10</v>
      </c>
      <c r="CO39" s="164">
        <f>IF(BASE01[[#This Row],[Columna14]]=0,0,(CN39/CM39))</f>
        <v>0.76923076923076927</v>
      </c>
      <c r="CP39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39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Row],[Columna25]],$AX$5,BA39,"SF")+COUNTIFS(BASE01[[#This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39" s="164">
        <f>IF(BASE01[[#This Row],[Columna14]]=0,0,(CQ39/CP39))</f>
        <v>0.66666666666666663</v>
      </c>
      <c r="CS39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39</v>
      </c>
      <c r="CT39" s="93"/>
      <c r="CU39" s="536">
        <f t="shared" si="16"/>
        <v>39</v>
      </c>
      <c r="CV39" s="94">
        <f>IF(BASE01[[#This Row],[TIPO]]="PREMIO",$O$3,"0,00")</f>
        <v>1000</v>
      </c>
      <c r="CW39" s="515"/>
      <c r="CY39" s="538" t="str">
        <f t="shared" si="17"/>
        <v/>
      </c>
      <c r="CZ39" s="387"/>
      <c r="DA39" s="387" t="str">
        <f t="array" ref="DA39">IF(CZ39="", "", IF((INDEX(E$8:CE$57, MATCH(CZ39, C$8:C$57, 0), ($CZ$25-1)*5 + 1) &amp; "") = (INDEX(E$5:CE$5, 1, ($CZ$25-1)*5 + 1) &amp; ""), 1, IF((INDEX(E$8:CE$57, MATCH(CZ39, C$8:C$57, 0), ($CZ$25-1)*5 + 2) &amp; "") = (INDEX(E$5:CE$5, 1, ($CZ$25-1)*5 + 1) &amp; ""), 2, IF((INDEX(E$8:CE$57, MATCH(CZ39, C$8:C$57, 0), ($CZ$25-1)*5 + 3) &amp; "") = (INDEX(E$5:CE$5, 1, ($CZ$25-1)*5 + 1) &amp; ""), 3, ""))))</f>
        <v/>
      </c>
      <c r="DB39" s="537" t="str">
        <f>BASE01[[#This Row],[COD]]</f>
        <v>COD 32</v>
      </c>
      <c r="DC39" s="390" t="str">
        <f t="array" ref="DC39">IFERROR(IF(AND(INDEX($E$8:$CE$57, MATCH($C39, $C$8:$C$57, 0), (COLUMNS($DC39:DC39)-1)*5 + 1) = INDEX($E$5:$CE$5, 1, (COLUMNS($DC39:DC39)-1)*5 + 1), INDEX($E$8:$CE$57, MATCH($C39, $C$8:$C$57, 0), (COLUMNS($DC39:DC39)-1)*5 + 4) = "F"), INDEX($CZ$8:$CZ$23, COLUMNS($DC39:DC39)), "0"), "")</f>
        <v>0</v>
      </c>
      <c r="DD39" s="390" t="str">
        <f t="array" ref="DD39">IFERROR(IF(AND(INDEX($E$8:$CE$57, MATCH($C39, $C$8:$C$57, 0), (COLUMNS($DC39:DD39)-1)*5 + 1) = INDEX($E$5:$CE$5, 1, (COLUMNS($DC39:DD39)-1)*5 + 1), INDEX($E$8:$CE$57, MATCH($C39, $C$8:$C$57, 0), (COLUMNS($DC39:DD39)-1)*5 + 4) = "F"), INDEX($CZ$8:$CZ$23, COLUMNS($DC39:DD39)), "0"), "")</f>
        <v>0</v>
      </c>
      <c r="DE39" s="390" t="str">
        <f t="array" ref="DE39">IFERROR(IF(AND(INDEX($E$8:$CE$57, MATCH($C39, $C$8:$C$57, 0), (COLUMNS($DC39:DE39)-1)*5 + 1) = INDEX($E$5:$CE$5, 1, (COLUMNS($DC39:DE39)-1)*5 + 1), INDEX($E$8:$CE$57, MATCH($C39, $C$8:$C$57, 0), (COLUMNS($DC39:DE39)-1)*5 + 4) = "F"), INDEX($CZ$8:$CZ$23, COLUMNS($DC39:DE39)), "0"), "")</f>
        <v>0</v>
      </c>
      <c r="DF39" s="390">
        <f t="array" ref="DF39">IFERROR(IF(AND(INDEX($E$8:$CE$57, MATCH($C39, $C$8:$C$57, 0), (COLUMNS($DC39:DF39)-1)*5 + 1) = INDEX($E$5:$CE$5, 1, (COLUMNS($DC39:DF39)-1)*5 + 1), INDEX($E$8:$CE$57, MATCH($C39, $C$8:$C$57, 0), (COLUMNS($DC39:DF39)-1)*5 + 4) = "F"), INDEX($CZ$8:$CZ$23, COLUMNS($DC39:DF39)), "0"), "")</f>
        <v>110</v>
      </c>
      <c r="DG39" s="390" t="str">
        <f t="array" ref="DG39">IFERROR(IF(AND(INDEX($E$8:$CE$57, MATCH($C39, $C$8:$C$57, 0), (COLUMNS($DC39:DG39)-1)*5 + 1) = INDEX($E$5:$CE$5, 1, (COLUMNS($DC39:DG39)-1)*5 + 1), INDEX($E$8:$CE$57, MATCH($C39, $C$8:$C$57, 0), (COLUMNS($DC39:DG39)-1)*5 + 4) = "F"), INDEX($CZ$8:$CZ$23, COLUMNS($DC39:DG39)), "0"), "")</f>
        <v>0</v>
      </c>
      <c r="DH39" s="390" t="str">
        <f t="array" ref="DH39">IFERROR(IF(AND(INDEX($E$8:$CE$57, MATCH($C39, $C$8:$C$57, 0), (COLUMNS($DC39:DH39)-1)*5 + 1) = INDEX($E$5:$CE$5, 1, (COLUMNS($DC39:DH39)-1)*5 + 1), INDEX($E$8:$CE$57, MATCH($C39, $C$8:$C$57, 0), (COLUMNS($DC39:DH39)-1)*5 + 4) = "F"), INDEX($CZ$8:$CZ$23, COLUMNS($DC39:DH39)), "0"), "")</f>
        <v>0</v>
      </c>
      <c r="DI39" s="390" t="str">
        <f t="array" ref="DI39">IFERROR(IF(AND(INDEX($E$8:$CE$57, MATCH($C39, $C$8:$C$57, 0), (COLUMNS($DC39:DI39)-1)*5 + 1) = INDEX($E$5:$CE$5, 1, (COLUMNS($DC39:DI39)-1)*5 + 1), INDEX($E$8:$CE$57, MATCH($C39, $C$8:$C$57, 0), (COLUMNS($DC39:DI39)-1)*5 + 4) = "F"), INDEX($CZ$8:$CZ$23, COLUMNS($DC39:DI39)), "0"), "")</f>
        <v>0</v>
      </c>
      <c r="DJ39" s="390" t="str">
        <f t="array" ref="DJ39">IFERROR(IF(AND(INDEX($E$8:$CE$57, MATCH($C39, $C$8:$C$57, 0), (COLUMNS($DC39:DJ39)-1)*5 + 1) = INDEX($E$5:$CE$5, 1, (COLUMNS($DC39:DJ39)-1)*5 + 1), INDEX($E$8:$CE$57, MATCH($C39, $C$8:$C$57, 0), (COLUMNS($DC39:DJ39)-1)*5 + 4) = "F"), INDEX($CZ$8:$CZ$23, COLUMNS($DC39:DJ39)), "0"), "")</f>
        <v>0</v>
      </c>
      <c r="DK39" s="390" t="str">
        <f t="array" ref="DK39">IFERROR(IF(AND(INDEX($E$8:$CE$57, MATCH($C39, $C$8:$C$57, 0), (COLUMNS($DC39:DK39)-1)*5 + 1) = INDEX($E$5:$CE$5, 1, (COLUMNS($DC39:DK39)-1)*5 + 1), INDEX($E$8:$CE$57, MATCH($C39, $C$8:$C$57, 0), (COLUMNS($DC39:DK39)-1)*5 + 4) = "F"), INDEX($CZ$8:$CZ$23, COLUMNS($DC39:DK39)), "0"), "")</f>
        <v>0</v>
      </c>
      <c r="DL39" s="390" t="str">
        <f t="array" ref="DL39">IFERROR(IF(AND(INDEX($E$8:$CE$57, MATCH($C39, $C$8:$C$57, 0), (COLUMNS($DC39:DL39)-1)*5 + 1) = INDEX($E$5:$CE$5, 1, (COLUMNS($DC39:DL39)-1)*5 + 1), INDEX($E$8:$CE$57, MATCH($C39, $C$8:$C$57, 0), (COLUMNS($DC39:DL39)-1)*5 + 4) = "F"), INDEX($CZ$8:$CZ$23, COLUMNS($DC39:DL39)), "0"), "")</f>
        <v>0</v>
      </c>
      <c r="DM39" s="390" t="str">
        <f t="array" ref="DM39">IFERROR(IF(AND(INDEX($E$8:$CE$57, MATCH($C39, $C$8:$C$57, 0), (COLUMNS($DC39:DM39)-1)*5 + 1) = INDEX($E$5:$CE$5, 1, (COLUMNS($DC39:DM39)-1)*5 + 1), INDEX($E$8:$CE$57, MATCH($C39, $C$8:$C$57, 0), (COLUMNS($DC39:DM39)-1)*5 + 4) = "F"), INDEX($CZ$8:$CZ$23, COLUMNS($DC39:DM39)), "0"), "")</f>
        <v>0</v>
      </c>
      <c r="DN39" s="390" t="str">
        <f t="array" ref="DN39">IFERROR(IF(AND(INDEX($E$8:$CE$57, MATCH($C39, $C$8:$C$57, 0), (COLUMNS($DC39:DN39)-1)*5 + 1) = INDEX($E$5:$CE$5, 1, (COLUMNS($DC39:DN39)-1)*5 + 1), INDEX($E$8:$CE$57, MATCH($C39, $C$8:$C$57, 0), (COLUMNS($DC39:DN39)-1)*5 + 4) = "F"), INDEX($CZ$8:$CZ$23, COLUMNS($DC39:DN39)), "0"), "")</f>
        <v>0</v>
      </c>
      <c r="DO39" s="390" t="str">
        <f t="array" ref="DO39">IFERROR(IF(AND(INDEX($E$8:$CE$57, MATCH($C39, $C$8:$C$57, 0), (COLUMNS($DC39:DO39)-1)*5 + 1) = INDEX($E$5:$CE$5, 1, (COLUMNS($DC39:DO39)-1)*5 + 1), INDEX($E$8:$CE$57, MATCH($C39, $C$8:$C$57, 0), (COLUMNS($DC39:DO39)-1)*5 + 4) = "F"), INDEX($CZ$8:$CZ$23, COLUMNS($DC39:DO39)), "0"), "")</f>
        <v>0</v>
      </c>
      <c r="DP39" s="390" t="str">
        <f t="array" ref="DP39">IFERROR(IF(AND(INDEX($E$8:$CE$57, MATCH($C39, $C$8:$C$57, 0), (COLUMNS($DC39:DP39)-1)*5 + 1) = INDEX($E$5:$CE$5, 1, (COLUMNS($DC39:DP39)-1)*5 + 1), INDEX($E$8:$CE$57, MATCH($C39, $C$8:$C$57, 0), (COLUMNS($DC39:DP39)-1)*5 + 4) = "F"), INDEX($CZ$8:$CZ$23, COLUMNS($DC39:DP39)), "0"), "")</f>
        <v>0</v>
      </c>
      <c r="DQ39" s="390" t="str">
        <f t="array" ref="DQ39">IFERROR(IF(AND(INDEX($E$8:$CE$57, MATCH($C39, $C$8:$C$57, 0), (COLUMNS($DC39:DQ39)-1)*5 + 1) = INDEX($E$5:$CE$5, 1, (COLUMNS($DC39:DQ39)-1)*5 + 1), INDEX($E$8:$CE$57, MATCH($C39, $C$8:$C$57, 0), (COLUMNS($DC39:DQ39)-1)*5 + 4) = "F"), INDEX($CZ$8:$CZ$23, COLUMNS($DC39:DQ39)), "0"), "")</f>
        <v>0</v>
      </c>
      <c r="DR39" s="390" t="str">
        <f t="array" ref="DR39">IFERROR(IF(AND(INDEX($E$8:$CE$57, MATCH($C39, $C$8:$C$57, 0), (COLUMNS($DC39:DR39)-1)*5 + 1) = INDEX($E$5:$CE$5, 1, (COLUMNS($DC39:DR39)-1)*5 + 1), INDEX($E$8:$CE$57, MATCH($C39, $C$8:$C$57, 0), (COLUMNS($DC39:DR39)-1)*5 + 4) = "F"), INDEX($CZ$8:$CZ$23, COLUMNS($DC39:DR39)), "0"), "")</f>
        <v>0</v>
      </c>
      <c r="DT39" s="537" t="str">
        <f>BASE01[[#This Row],[COD]]</f>
        <v>COD 32</v>
      </c>
      <c r="DU39" s="390" t="str">
        <f t="array" ref="DU39">IFERROR(IF(AND(INDEX($E$8:$CE$57, MATCH($C39, $C$8:$C$57, 0), (COLUMNS($DU39:DU39)-1)*5 + 1) = INDEX($E$5:$CE$5, 1, (COLUMNS($DU39:DU39)-1)*5 + 1), INDEX($E$8:$CE$57, MATCH($C39, $C$8:$C$57, 0), (COLUMNS($DU39:DU39)-1)*5 + 4) = "SF"), INDEX($CZ$8:$CZ$23, COLUMNS($DU39:DU39)), "0"), "")</f>
        <v>0</v>
      </c>
      <c r="DV39" s="390" t="str">
        <f t="array" ref="DV39">IFERROR(IF(AND(INDEX($E$8:$CE$57, MATCH($C39, $C$8:$C$57, 0), (COLUMNS($DU39:DV39)-1)*5 + 1) = INDEX($E$5:$CE$5, 1, (COLUMNS($DU39:DV39)-1)*5 + 1), INDEX($E$8:$CE$57, MATCH($C39, $C$8:$C$57, 0), (COLUMNS($DU39:DV39)-1)*5 + 4) = "SF"), INDEX($CZ$8:$CZ$23, COLUMNS($DU39:DV39)), "0"), "")</f>
        <v>0</v>
      </c>
      <c r="DW39" s="390" t="str">
        <f t="array" ref="DW39">IFERROR(IF(AND(INDEX($E$8:$CE$57, MATCH($C39, $C$8:$C$57, 0), (COLUMNS($DU39:DW39)-1)*5 + 1) = INDEX($E$5:$CE$5, 1, (COLUMNS($DU39:DW39)-1)*5 + 1), INDEX($E$8:$CE$57, MATCH($C39, $C$8:$C$57, 0), (COLUMNS($DU39:DW39)-1)*5 + 4) = "SF"), INDEX($CZ$8:$CZ$23, COLUMNS($DU39:DW39)), "0"), "")</f>
        <v>0</v>
      </c>
      <c r="DX39" s="390" t="str">
        <f t="array" ref="DX39">IFERROR(IF(AND(INDEX($E$8:$CE$57, MATCH($C39, $C$8:$C$57, 0), (COLUMNS($DU39:DX39)-1)*5 + 1) = INDEX($E$5:$CE$5, 1, (COLUMNS($DU39:DX39)-1)*5 + 1), INDEX($E$8:$CE$57, MATCH($C39, $C$8:$C$57, 0), (COLUMNS($DU39:DX39)-1)*5 + 4) = "SF"), INDEX($CZ$8:$CZ$23, COLUMNS($DU39:DX39)), "0"), "")</f>
        <v>0</v>
      </c>
      <c r="DY39" s="390" t="str">
        <f t="array" ref="DY39">IFERROR(IF(AND(INDEX($E$8:$CE$57, MATCH($C39, $C$8:$C$57, 0), (COLUMNS($DU39:DY39)-1)*5 + 1) = INDEX($E$5:$CE$5, 1, (COLUMNS($DU39:DY39)-1)*5 + 1), INDEX($E$8:$CE$57, MATCH($C39, $C$8:$C$57, 0), (COLUMNS($DU39:DY39)-1)*5 + 4) = "SF"), INDEX($CZ$8:$CZ$23, COLUMNS($DU39:DY39)), "0"), "")</f>
        <v>0</v>
      </c>
      <c r="DZ39" s="390" t="str">
        <f t="array" ref="DZ39">IFERROR(IF(AND(INDEX($E$8:$CE$57, MATCH($C39, $C$8:$C$57, 0), (COLUMNS($DU39:DZ39)-1)*5 + 1) = INDEX($E$5:$CE$5, 1, (COLUMNS($DU39:DZ39)-1)*5 + 1), INDEX($E$8:$CE$57, MATCH($C39, $C$8:$C$57, 0), (COLUMNS($DU39:DZ39)-1)*5 + 4) = "SF"), INDEX($CZ$8:$CZ$23, COLUMNS($DU39:DZ39)), "0"), "")</f>
        <v>0</v>
      </c>
      <c r="EA39" s="390" t="str">
        <f t="array" ref="EA39">IFERROR(IF(AND(INDEX($E$8:$CE$57, MATCH($C39, $C$8:$C$57, 0), (COLUMNS($DU39:EA39)-1)*5 + 1) = INDEX($E$5:$CE$5, 1, (COLUMNS($DU39:EA39)-1)*5 + 1), INDEX($E$8:$CE$57, MATCH($C39, $C$8:$C$57, 0), (COLUMNS($DU39:EA39)-1)*5 + 4) = "SF"), INDEX($CZ$8:$CZ$23, COLUMNS($DU39:EA39)), "0"), "")</f>
        <v>0</v>
      </c>
      <c r="EB39" s="390" t="str">
        <f t="array" ref="EB39">IFERROR(IF(AND(INDEX($E$8:$CE$57, MATCH($C39, $C$8:$C$57, 0), (COLUMNS($DU39:EB39)-1)*5 + 1) = INDEX($E$5:$CE$5, 1, (COLUMNS($DU39:EB39)-1)*5 + 1), INDEX($E$8:$CE$57, MATCH($C39, $C$8:$C$57, 0), (COLUMNS($DU39:EB39)-1)*5 + 4) = "SF"), INDEX($CZ$8:$CZ$23, COLUMNS($DU39:EB39)), "0"), "")</f>
        <v>0</v>
      </c>
      <c r="EC39" s="390" t="str">
        <f t="array" ref="EC39">IFERROR(IF(AND(INDEX($E$8:$CE$57, MATCH($C39, $C$8:$C$57, 0), (COLUMNS($DU39:EC39)-1)*5 + 1) = INDEX($E$5:$CE$5, 1, (COLUMNS($DU39:EC39)-1)*5 + 1), INDEX($E$8:$CE$57, MATCH($C39, $C$8:$C$57, 0), (COLUMNS($DU39:EC39)-1)*5 + 4) = "SF"), INDEX($CZ$8:$CZ$23, COLUMNS($DU39:EC39)), "0"), "")</f>
        <v>0</v>
      </c>
      <c r="ED39" s="390" t="str">
        <f t="array" ref="ED39">IFERROR(IF(AND(INDEX($E$8:$CE$57, MATCH($C39, $C$8:$C$57, 0), (COLUMNS($DU39:ED39)-1)*5 + 1) = INDEX($E$5:$CE$5, 1, (COLUMNS($DU39:ED39)-1)*5 + 1), INDEX($E$8:$CE$57, MATCH($C39, $C$8:$C$57, 0), (COLUMNS($DU39:ED39)-1)*5 + 4) = "SF"), INDEX($CZ$8:$CZ$23, COLUMNS($DU39:ED39)), "0"), "")</f>
        <v>0</v>
      </c>
      <c r="EE39" s="390">
        <f t="array" ref="EE39">IFERROR(IF(AND(INDEX($E$8:$CE$57, MATCH($C39, $C$8:$C$57, 0), (COLUMNS($DU39:EE39)-1)*5 + 1) = INDEX($E$5:$CE$5, 1, (COLUMNS($DU39:EE39)-1)*5 + 1), INDEX($E$8:$CE$57, MATCH($C39, $C$8:$C$57, 0), (COLUMNS($DU39:EE39)-1)*5 + 4) = "SF"), INDEX($CZ$8:$CZ$23, COLUMNS($DU39:EE39)), "0"), "")</f>
        <v>184.94</v>
      </c>
      <c r="EF39" s="390" t="str">
        <f t="array" ref="EF39">IFERROR(IF(AND(INDEX($E$8:$CE$57, MATCH($C39, $C$8:$C$57, 0), (COLUMNS($DU39:EF39)-1)*5 + 1) = INDEX($E$5:$CE$5, 1, (COLUMNS($DU39:EF39)-1)*5 + 1), INDEX($E$8:$CE$57, MATCH($C39, $C$8:$C$57, 0), (COLUMNS($DU39:EF39)-1)*5 + 4) = "SF"), INDEX($CZ$8:$CZ$23, COLUMNS($DU39:EF39)), "0"), "")</f>
        <v>0</v>
      </c>
      <c r="EG39" s="390" t="str">
        <f t="array" ref="EG39">IFERROR(IF(AND(INDEX($E$8:$CE$57, MATCH($C39, $C$8:$C$57, 0), (COLUMNS($DU39:EG39)-1)*5 + 1) = INDEX($E$5:$CE$5, 1, (COLUMNS($DU39:EG39)-1)*5 + 1), INDEX($E$8:$CE$57, MATCH($C39, $C$8:$C$57, 0), (COLUMNS($DU39:EG39)-1)*5 + 4) = "SF"), INDEX($CZ$8:$CZ$23, COLUMNS($DU39:EG39)), "0"), "")</f>
        <v>0</v>
      </c>
      <c r="EH39" s="390" t="str">
        <f t="array" ref="EH39">IFERROR(IF(AND(INDEX($E$8:$CE$57, MATCH($C39, $C$8:$C$57, 0), (COLUMNS($DU39:EH39)-1)*5 + 1) = INDEX($E$5:$CE$5, 1, (COLUMNS($DU39:EH39)-1)*5 + 1), INDEX($E$8:$CE$57, MATCH($C39, $C$8:$C$57, 0), (COLUMNS($DU39:EH39)-1)*5 + 4) = "SF"), INDEX($CZ$8:$CZ$23, COLUMNS($DU39:EH39)), "0"), "")</f>
        <v>0</v>
      </c>
      <c r="EI39" s="390" t="str">
        <f t="array" ref="EI39">IFERROR(IF(AND(INDEX($E$8:$CE$57, MATCH($C39, $C$8:$C$57, 0), (COLUMNS($DU39:EI39)-1)*5 + 1) = INDEX($E$5:$CE$5, 1, (COLUMNS($DU39:EI39)-1)*5 + 1), INDEX($E$8:$CE$57, MATCH($C39, $C$8:$C$57, 0), (COLUMNS($DU39:EI39)-1)*5 + 4) = "SF"), INDEX($CZ$8:$CZ$23, COLUMNS($DU39:EI39)), "0"), "")</f>
        <v>0</v>
      </c>
      <c r="EJ39" s="390" t="str">
        <f t="array" ref="EJ39">IFERROR(IF(AND(INDEX($E$8:$CE$57, MATCH($C39, $C$8:$C$57, 0), (COLUMNS($DU39:EJ39)-1)*5 + 1) = INDEX($E$5:$CE$5, 1, (COLUMNS($DU39:EJ39)-1)*5 + 1), INDEX($E$8:$CE$57, MATCH($C39, $C$8:$C$57, 0), (COLUMNS($DU39:EJ39)-1)*5 + 4) = "SF"), INDEX($CZ$8:$CZ$23, COLUMNS($DU39:EJ39)), "0"), "")</f>
        <v>0</v>
      </c>
    </row>
    <row r="40" spans="1:140" ht="20.100000000000001" customHeight="1" x14ac:dyDescent="0.35">
      <c r="A40" s="515"/>
      <c r="B40" s="91">
        <f>IF(BASE01[[#This Row],[COD]]&lt;&gt;"",B39+1,"")</f>
        <v>33</v>
      </c>
      <c r="C40" s="533" t="s">
        <v>95</v>
      </c>
      <c r="D40" s="92" t="str">
        <f t="array" ref="D40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40" s="143">
        <v>8</v>
      </c>
      <c r="F40" s="149">
        <v>6</v>
      </c>
      <c r="G40" s="149">
        <v>1</v>
      </c>
      <c r="H40" s="149"/>
      <c r="I40" s="534">
        <f t="shared" ref="I40:I57" si="18">SUM(IF(E40=E$5,4,0),IF(E40&amp;F40=E$5&amp;F$5,1,0),
IF(AND(E40=E$5,F$6&gt;=$D$115),1,0),
IF(AND(F40=E$5,F$6&gt;=$D$115),1,0),
IF(AND(G40=E$5,F$6&gt;=$D$115),1,0),
IF(E40&amp;H40=I$5,1,0),
IF(F40=E$5,2,0),
IF(G40=E$5,1,0),
IF(OR(E40&amp;F40&amp;G40=E$5&amp;F$5&amp;G$5,E40&amp;F40&amp;G40=E$5&amp;G$5&amp;F$5,E40&amp;F40&amp;G40=F$5&amp;E$5&amp;G$5,E40&amp;F40&amp;G40=F$5&amp;G$5&amp;E$5,E40&amp;F40&amp;G40=G$5&amp;E$5&amp;F$5,E40&amp;F40&amp;G40=G$5&amp;F$5&amp;E$5),2,0),IF(AND(E40=E$5,F$6&gt;=$D$129),1,0),IF(AND(F40=E$5,F$6&gt;=$D$129),1,0),IF(AND(G40=E$5,F$6&gt;=$D$129),1,0),IF(E40&amp;H40=H$5,4,0),IF(AND(E40=E$5,F$6&lt;=$D$104),-0.5,0),IF(AND(F40=E$5,F$6&lt;=$D$104),-0.5,0),IF(AND(G40=E$5,F$6&lt;=$D$104),-0.5,0))</f>
        <v>5</v>
      </c>
      <c r="J40" s="143">
        <v>8</v>
      </c>
      <c r="K40" s="149">
        <v>3</v>
      </c>
      <c r="L40" s="149">
        <v>5</v>
      </c>
      <c r="M40" s="149"/>
      <c r="N40" s="534">
        <f t="shared" ref="N40:N57" si="19">SUM(IF(J40=J$5,4,0),IF(J40&amp;K40=J$5&amp;K$5,1,0),
IF(AND(J40=J$5,K$6&gt;=$D$115),1,0),
IF(AND(K40=J$5,K$6&gt;=$D$115),1,0),
IF(AND(L40=J$5,K$6&gt;=$D$115),1,0),
IF(J40&amp;M40=N$5,1,0),
IF(K40=J$5,2,0),
IF(L40=J$5,1,0),
IF(OR(J40&amp;K40&amp;L40=J$5&amp;K$5&amp;L$5,J40&amp;K40&amp;L40=J$5&amp;L$5&amp;K$5,J40&amp;K40&amp;L40=K$5&amp;J$5&amp;L$5,J40&amp;K40&amp;L40=K$5&amp;L$5&amp;J$5,J40&amp;K40&amp;L40=L$5&amp;J$5&amp;K$5,J40&amp;K40&amp;L40=L$5&amp;K$5&amp;J$5),2,0),IF(AND(J40=J$5,K$6&gt;=$D$129),1,0),IF(AND(K40=J$5,K$6&gt;=$D$129),1,0),IF(AND(L40=J$5,K$6&gt;=$D$129),1,0),IF(J40&amp;M40=M$5,4,0),IF(AND(J40=J$5,K$6&lt;=$D$104),-0.5,0),IF(AND(K40=J$5,K$6&lt;=$D$104),-0.5,0),IF(AND(L40=J$5,K$6&lt;=$D$104),-0.5,0))</f>
        <v>4</v>
      </c>
      <c r="O40" s="143">
        <v>3</v>
      </c>
      <c r="P40" s="149">
        <v>8</v>
      </c>
      <c r="Q40" s="149">
        <v>1</v>
      </c>
      <c r="R40" s="149"/>
      <c r="S40" s="534">
        <f t="shared" ref="S40:S57" si="20">SUM(IF(O40=O$5,4,0),IF(O40&amp;P40=O$5&amp;P$5,1,0),
IF(AND(O40=O$5,P$6&gt;=$D$115),1,0),
IF(AND(P40=O$5,P$6&gt;=$D$115),1,0),
IF(AND(Q40=O$5,P$6&gt;=$D$115),1,0),
IF(O40&amp;R40=S$5,1,0),
IF(P40=O$5,2,0),
IF(Q40=O$5,1,0),
IF(OR(O40&amp;P40&amp;Q40=O$5&amp;P$5&amp;Q$5,O40&amp;P40&amp;Q40=O$5&amp;Q$5&amp;P$5,O40&amp;P40&amp;Q40=P$5&amp;O$5&amp;Q$5,O40&amp;P40&amp;Q40=P$5&amp;Q$5&amp;O$5,O40&amp;P40&amp;Q40=Q$5&amp;O$5&amp;P$5,O40&amp;P40&amp;Q40=Q$5&amp;P$5&amp;O$5),2,0),IF(AND(O40=O$5,P$6&gt;=$D$129),1,0),IF(AND(P40=O$5,P$6&gt;=$D$129),1,0),IF(AND(Q40=O$5,P$6&gt;=$D$129),1,0),IF(O40&amp;R40=R$5,4,0),IF(AND(O40=O$5,P$6&lt;=$D$104),-0.5,0),IF(AND(P40=O$5,P$6&lt;=$D$104),-0.5,0),IF(AND(Q40=O$5,P$6&lt;=$D$104),-0.5,0))</f>
        <v>0</v>
      </c>
      <c r="T40" s="143">
        <v>6</v>
      </c>
      <c r="U40" s="149">
        <v>7</v>
      </c>
      <c r="V40" s="149">
        <v>4</v>
      </c>
      <c r="W40" s="149"/>
      <c r="X40" s="534">
        <f t="shared" ref="X40:X57" si="21">SUM(IF(T40=T$5,4,0),IF(T40&amp;U40=T$5&amp;U$5,1,0),
IF(AND(T40=T$5,U$6&gt;=$D$115),1,0),
IF(AND(U40=T$5,U$6&gt;=$D$115),1,0),
IF(AND(V40=T$5,U$6&gt;=$D$115),1,0),
IF(T40&amp;W40=X$5,1,0),
IF(U40=T$5,2,0),
IF(V40=T$5,1,0),
IF(OR(T40&amp;U40&amp;V40=T$5&amp;U$5&amp;V$5,T40&amp;U40&amp;V40=T$5&amp;V$5&amp;U$5,T40&amp;U40&amp;V40=U$5&amp;T$5&amp;V$5,T40&amp;U40&amp;V40=U$5&amp;V$5&amp;T$5,T40&amp;U40&amp;V40=V$5&amp;T$5&amp;U$5,T40&amp;U40&amp;V40=V$5&amp;U$5&amp;T$5),2,0),IF(AND(T40=T$5,U$6&gt;=$D$129),1,0),IF(AND(U40=T$5,U$6&gt;=$D$129),1,0),IF(AND(V40=T$5,U$6&gt;=$D$129),1,0),IF(T40&amp;W40=W$5,4,0),IF(AND(T40=T$5,U$6&lt;=$D$104),-0.5,0),IF(AND(U40=T$5,U$6&lt;=$D$104),-0.5,0),IF(AND(V40=T$5,U$6&lt;=$D$104),-0.5,0))</f>
        <v>3.5</v>
      </c>
      <c r="Y40" s="143">
        <v>5</v>
      </c>
      <c r="Z40" s="149">
        <v>3</v>
      </c>
      <c r="AA40" s="149">
        <v>10</v>
      </c>
      <c r="AB40" s="149" t="s">
        <v>254</v>
      </c>
      <c r="AC40" s="534">
        <f t="shared" ref="AC40:AC57" si="22">SUM(IF(Y40=Y$5,4,0),IF(Y40&amp;Z40=Y$5&amp;Z$5,1,0),
IF(AND(Y40=Y$5,Z$6&gt;=$D$115),1,0),
IF(AND(Z40=Y$5,Z$6&gt;=$D$115),1,0),
IF(AND(AA40=Y$5,Z$6&gt;=$D$115),1,0),
IF(Y40&amp;AB40=AC$5,1,0),
IF(Z40=Y$5,2,0),
IF(AA40=Y$5,1,0),
IF(OR(Y40&amp;Z40&amp;AA40=Y$5&amp;Z$5&amp;AA$5,Y40&amp;Z40&amp;AA40=Y$5&amp;AA$5&amp;Z$5,Y40&amp;Z40&amp;AA40=Z$5&amp;Y$5&amp;AA$5,Y40&amp;Z40&amp;AA40=Z$5&amp;AA$5&amp;Y$5,Y40&amp;Z40&amp;AA40=AA$5&amp;Y$5&amp;Z$5,Y40&amp;Z40&amp;AA40=AA$5&amp;Z$5&amp;Y$5),2,0),IF(AND(Y40=Y$5,Z$6&gt;=$D$129),1,0),IF(AND(Z40=Y$5,Z$6&gt;=$D$129),1,0),IF(AND(AA40=Y$5,Z$6&gt;=$D$129),1,0),IF(Y40&amp;AB40=AB$5,4,0),IF(AND(Y40=Y$5,Z$6&lt;=$D$104),-0.5,0),IF(AND(Z40=Y$5,Z$6&lt;=$D$104),-0.5,0),IF(AND(AA40=Y$5,Z$6&lt;=$D$104),-0.5,0))</f>
        <v>4.5</v>
      </c>
      <c r="AD40" s="143">
        <v>7</v>
      </c>
      <c r="AE40" s="149">
        <v>2</v>
      </c>
      <c r="AF40" s="149">
        <v>5</v>
      </c>
      <c r="AG40" s="149"/>
      <c r="AH40" s="534">
        <f t="shared" ref="AH40:AH57" si="23">SUM(IF(AD40=AD$5,4,0),IF(AD40&amp;AE40=AD$5&amp;AE$5,1,0),
IF(AND(AD40=AD$5,AE$6&gt;=$D$115),1,0),
IF(AND(AE40=AD$5,AE$6&gt;=$D$115),1,0),
IF(AND(AF40=AD$5,AE$6&gt;=$D$115),1,0),
IF(AD40&amp;AG40=AH$5,1,0),
IF(AE40=AD$5,2,0),
IF(AF40=AD$5,1,0),
IF(OR(AD40&amp;AE40&amp;AF40=AD$5&amp;AE$5&amp;AF$5,AD40&amp;AE40&amp;AF40=AD$5&amp;AF$5&amp;AE$5,AD40&amp;AE40&amp;AF40=AE$5&amp;AD$5&amp;AF$5,AD40&amp;AE40&amp;AF40=AE$5&amp;AF$5&amp;AD$5,AD40&amp;AE40&amp;AF40=AF$5&amp;AD$5&amp;AE$5,AD40&amp;AE40&amp;AF40=AF$5&amp;AE$5&amp;AD$5),2,0),IF(AND(AD40=AD$5,AE$6&gt;=$D$129),1,0),IF(AND(AE40=AD$5,AE$6&gt;=$D$129),1,0),IF(AND(AF40=AD$5,AE$6&gt;=$D$129),1,0),IF(AD40&amp;AG40=AG$5,4,0),IF(AND(AD40=AD$5,AE$6&lt;=$D$104),-0.5,0),IF(AND(AE40=AD$5,AE$6&lt;=$D$104),-0.5,0),IF(AND(AF40=AD$5,AE$6&lt;=$D$104),-0.5,0))</f>
        <v>4</v>
      </c>
      <c r="AI40" s="143">
        <v>3</v>
      </c>
      <c r="AJ40" s="149">
        <v>4</v>
      </c>
      <c r="AK40" s="149">
        <v>7</v>
      </c>
      <c r="AL40" s="149"/>
      <c r="AM40" s="534">
        <f t="shared" ref="AM40:AM57" si="24">SUM(IF(AI40=AI$5,4,0),IF(AI40&amp;AJ40=AI$5&amp;AJ$5,1,0),
IF(AND(AI40=AI$5,AJ$6&gt;=$D$115),1,0),
IF(AND(AJ40=AI$5,AJ$6&gt;=$D$115),1,0),
IF(AND(AK40=AI$5,AJ$6&gt;=$D$115),1,0),
IF(AI40&amp;AL40=AM$5,1,0),
IF(AJ40=AI$5,2,0),
IF(AK40=AI$5,1,0),
IF(OR(AI40&amp;AJ40&amp;AK40=AI$5&amp;AJ$5&amp;AK$5,AI40&amp;AJ40&amp;AK40=AI$5&amp;AK$5&amp;AJ$5,AI40&amp;AJ40&amp;AK40=AJ$5&amp;AI$5&amp;AK$5,AI40&amp;AJ40&amp;AK40=AJ$5&amp;AK$5&amp;AI$5,AI40&amp;AJ40&amp;AK40=AK$5&amp;AI$5&amp;AJ$5,AI40&amp;AJ40&amp;AK40=AK$5&amp;AJ$5&amp;AI$5),2,0),IF(AND(AI40=AI$5,AJ$6&gt;=$D$129),1,0),IF(AND(AJ40=AI$5,AJ$6&gt;=$D$129),1,0),IF(AND(AK40=AI$5,AJ$6&gt;=$D$129),1,0),IF(AI40&amp;AL40=AL$5,4,0),IF(AND(AI40=AI$5,AJ$6&lt;=$D$104),-0.5,0),IF(AND(AJ40=AI$5,AJ$6&lt;=$D$104),-0.5,0),IF(AND(AK40=AI$5,AJ$6&lt;=$D$104),-0.5,0))</f>
        <v>2</v>
      </c>
      <c r="AN40" s="143">
        <v>8</v>
      </c>
      <c r="AO40" s="149">
        <v>9</v>
      </c>
      <c r="AP40" s="149">
        <v>1</v>
      </c>
      <c r="AQ40" s="149" t="s">
        <v>254</v>
      </c>
      <c r="AR40" s="534">
        <f t="shared" ref="AR40:AR57" si="25">SUM(IF(AN40=AN$5,4,0),IF(AN40&amp;AO40=AN$5&amp;AO$5,1,0),
IF(AND(AN40=AN$5,AO$6&gt;=$D$115),1,0),
IF(AND(AO40=AN$5,AO$6&gt;=$D$115),1,0),
IF(AND(AP40=AN$5,AO$6&gt;=$D$115),1,0),
IF(AN40&amp;AQ40=AR$5,1,0),
IF(AO40=AN$5,2,0),
IF(AP40=AN$5,1,0),
IF(OR(AN40&amp;AO40&amp;AP40=AN$5&amp;AO$5&amp;AP$5,AN40&amp;AO40&amp;AP40=AN$5&amp;AP$5&amp;AO$5,AN40&amp;AO40&amp;AP40=AO$5&amp;AN$5&amp;AP$5,AN40&amp;AO40&amp;AP40=AO$5&amp;AP$5&amp;AN$5,AN40&amp;AO40&amp;AP40=AP$5&amp;AN$5&amp;AO$5,AN40&amp;AO40&amp;AP40=AP$5&amp;AO$5&amp;AN$5),2,0),IF(AND(AN40=AN$5,AO$6&gt;=$D$129),1,0),IF(AND(AO40=AN$5,AO$6&gt;=$D$129),1,0),IF(AND(AP40=AN$5,AO$6&gt;=$D$129),1,0),IF(AN40&amp;AQ40=AQ$5,4,0),IF(AND(AN40=AN$5,AO$6&lt;=$D$104),-0.5,0),IF(AND(AO40=AN$5,AO$6&lt;=$D$104),-0.5,0),IF(AND(AP40=AN$5,AO$6&lt;=$D$104),-0.5,0))</f>
        <v>0</v>
      </c>
      <c r="AS40" s="143">
        <v>1</v>
      </c>
      <c r="AT40" s="149">
        <v>7</v>
      </c>
      <c r="AU40" s="149">
        <v>3</v>
      </c>
      <c r="AV40" s="149"/>
      <c r="AW40" s="534">
        <f t="shared" ref="AW40:AW57" si="26">SUM(IF(AS40=AS$5,4,0),IF(AS40&amp;AT40=AS$5&amp;AT$5,1,0),
IF(AND(AS40=AS$5,AT$6&gt;=$D$115),1,0),
IF(AND(AT40=AS$5,AT$6&gt;=$D$115),1,0),
IF(AND(AU40=AS$5,AT$6&gt;=$D$115),1,0),
IF(AS40&amp;AV40=AW$5,1,0),
IF(AT40=AS$5,2,0),
IF(AU40=AS$5,1,0),
IF(OR(AS40&amp;AT40&amp;AU40=AS$5&amp;AT$5&amp;AU$5,AS40&amp;AT40&amp;AU40=AS$5&amp;AU$5&amp;AT$5,AS40&amp;AT40&amp;AU40=AT$5&amp;AS$5&amp;AU$5,AS40&amp;AT40&amp;AU40=AT$5&amp;AU$5&amp;AS$5,AS40&amp;AT40&amp;AU40=AU$5&amp;AS$5&amp;AT$5,AS40&amp;AT40&amp;AU40=AU$5&amp;AT$5&amp;AS$5),2,0),IF(AND(AS40=AS$5,AT$6&gt;=$D$129),1,0),IF(AND(AT40=AS$5,AT$6&gt;=$D$129),1,0),IF(AND(AU40=AS$5,AT$6&gt;=$D$129),1,0),IF(AS40&amp;AV40=AV$5,4,0),IF(AND(AS40=AS$5,AT$6&lt;=$D$104),-0.5,0),IF(AND(AT40=AS$5,AT$6&lt;=$D$104),-0.5,0),IF(AND(AU40=AS$5,AT$6&lt;=$D$104),-0.5,0))</f>
        <v>0</v>
      </c>
      <c r="AX40" s="143">
        <v>1</v>
      </c>
      <c r="AY40" s="149"/>
      <c r="AZ40" s="149"/>
      <c r="BA40" s="149" t="s">
        <v>255</v>
      </c>
      <c r="BB40" s="534">
        <f t="shared" ref="BB40:BB57" si="27">SUM(IF(AX40=AX$5,4,0),IF(AX40&amp;AY40=AX$5&amp;AY$5,1,0),
IF(AND(AX40=AX$5,AY$6&gt;=$D$115),1,0),
IF(AND(AY40=AX$5,AY$6&gt;=$D$115),1,0),
IF(AND(AZ40=AX$5,AY$6&gt;=$D$115),1,0),
IF(AX40&amp;BA40=BB$5,1,0),
IF(AY40=AX$5,2,0),
IF(AZ40=AX$5,1,0),
IF(OR(AX40&amp;AY40&amp;AZ40=AX$5&amp;AY$5&amp;AZ$5,AX40&amp;AY40&amp;AZ40=AX$5&amp;AZ$5&amp;AY$5,AX40&amp;AY40&amp;AZ40=AY$5&amp;AX$5&amp;AZ$5,AX40&amp;AY40&amp;AZ40=AY$5&amp;AZ$5&amp;AX$5,AX40&amp;AY40&amp;AZ40=AZ$5&amp;AX$5&amp;AY$5,AX40&amp;AY40&amp;AZ40=AZ$5&amp;AY$5&amp;AX$5),2,0),IF(AND(AX40=AX$5,AY$6&gt;=$D$129),1,0),IF(AND(AY40=AX$5,AY$6&gt;=$D$129),1,0),IF(AND(AZ40=AX$5,AY$6&gt;=$D$129),1,0),IF(AX40&amp;BA40=BA$5,4,0),IF(AND(AX40=AX$5,AY$6&lt;=$D$104),-0.5,0),IF(AND(AY40=AX$5,AY$6&lt;=$D$104),-0.5,0),IF(AND(AZ40=AX$5,AY$6&lt;=$D$104),-0.5,0))</f>
        <v>8</v>
      </c>
      <c r="BC40" s="143">
        <v>4</v>
      </c>
      <c r="BD40" s="149">
        <v>3</v>
      </c>
      <c r="BE40" s="149">
        <v>2</v>
      </c>
      <c r="BF40" s="149"/>
      <c r="BG40" s="534">
        <f t="shared" ref="BG40:BG57" si="28">SUM(IF(BC40=BC$5,4,0),IF(BC40&amp;BD40=BC$5&amp;BD$5,1,0),
IF(AND(BC40=BC$5,BD$6&gt;=$D$115),1,0),
IF(AND(BD40=BC$5,BD$6&gt;=$D$115),1,0),
IF(AND(BE40=BC$5,BD$6&gt;=$D$115),1,0),
IF(BC40&amp;BF40=BG$5,1,0),
IF(BD40=BC$5,2,0),
IF(BE40=BC$5,1,0),
IF(OR(BC40&amp;BD40&amp;BE40=BC$5&amp;BD$5&amp;BE$5,BC40&amp;BD40&amp;BE40=BC$5&amp;BE$5&amp;BD$5,BC40&amp;BD40&amp;BE40=BD$5&amp;BC$5&amp;BE$5,BC40&amp;BD40&amp;BE40=BD$5&amp;BE$5&amp;BC$5,BC40&amp;BD40&amp;BE40=BE$5&amp;BC$5&amp;BD$5,BC40&amp;BD40&amp;BE40=BE$5&amp;BD$5&amp;BC$5),2,0),IF(AND(BC40=BC$5,BD$6&gt;=$D$129),1,0),IF(AND(BD40=BC$5,BD$6&gt;=$D$129),1,0),IF(AND(BE40=BC$5,BD$6&gt;=$D$129),1,0),IF(BC40&amp;BF40=BF$5,4,0),IF(AND(BC40=BC$5,BD$6&lt;=$D$104),-0.5,0),IF(AND(BD40=BC$5,BD$6&lt;=$D$104),-0.5,0),IF(AND(BE40=BC$5,BD$6&lt;=$D$104),-0.5,0))</f>
        <v>4</v>
      </c>
      <c r="BH40" s="143">
        <v>5</v>
      </c>
      <c r="BI40" s="149">
        <v>1</v>
      </c>
      <c r="BJ40" s="149">
        <v>3</v>
      </c>
      <c r="BK40" s="149"/>
      <c r="BL40" s="534">
        <f t="shared" ref="BL40:BL57" si="29">SUM(IF(BH40=BH$5,4,0),IF(BH40&amp;BI40=BH$5&amp;BI$5,1,0),
IF(AND(BH40=BH$5,BI$6&gt;=$D$115),1,0),
IF(AND(BI40=BH$5,BI$6&gt;=$D$115),1,0),
IF(AND(BJ40=BH$5,BI$6&gt;=$D$115),1,0),
IF(BH40&amp;BK40=BL$5,1,0),
IF(BI40=BH$5,2,0),
IF(BJ40=BH$5,1,0),
IF(OR(BH40&amp;BI40&amp;BJ40=BH$5&amp;BI$5&amp;BJ$5,BH40&amp;BI40&amp;BJ40=BH$5&amp;BJ$5&amp;BI$5,BH40&amp;BI40&amp;BJ40=BI$5&amp;BH$5&amp;BJ$5,BH40&amp;BI40&amp;BJ40=BI$5&amp;BJ$5&amp;BH$5,BH40&amp;BI40&amp;BJ40=BJ$5&amp;BH$5&amp;BI$5,BH40&amp;BI40&amp;BJ40=BJ$5&amp;BI$5&amp;BH$5),2,0),IF(AND(BH40=BH$5,BI$6&gt;=$D$129),1,0),IF(AND(BI40=BH$5,BI$6&gt;=$D$129),1,0),IF(AND(BJ40=BH$5,BI$6&gt;=$D$129),1,0),IF(BH40&amp;BK40=BK$5,4,0),IF(AND(BH40=BH$5,BI$6&lt;=$D$104),-0.5,0),IF(AND(BI40=BH$5,BI$6&lt;=$D$104),-0.5,0),IF(AND(BJ40=BH$5,BI$6&lt;=$D$104),-0.5,0))</f>
        <v>0</v>
      </c>
      <c r="BM40" s="143">
        <v>12</v>
      </c>
      <c r="BN40" s="149">
        <v>3</v>
      </c>
      <c r="BO40" s="149">
        <v>1</v>
      </c>
      <c r="BP40" s="149"/>
      <c r="BQ40" s="534">
        <f t="shared" ref="BQ40:BQ57" si="30">SUM(IF(BM40=BM$5,4,0),IF(BM40&amp;BN40=BM$5&amp;BN$5,1,0),
IF(AND(BM40=BM$5,BN$6&gt;=$D$115),1,0),
IF(AND(BN40=BM$5,BN$6&gt;=$D$115),1,0),
IF(AND(BO40=BM$5,BN$6&gt;=$D$115),1,0),
IF(BM40&amp;BP40=BQ$5,1,0),
IF(BN40=BM$5,2,0),
IF(BO40=BM$5,1,0),
IF(OR(BM40&amp;BN40&amp;BO40=BM$5&amp;BN$5&amp;BO$5,BM40&amp;BN40&amp;BO40=BM$5&amp;BO$5&amp;BN$5,BM40&amp;BN40&amp;BO40=BN$5&amp;BM$5&amp;BO$5,BM40&amp;BN40&amp;BO40=BN$5&amp;BO$5&amp;BM$5,BM40&amp;BN40&amp;BO40=BO$5&amp;BM$5&amp;BN$5,BM40&amp;BN40&amp;BO40=BO$5&amp;BN$5&amp;BM$5),2,0),IF(AND(BM40=BM$5,BN$6&gt;=$D$129),1,0),IF(AND(BN40=BM$5,BN$6&gt;=$D$129),1,0),IF(AND(BO40=BM$5,BN$6&gt;=$D$129),1,0),IF(BM40&amp;BP40=BP$5,4,0),IF(AND(BM40=BM$5,BN$6&lt;=$D$104),-0.5,0),IF(AND(BN40=BM$5,BN$6&lt;=$D$104),-0.5,0),IF(AND(BO40=BM$5,BN$6&lt;=$D$104),-0.5,0))</f>
        <v>2</v>
      </c>
      <c r="BR40" s="143"/>
      <c r="BS40" s="149"/>
      <c r="BT40" s="149"/>
      <c r="BU40" s="149"/>
      <c r="BV40" s="534">
        <f t="shared" ref="BV40:BV57" si="31">SUM(IF(BR40=BR$5,4,0),IF(BR40&amp;BS40=BR$5&amp;BS$5,1,0),
IF(AND(BR40=BR$5,BS$6&gt;=$D$115),1,0),
IF(AND(BS40=BR$5,BS$6&gt;=$D$115),1,0),
IF(AND(BT40=BR$5,BS$6&gt;=$D$115),1,0),
IF(BR40&amp;BU40=BV$5,1,0),
IF(BS40=BR$5,2,0),
IF(BT40=BR$5,1,0),
IF(OR(BR40&amp;BS40&amp;BT40=BR$5&amp;BS$5&amp;BT$5,BR40&amp;BS40&amp;BT40=BR$5&amp;BT$5&amp;BS$5,BR40&amp;BS40&amp;BT40=BS$5&amp;BR$5&amp;BT$5,BR40&amp;BS40&amp;BT40=BS$5&amp;BT$5&amp;BR$5,BR40&amp;BS40&amp;BT40=BT$5&amp;BR$5&amp;BS$5,BR40&amp;BS40&amp;BT40=BT$5&amp;BS$5&amp;BR$5),2,0),IF(AND(BR40=BR$5,BS$6&gt;=$D$129),1,0),IF(AND(BS40=BR$5,BS$6&gt;=$D$129),1,0),IF(AND(BT40=BR$5,BS$6&gt;=$D$129),1,0),IF(BR40&amp;BU40=BU$5,4,0),IF(AND(BR40=BR$5,BS$6&lt;=$D$104),-0.5,0),IF(AND(BS40=BR$5,BS$6&lt;=$D$104),-0.5,0),IF(AND(BT40=BR$5,BS$6&lt;=$D$104),-0.5,0))</f>
        <v>0</v>
      </c>
      <c r="BW40" s="143"/>
      <c r="BX40" s="149"/>
      <c r="BY40" s="149"/>
      <c r="BZ40" s="149"/>
      <c r="CA40" s="534">
        <f t="shared" ref="CA40:CA57" si="32">SUM(IF(BW40=BW$5,4,0),IF(BW40&amp;BX40=BW$5&amp;BX$5,1,0),
IF(AND(BW40=BW$5,BX$6&gt;=$D$115),1,0),
IF(AND(BX40=BW$5,BX$6&gt;=$D$115),1,0),
IF(AND(BY40=BW$5,BX$6&gt;=$D$115),1,0),
IF(BW40&amp;BZ40=CA$5,1,0),
IF(BX40=BW$5,2,0),
IF(BY40=BW$5,1,0),
IF(OR(BW40&amp;BX40&amp;BY40=BW$5&amp;BX$5&amp;BY$5,BW40&amp;BX40&amp;BY40=BW$5&amp;BY$5&amp;BX$5,BW40&amp;BX40&amp;BY40=BX$5&amp;BW$5&amp;BY$5,BW40&amp;BX40&amp;BY40=BX$5&amp;BY$5&amp;BW$5,BW40&amp;BX40&amp;BY40=BY$5&amp;BW$5&amp;BX$5,BW40&amp;BX40&amp;BY40=BY$5&amp;BX$5&amp;BW$5),2,0),IF(AND(BW40=BW$5,BX$6&gt;=$D$129),1,0),IF(AND(BX40=BW$5,BX$6&gt;=$D$129),1,0),IF(AND(BY40=BW$5,BX$6&gt;=$D$129),1,0),IF(BW40&amp;BZ40=BZ$5,4,0),IF(AND(BW40=BW$5,BX$6&lt;=$D$104),-0.5,0),IF(AND(BX40=BW$5,BX$6&lt;=$D$104),-0.5,0),IF(AND(BY40=BW$5,BX$6&lt;=$D$104),-0.5,0))</f>
        <v>0</v>
      </c>
      <c r="CB40" s="143"/>
      <c r="CC40" s="149"/>
      <c r="CD40" s="149"/>
      <c r="CE40" s="149"/>
      <c r="CF40" s="534">
        <f t="shared" ref="CF40:CF57" si="33">SUM(IF(CB40=CB$5,4,0),IF(CB40&amp;CC40=CB$5&amp;CC$5,1,0),
IF(AND(CB40=CB$5,CC$6&gt;=$D$115),1,0),
IF(AND(CC40=CB$5,CC$6&gt;=$D$115),1,0),
IF(AND(CD40=CB$5,CC$6&gt;=$D$115),1,0),
IF(CB40&amp;CE40=CF$5,1,0),
IF(CC40=CB$5,2,0),
IF(CD40=CB$5,1,0),
IF(OR(CB40&amp;CC40&amp;CD40=CB$5&amp;CC$5&amp;CD$5,CB40&amp;CC40&amp;CD40=CB$5&amp;CD$5&amp;CC$5,CB40&amp;CC40&amp;CD40=CC$5&amp;CB$5&amp;CD$5,CB40&amp;CC40&amp;CD40=CC$5&amp;CD$5&amp;CB$5,CB40&amp;CC40&amp;CD40=CD$5&amp;CB$5&amp;CC$5,CB40&amp;CC40&amp;CD40=CD$5&amp;CC$5&amp;CB$5),2,0),IF(AND(CB40=CB$5,CC$6&gt;=$D$129),1,0),IF(AND(CC40=CB$5,CC$6&gt;=$D$129),1,0),IF(AND(CD40=CB$5,CC$6&gt;=$D$129),1,0),IF(CB40&amp;CE40=CE$5,4,0),IF(AND(CB40=CB$5,CC$6&lt;=$D$104),-0.5,0),IF(AND(CC40=CB$5,CC$6&lt;=$D$104),-0.5,0),IF(AND(CD40=CB$5,CC$6&lt;=$D$104),-0.5,0))</f>
        <v>0</v>
      </c>
      <c r="CG40" s="162">
        <f>IF(BASE01[[#This Row],[1]]="",0,$B$4)</f>
        <v>13</v>
      </c>
      <c r="CH40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5</v>
      </c>
      <c r="CI40" s="164">
        <f>IF(BASE01[[#This Row],[Columna14]]=0,0,(CH40/CG40))</f>
        <v>0.38461538461538464</v>
      </c>
      <c r="CJ40" s="163">
        <f>IF(BASE01[[#This Row],[1]]="",0,$B$4)</f>
        <v>13</v>
      </c>
      <c r="CK40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9</v>
      </c>
      <c r="CL40" s="164">
        <f>IF(BASE01[[#This Row],[Columna14]]=0,0,(CK40/CJ40))</f>
        <v>0.69230769230769229</v>
      </c>
      <c r="CM40" s="162">
        <f>IF(BASE01[[#This Row],[1]]="",0,$B$4)</f>
        <v>13</v>
      </c>
      <c r="CN40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9</v>
      </c>
      <c r="CO40" s="164">
        <f>IF(BASE01[[#This Row],[Columna14]]=0,0,(CN40/CM40))</f>
        <v>0.69230769230769229</v>
      </c>
      <c r="CP40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40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Row],[Columna25]],$AX$5,BA40,"SF")+COUNTIFS(BASE01[[#This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40" s="164">
        <f>IF(BASE01[[#This Row],[Columna14]]=0,0,(CQ40/CP40))</f>
        <v>0.66666666666666663</v>
      </c>
      <c r="CS40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37</v>
      </c>
      <c r="CT40" s="93"/>
      <c r="CU40" s="536">
        <f t="shared" ref="CU40:CU57" si="34">SUM(CS40,CT40)</f>
        <v>37</v>
      </c>
      <c r="CV40" s="94">
        <f>IF(BASE01[[#This Row],[TIPO]]="PREMIO",$O$3,"0,00")</f>
        <v>1000</v>
      </c>
      <c r="CW40" s="515"/>
      <c r="CY40" s="538" t="str">
        <f t="shared" si="17"/>
        <v/>
      </c>
      <c r="CZ40" s="387"/>
      <c r="DA40" s="387" t="str">
        <f t="array" ref="DA40">IF(CZ40="", "", IF((INDEX(E$8:CE$57, MATCH(CZ40, C$8:C$57, 0), ($CZ$25-1)*5 + 1) &amp; "") = (INDEX(E$5:CE$5, 1, ($CZ$25-1)*5 + 1) &amp; ""), 1, IF((INDEX(E$8:CE$57, MATCH(CZ40, C$8:C$57, 0), ($CZ$25-1)*5 + 2) &amp; "") = (INDEX(E$5:CE$5, 1, ($CZ$25-1)*5 + 1) &amp; ""), 2, IF((INDEX(E$8:CE$57, MATCH(CZ40, C$8:C$57, 0), ($CZ$25-1)*5 + 3) &amp; "") = (INDEX(E$5:CE$5, 1, ($CZ$25-1)*5 + 1) &amp; ""), 3, ""))))</f>
        <v/>
      </c>
      <c r="DB40" s="537" t="str">
        <f>BASE01[[#This Row],[COD]]</f>
        <v>COD 33</v>
      </c>
      <c r="DC40" s="390" t="str">
        <f t="array" ref="DC40">IFERROR(IF(AND(INDEX($E$8:$CE$57, MATCH($C40, $C$8:$C$57, 0), (COLUMNS($DC40:DC40)-1)*5 + 1) = INDEX($E$5:$CE$5, 1, (COLUMNS($DC40:DC40)-1)*5 + 1), INDEX($E$8:$CE$57, MATCH($C40, $C$8:$C$57, 0), (COLUMNS($DC40:DC40)-1)*5 + 4) = "F"), INDEX($CZ$8:$CZ$23, COLUMNS($DC40:DC40)), "0"), "")</f>
        <v>0</v>
      </c>
      <c r="DD40" s="390" t="str">
        <f t="array" ref="DD40">IFERROR(IF(AND(INDEX($E$8:$CE$57, MATCH($C40, $C$8:$C$57, 0), (COLUMNS($DC40:DD40)-1)*5 + 1) = INDEX($E$5:$CE$5, 1, (COLUMNS($DC40:DD40)-1)*5 + 1), INDEX($E$8:$CE$57, MATCH($C40, $C$8:$C$57, 0), (COLUMNS($DC40:DD40)-1)*5 + 4) = "F"), INDEX($CZ$8:$CZ$23, COLUMNS($DC40:DD40)), "0"), "")</f>
        <v>0</v>
      </c>
      <c r="DE40" s="390" t="str">
        <f t="array" ref="DE40">IFERROR(IF(AND(INDEX($E$8:$CE$57, MATCH($C40, $C$8:$C$57, 0), (COLUMNS($DC40:DE40)-1)*5 + 1) = INDEX($E$5:$CE$5, 1, (COLUMNS($DC40:DE40)-1)*5 + 1), INDEX($E$8:$CE$57, MATCH($C40, $C$8:$C$57, 0), (COLUMNS($DC40:DE40)-1)*5 + 4) = "F"), INDEX($CZ$8:$CZ$23, COLUMNS($DC40:DE40)), "0"), "")</f>
        <v>0</v>
      </c>
      <c r="DF40" s="390" t="str">
        <f t="array" ref="DF40">IFERROR(IF(AND(INDEX($E$8:$CE$57, MATCH($C40, $C$8:$C$57, 0), (COLUMNS($DC40:DF40)-1)*5 + 1) = INDEX($E$5:$CE$5, 1, (COLUMNS($DC40:DF40)-1)*5 + 1), INDEX($E$8:$CE$57, MATCH($C40, $C$8:$C$57, 0), (COLUMNS($DC40:DF40)-1)*5 + 4) = "F"), INDEX($CZ$8:$CZ$23, COLUMNS($DC40:DF40)), "0"), "")</f>
        <v>0</v>
      </c>
      <c r="DG40" s="390">
        <f t="array" ref="DG40">IFERROR(IF(AND(INDEX($E$8:$CE$57, MATCH($C40, $C$8:$C$57, 0), (COLUMNS($DC40:DG40)-1)*5 + 1) = INDEX($E$5:$CE$5, 1, (COLUMNS($DC40:DG40)-1)*5 + 1), INDEX($E$8:$CE$57, MATCH($C40, $C$8:$C$57, 0), (COLUMNS($DC40:DG40)-1)*5 + 4) = "F"), INDEX($CZ$8:$CZ$23, COLUMNS($DC40:DG40)), "0"), "")</f>
        <v>110</v>
      </c>
      <c r="DH40" s="390" t="str">
        <f t="array" ref="DH40">IFERROR(IF(AND(INDEX($E$8:$CE$57, MATCH($C40, $C$8:$C$57, 0), (COLUMNS($DC40:DH40)-1)*5 + 1) = INDEX($E$5:$CE$5, 1, (COLUMNS($DC40:DH40)-1)*5 + 1), INDEX($E$8:$CE$57, MATCH($C40, $C$8:$C$57, 0), (COLUMNS($DC40:DH40)-1)*5 + 4) = "F"), INDEX($CZ$8:$CZ$23, COLUMNS($DC40:DH40)), "0"), "")</f>
        <v>0</v>
      </c>
      <c r="DI40" s="390" t="str">
        <f t="array" ref="DI40">IFERROR(IF(AND(INDEX($E$8:$CE$57, MATCH($C40, $C$8:$C$57, 0), (COLUMNS($DC40:DI40)-1)*5 + 1) = INDEX($E$5:$CE$5, 1, (COLUMNS($DC40:DI40)-1)*5 + 1), INDEX($E$8:$CE$57, MATCH($C40, $C$8:$C$57, 0), (COLUMNS($DC40:DI40)-1)*5 + 4) = "F"), INDEX($CZ$8:$CZ$23, COLUMNS($DC40:DI40)), "0"), "")</f>
        <v>0</v>
      </c>
      <c r="DJ40" s="390" t="str">
        <f t="array" ref="DJ40">IFERROR(IF(AND(INDEX($E$8:$CE$57, MATCH($C40, $C$8:$C$57, 0), (COLUMNS($DC40:DJ40)-1)*5 + 1) = INDEX($E$5:$CE$5, 1, (COLUMNS($DC40:DJ40)-1)*5 + 1), INDEX($E$8:$CE$57, MATCH($C40, $C$8:$C$57, 0), (COLUMNS($DC40:DJ40)-1)*5 + 4) = "F"), INDEX($CZ$8:$CZ$23, COLUMNS($DC40:DJ40)), "0"), "")</f>
        <v>0</v>
      </c>
      <c r="DK40" s="390" t="str">
        <f t="array" ref="DK40">IFERROR(IF(AND(INDEX($E$8:$CE$57, MATCH($C40, $C$8:$C$57, 0), (COLUMNS($DC40:DK40)-1)*5 + 1) = INDEX($E$5:$CE$5, 1, (COLUMNS($DC40:DK40)-1)*5 + 1), INDEX($E$8:$CE$57, MATCH($C40, $C$8:$C$57, 0), (COLUMNS($DC40:DK40)-1)*5 + 4) = "F"), INDEX($CZ$8:$CZ$23, COLUMNS($DC40:DK40)), "0"), "")</f>
        <v>0</v>
      </c>
      <c r="DL40" s="390" t="str">
        <f t="array" ref="DL40">IFERROR(IF(AND(INDEX($E$8:$CE$57, MATCH($C40, $C$8:$C$57, 0), (COLUMNS($DC40:DL40)-1)*5 + 1) = INDEX($E$5:$CE$5, 1, (COLUMNS($DC40:DL40)-1)*5 + 1), INDEX($E$8:$CE$57, MATCH($C40, $C$8:$C$57, 0), (COLUMNS($DC40:DL40)-1)*5 + 4) = "F"), INDEX($CZ$8:$CZ$23, COLUMNS($DC40:DL40)), "0"), "")</f>
        <v>0</v>
      </c>
      <c r="DM40" s="390" t="str">
        <f t="array" ref="DM40">IFERROR(IF(AND(INDEX($E$8:$CE$57, MATCH($C40, $C$8:$C$57, 0), (COLUMNS($DC40:DM40)-1)*5 + 1) = INDEX($E$5:$CE$5, 1, (COLUMNS($DC40:DM40)-1)*5 + 1), INDEX($E$8:$CE$57, MATCH($C40, $C$8:$C$57, 0), (COLUMNS($DC40:DM40)-1)*5 + 4) = "F"), INDEX($CZ$8:$CZ$23, COLUMNS($DC40:DM40)), "0"), "")</f>
        <v>0</v>
      </c>
      <c r="DN40" s="390" t="str">
        <f t="array" ref="DN40">IFERROR(IF(AND(INDEX($E$8:$CE$57, MATCH($C40, $C$8:$C$57, 0), (COLUMNS($DC40:DN40)-1)*5 + 1) = INDEX($E$5:$CE$5, 1, (COLUMNS($DC40:DN40)-1)*5 + 1), INDEX($E$8:$CE$57, MATCH($C40, $C$8:$C$57, 0), (COLUMNS($DC40:DN40)-1)*5 + 4) = "F"), INDEX($CZ$8:$CZ$23, COLUMNS($DC40:DN40)), "0"), "")</f>
        <v>0</v>
      </c>
      <c r="DO40" s="390" t="str">
        <f t="array" ref="DO40">IFERROR(IF(AND(INDEX($E$8:$CE$57, MATCH($C40, $C$8:$C$57, 0), (COLUMNS($DC40:DO40)-1)*5 + 1) = INDEX($E$5:$CE$5, 1, (COLUMNS($DC40:DO40)-1)*5 + 1), INDEX($E$8:$CE$57, MATCH($C40, $C$8:$C$57, 0), (COLUMNS($DC40:DO40)-1)*5 + 4) = "F"), INDEX($CZ$8:$CZ$23, COLUMNS($DC40:DO40)), "0"), "")</f>
        <v>0</v>
      </c>
      <c r="DP40" s="390" t="str">
        <f t="array" ref="DP40">IFERROR(IF(AND(INDEX($E$8:$CE$57, MATCH($C40, $C$8:$C$57, 0), (COLUMNS($DC40:DP40)-1)*5 + 1) = INDEX($E$5:$CE$5, 1, (COLUMNS($DC40:DP40)-1)*5 + 1), INDEX($E$8:$CE$57, MATCH($C40, $C$8:$C$57, 0), (COLUMNS($DC40:DP40)-1)*5 + 4) = "F"), INDEX($CZ$8:$CZ$23, COLUMNS($DC40:DP40)), "0"), "")</f>
        <v>0</v>
      </c>
      <c r="DQ40" s="390" t="str">
        <f t="array" ref="DQ40">IFERROR(IF(AND(INDEX($E$8:$CE$57, MATCH($C40, $C$8:$C$57, 0), (COLUMNS($DC40:DQ40)-1)*5 + 1) = INDEX($E$5:$CE$5, 1, (COLUMNS($DC40:DQ40)-1)*5 + 1), INDEX($E$8:$CE$57, MATCH($C40, $C$8:$C$57, 0), (COLUMNS($DC40:DQ40)-1)*5 + 4) = "F"), INDEX($CZ$8:$CZ$23, COLUMNS($DC40:DQ40)), "0"), "")</f>
        <v>0</v>
      </c>
      <c r="DR40" s="390" t="str">
        <f t="array" ref="DR40">IFERROR(IF(AND(INDEX($E$8:$CE$57, MATCH($C40, $C$8:$C$57, 0), (COLUMNS($DC40:DR40)-1)*5 + 1) = INDEX($E$5:$CE$5, 1, (COLUMNS($DC40:DR40)-1)*5 + 1), INDEX($E$8:$CE$57, MATCH($C40, $C$8:$C$57, 0), (COLUMNS($DC40:DR40)-1)*5 + 4) = "F"), INDEX($CZ$8:$CZ$23, COLUMNS($DC40:DR40)), "0"), "")</f>
        <v>0</v>
      </c>
      <c r="DT40" s="537" t="str">
        <f>BASE01[[#This Row],[COD]]</f>
        <v>COD 33</v>
      </c>
      <c r="DU40" s="390" t="str">
        <f t="array" ref="DU40">IFERROR(IF(AND(INDEX($E$8:$CE$57, MATCH($C40, $C$8:$C$57, 0), (COLUMNS($DU40:DU40)-1)*5 + 1) = INDEX($E$5:$CE$5, 1, (COLUMNS($DU40:DU40)-1)*5 + 1), INDEX($E$8:$CE$57, MATCH($C40, $C$8:$C$57, 0), (COLUMNS($DU40:DU40)-1)*5 + 4) = "SF"), INDEX($CZ$8:$CZ$23, COLUMNS($DU40:DU40)), "0"), "")</f>
        <v>0</v>
      </c>
      <c r="DV40" s="390" t="str">
        <f t="array" ref="DV40">IFERROR(IF(AND(INDEX($E$8:$CE$57, MATCH($C40, $C$8:$C$57, 0), (COLUMNS($DU40:DV40)-1)*5 + 1) = INDEX($E$5:$CE$5, 1, (COLUMNS($DU40:DV40)-1)*5 + 1), INDEX($E$8:$CE$57, MATCH($C40, $C$8:$C$57, 0), (COLUMNS($DU40:DV40)-1)*5 + 4) = "SF"), INDEX($CZ$8:$CZ$23, COLUMNS($DU40:DV40)), "0"), "")</f>
        <v>0</v>
      </c>
      <c r="DW40" s="390" t="str">
        <f t="array" ref="DW40">IFERROR(IF(AND(INDEX($E$8:$CE$57, MATCH($C40, $C$8:$C$57, 0), (COLUMNS($DU40:DW40)-1)*5 + 1) = INDEX($E$5:$CE$5, 1, (COLUMNS($DU40:DW40)-1)*5 + 1), INDEX($E$8:$CE$57, MATCH($C40, $C$8:$C$57, 0), (COLUMNS($DU40:DW40)-1)*5 + 4) = "SF"), INDEX($CZ$8:$CZ$23, COLUMNS($DU40:DW40)), "0"), "")</f>
        <v>0</v>
      </c>
      <c r="DX40" s="390" t="str">
        <f t="array" ref="DX40">IFERROR(IF(AND(INDEX($E$8:$CE$57, MATCH($C40, $C$8:$C$57, 0), (COLUMNS($DU40:DX40)-1)*5 + 1) = INDEX($E$5:$CE$5, 1, (COLUMNS($DU40:DX40)-1)*5 + 1), INDEX($E$8:$CE$57, MATCH($C40, $C$8:$C$57, 0), (COLUMNS($DU40:DX40)-1)*5 + 4) = "SF"), INDEX($CZ$8:$CZ$23, COLUMNS($DU40:DX40)), "0"), "")</f>
        <v>0</v>
      </c>
      <c r="DY40" s="390" t="str">
        <f t="array" ref="DY40">IFERROR(IF(AND(INDEX($E$8:$CE$57, MATCH($C40, $C$8:$C$57, 0), (COLUMNS($DU40:DY40)-1)*5 + 1) = INDEX($E$5:$CE$5, 1, (COLUMNS($DU40:DY40)-1)*5 + 1), INDEX($E$8:$CE$57, MATCH($C40, $C$8:$C$57, 0), (COLUMNS($DU40:DY40)-1)*5 + 4) = "SF"), INDEX($CZ$8:$CZ$23, COLUMNS($DU40:DY40)), "0"), "")</f>
        <v>0</v>
      </c>
      <c r="DZ40" s="390" t="str">
        <f t="array" ref="DZ40">IFERROR(IF(AND(INDEX($E$8:$CE$57, MATCH($C40, $C$8:$C$57, 0), (COLUMNS($DU40:DZ40)-1)*5 + 1) = INDEX($E$5:$CE$5, 1, (COLUMNS($DU40:DZ40)-1)*5 + 1), INDEX($E$8:$CE$57, MATCH($C40, $C$8:$C$57, 0), (COLUMNS($DU40:DZ40)-1)*5 + 4) = "SF"), INDEX($CZ$8:$CZ$23, COLUMNS($DU40:DZ40)), "0"), "")</f>
        <v>0</v>
      </c>
      <c r="EA40" s="390" t="str">
        <f t="array" ref="EA40">IFERROR(IF(AND(INDEX($E$8:$CE$57, MATCH($C40, $C$8:$C$57, 0), (COLUMNS($DU40:EA40)-1)*5 + 1) = INDEX($E$5:$CE$5, 1, (COLUMNS($DU40:EA40)-1)*5 + 1), INDEX($E$8:$CE$57, MATCH($C40, $C$8:$C$57, 0), (COLUMNS($DU40:EA40)-1)*5 + 4) = "SF"), INDEX($CZ$8:$CZ$23, COLUMNS($DU40:EA40)), "0"), "")</f>
        <v>0</v>
      </c>
      <c r="EB40" s="390" t="str">
        <f t="array" ref="EB40">IFERROR(IF(AND(INDEX($E$8:$CE$57, MATCH($C40, $C$8:$C$57, 0), (COLUMNS($DU40:EB40)-1)*5 + 1) = INDEX($E$5:$CE$5, 1, (COLUMNS($DU40:EB40)-1)*5 + 1), INDEX($E$8:$CE$57, MATCH($C40, $C$8:$C$57, 0), (COLUMNS($DU40:EB40)-1)*5 + 4) = "SF"), INDEX($CZ$8:$CZ$23, COLUMNS($DU40:EB40)), "0"), "")</f>
        <v>0</v>
      </c>
      <c r="EC40" s="390" t="str">
        <f t="array" ref="EC40">IFERROR(IF(AND(INDEX($E$8:$CE$57, MATCH($C40, $C$8:$C$57, 0), (COLUMNS($DU40:EC40)-1)*5 + 1) = INDEX($E$5:$CE$5, 1, (COLUMNS($DU40:EC40)-1)*5 + 1), INDEX($E$8:$CE$57, MATCH($C40, $C$8:$C$57, 0), (COLUMNS($DU40:EC40)-1)*5 + 4) = "SF"), INDEX($CZ$8:$CZ$23, COLUMNS($DU40:EC40)), "0"), "")</f>
        <v>0</v>
      </c>
      <c r="ED40" s="390">
        <f t="array" ref="ED40">IFERROR(IF(AND(INDEX($E$8:$CE$57, MATCH($C40, $C$8:$C$57, 0), (COLUMNS($DU40:ED40)-1)*5 + 1) = INDEX($E$5:$CE$5, 1, (COLUMNS($DU40:ED40)-1)*5 + 1), INDEX($E$8:$CE$57, MATCH($C40, $C$8:$C$57, 0), (COLUMNS($DU40:ED40)-1)*5 + 4) = "SF"), INDEX($CZ$8:$CZ$23, COLUMNS($DU40:ED40)), "0"), "")</f>
        <v>235.64</v>
      </c>
      <c r="EE40" s="390" t="str">
        <f t="array" ref="EE40">IFERROR(IF(AND(INDEX($E$8:$CE$57, MATCH($C40, $C$8:$C$57, 0), (COLUMNS($DU40:EE40)-1)*5 + 1) = INDEX($E$5:$CE$5, 1, (COLUMNS($DU40:EE40)-1)*5 + 1), INDEX($E$8:$CE$57, MATCH($C40, $C$8:$C$57, 0), (COLUMNS($DU40:EE40)-1)*5 + 4) = "SF"), INDEX($CZ$8:$CZ$23, COLUMNS($DU40:EE40)), "0"), "")</f>
        <v>0</v>
      </c>
      <c r="EF40" s="390" t="str">
        <f t="array" ref="EF40">IFERROR(IF(AND(INDEX($E$8:$CE$57, MATCH($C40, $C$8:$C$57, 0), (COLUMNS($DU40:EF40)-1)*5 + 1) = INDEX($E$5:$CE$5, 1, (COLUMNS($DU40:EF40)-1)*5 + 1), INDEX($E$8:$CE$57, MATCH($C40, $C$8:$C$57, 0), (COLUMNS($DU40:EF40)-1)*5 + 4) = "SF"), INDEX($CZ$8:$CZ$23, COLUMNS($DU40:EF40)), "0"), "")</f>
        <v>0</v>
      </c>
      <c r="EG40" s="390" t="str">
        <f t="array" ref="EG40">IFERROR(IF(AND(INDEX($E$8:$CE$57, MATCH($C40, $C$8:$C$57, 0), (COLUMNS($DU40:EG40)-1)*5 + 1) = INDEX($E$5:$CE$5, 1, (COLUMNS($DU40:EG40)-1)*5 + 1), INDEX($E$8:$CE$57, MATCH($C40, $C$8:$C$57, 0), (COLUMNS($DU40:EG40)-1)*5 + 4) = "SF"), INDEX($CZ$8:$CZ$23, COLUMNS($DU40:EG40)), "0"), "")</f>
        <v>0</v>
      </c>
      <c r="EH40" s="390" t="str">
        <f t="array" ref="EH40">IFERROR(IF(AND(INDEX($E$8:$CE$57, MATCH($C40, $C$8:$C$57, 0), (COLUMNS($DU40:EH40)-1)*5 + 1) = INDEX($E$5:$CE$5, 1, (COLUMNS($DU40:EH40)-1)*5 + 1), INDEX($E$8:$CE$57, MATCH($C40, $C$8:$C$57, 0), (COLUMNS($DU40:EH40)-1)*5 + 4) = "SF"), INDEX($CZ$8:$CZ$23, COLUMNS($DU40:EH40)), "0"), "")</f>
        <v>0</v>
      </c>
      <c r="EI40" s="390" t="str">
        <f t="array" ref="EI40">IFERROR(IF(AND(INDEX($E$8:$CE$57, MATCH($C40, $C$8:$C$57, 0), (COLUMNS($DU40:EI40)-1)*5 + 1) = INDEX($E$5:$CE$5, 1, (COLUMNS($DU40:EI40)-1)*5 + 1), INDEX($E$8:$CE$57, MATCH($C40, $C$8:$C$57, 0), (COLUMNS($DU40:EI40)-1)*5 + 4) = "SF"), INDEX($CZ$8:$CZ$23, COLUMNS($DU40:EI40)), "0"), "")</f>
        <v>0</v>
      </c>
      <c r="EJ40" s="390" t="str">
        <f t="array" ref="EJ40">IFERROR(IF(AND(INDEX($E$8:$CE$57, MATCH($C40, $C$8:$C$57, 0), (COLUMNS($DU40:EJ40)-1)*5 + 1) = INDEX($E$5:$CE$5, 1, (COLUMNS($DU40:EJ40)-1)*5 + 1), INDEX($E$8:$CE$57, MATCH($C40, $C$8:$C$57, 0), (COLUMNS($DU40:EJ40)-1)*5 + 4) = "SF"), INDEX($CZ$8:$CZ$23, COLUMNS($DU40:EJ40)), "0"), "")</f>
        <v>0</v>
      </c>
    </row>
    <row r="41" spans="1:140" ht="20.100000000000001" customHeight="1" x14ac:dyDescent="0.35">
      <c r="A41" s="515"/>
      <c r="B41" s="91">
        <f>IF(BASE01[[#This Row],[COD]]&lt;&gt;"",B40+1,"")</f>
        <v>34</v>
      </c>
      <c r="C41" s="533" t="s">
        <v>97</v>
      </c>
      <c r="D41" s="92" t="str">
        <f t="array" ref="D41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41" s="143">
        <v>2</v>
      </c>
      <c r="F41" s="149">
        <v>1</v>
      </c>
      <c r="G41" s="149">
        <v>8</v>
      </c>
      <c r="H41" s="149"/>
      <c r="I41" s="534">
        <f t="shared" si="18"/>
        <v>1</v>
      </c>
      <c r="J41" s="143">
        <v>8</v>
      </c>
      <c r="K41" s="149">
        <v>3</v>
      </c>
      <c r="L41" s="149">
        <v>5</v>
      </c>
      <c r="M41" s="149"/>
      <c r="N41" s="534">
        <f t="shared" si="19"/>
        <v>4</v>
      </c>
      <c r="O41" s="143">
        <v>3</v>
      </c>
      <c r="P41" s="149">
        <v>6</v>
      </c>
      <c r="Q41" s="149">
        <v>8</v>
      </c>
      <c r="R41" s="149"/>
      <c r="S41" s="534">
        <f t="shared" si="20"/>
        <v>2</v>
      </c>
      <c r="T41" s="143">
        <v>6</v>
      </c>
      <c r="U41" s="149"/>
      <c r="V41" s="149"/>
      <c r="W41" s="149" t="s">
        <v>255</v>
      </c>
      <c r="X41" s="534">
        <f t="shared" si="21"/>
        <v>7.5</v>
      </c>
      <c r="Y41" s="143">
        <v>5</v>
      </c>
      <c r="Z41" s="149">
        <v>10</v>
      </c>
      <c r="AA41" s="149">
        <v>3</v>
      </c>
      <c r="AB41" s="149" t="s">
        <v>254</v>
      </c>
      <c r="AC41" s="534">
        <f t="shared" si="22"/>
        <v>4.5</v>
      </c>
      <c r="AD41" s="143">
        <v>7</v>
      </c>
      <c r="AE41" s="149">
        <v>5</v>
      </c>
      <c r="AF41" s="149">
        <v>2</v>
      </c>
      <c r="AG41" s="149"/>
      <c r="AH41" s="534">
        <f t="shared" si="23"/>
        <v>3</v>
      </c>
      <c r="AI41" s="143">
        <v>3</v>
      </c>
      <c r="AJ41" s="149">
        <v>4</v>
      </c>
      <c r="AK41" s="149">
        <v>7</v>
      </c>
      <c r="AL41" s="149"/>
      <c r="AM41" s="534">
        <f t="shared" si="24"/>
        <v>2</v>
      </c>
      <c r="AN41" s="143">
        <v>9</v>
      </c>
      <c r="AO41" s="149">
        <v>8</v>
      </c>
      <c r="AP41" s="149">
        <v>1</v>
      </c>
      <c r="AQ41" s="149"/>
      <c r="AR41" s="534">
        <f t="shared" si="25"/>
        <v>0</v>
      </c>
      <c r="AS41" s="143">
        <v>1</v>
      </c>
      <c r="AT41" s="149">
        <v>2</v>
      </c>
      <c r="AU41" s="149">
        <v>7</v>
      </c>
      <c r="AV41" s="149"/>
      <c r="AW41" s="534">
        <f t="shared" si="26"/>
        <v>0</v>
      </c>
      <c r="AX41" s="143">
        <v>9</v>
      </c>
      <c r="AY41" s="149">
        <v>1</v>
      </c>
      <c r="AZ41" s="149">
        <v>8</v>
      </c>
      <c r="BA41" s="149"/>
      <c r="BB41" s="534">
        <f t="shared" si="27"/>
        <v>2</v>
      </c>
      <c r="BC41" s="143">
        <v>4</v>
      </c>
      <c r="BD41" s="149">
        <v>2</v>
      </c>
      <c r="BE41" s="149">
        <v>3</v>
      </c>
      <c r="BF41" s="149"/>
      <c r="BG41" s="534">
        <f t="shared" si="28"/>
        <v>5</v>
      </c>
      <c r="BH41" s="143">
        <v>5</v>
      </c>
      <c r="BI41" s="149">
        <v>2</v>
      </c>
      <c r="BJ41" s="149">
        <v>6</v>
      </c>
      <c r="BK41" s="149"/>
      <c r="BL41" s="534">
        <f t="shared" si="29"/>
        <v>5</v>
      </c>
      <c r="BM41" s="143">
        <v>3</v>
      </c>
      <c r="BN41" s="149">
        <v>12</v>
      </c>
      <c r="BO41" s="149">
        <v>1</v>
      </c>
      <c r="BP41" s="149" t="s">
        <v>254</v>
      </c>
      <c r="BQ41" s="534">
        <f t="shared" si="30"/>
        <v>5</v>
      </c>
      <c r="BR41" s="143"/>
      <c r="BS41" s="149"/>
      <c r="BT41" s="149"/>
      <c r="BU41" s="149"/>
      <c r="BV41" s="534">
        <f t="shared" si="31"/>
        <v>0</v>
      </c>
      <c r="BW41" s="143"/>
      <c r="BX41" s="149"/>
      <c r="BY41" s="149"/>
      <c r="BZ41" s="149"/>
      <c r="CA41" s="534">
        <f t="shared" si="32"/>
        <v>0</v>
      </c>
      <c r="CB41" s="143"/>
      <c r="CC41" s="149"/>
      <c r="CD41" s="149"/>
      <c r="CE41" s="149"/>
      <c r="CF41" s="534">
        <f t="shared" si="33"/>
        <v>0</v>
      </c>
      <c r="CG41" s="162">
        <f>IF(BASE01[[#This Row],[1]]="",0,$B$4)</f>
        <v>13</v>
      </c>
      <c r="CH41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4</v>
      </c>
      <c r="CI41" s="164">
        <f>IF(BASE01[[#This Row],[Columna14]]=0,0,(CH41/CG41))</f>
        <v>0.30769230769230771</v>
      </c>
      <c r="CJ41" s="163">
        <f>IF(BASE01[[#This Row],[1]]="",0,$B$4)</f>
        <v>13</v>
      </c>
      <c r="CK41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9</v>
      </c>
      <c r="CL41" s="164">
        <f>IF(BASE01[[#This Row],[Columna14]]=0,0,(CK41/CJ41))</f>
        <v>0.69230769230769229</v>
      </c>
      <c r="CM41" s="162">
        <f>IF(BASE01[[#This Row],[1]]="",0,$B$4)</f>
        <v>13</v>
      </c>
      <c r="CN41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11</v>
      </c>
      <c r="CO41" s="164">
        <f>IF(BASE01[[#This Row],[Columna14]]=0,0,(CN41/CM41))</f>
        <v>0.84615384615384615</v>
      </c>
      <c r="CP41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41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Row],[Columna25]],$AX$5,BA41,"SF")+COUNTIFS(BASE01[[#This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3</v>
      </c>
      <c r="CR41" s="164">
        <f>IF(BASE01[[#This Row],[Columna14]]=0,0,(CQ41/CP41))</f>
        <v>1</v>
      </c>
      <c r="CS41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41</v>
      </c>
      <c r="CT41" s="93"/>
      <c r="CU41" s="536">
        <f t="shared" si="34"/>
        <v>41</v>
      </c>
      <c r="CV41" s="94">
        <f>IF(BASE01[[#This Row],[TIPO]]="PREMIO",$O$3,"0,00")</f>
        <v>1000</v>
      </c>
      <c r="CW41" s="515"/>
      <c r="CY41" s="538" t="str">
        <f t="shared" si="17"/>
        <v/>
      </c>
      <c r="CZ41" s="387"/>
      <c r="DA41" s="387" t="str">
        <f t="array" ref="DA41">IF(CZ41="", "", IF((INDEX(E$8:CE$57, MATCH(CZ41, C$8:C$57, 0), ($CZ$25-1)*5 + 1) &amp; "") = (INDEX(E$5:CE$5, 1, ($CZ$25-1)*5 + 1) &amp; ""), 1, IF((INDEX(E$8:CE$57, MATCH(CZ41, C$8:C$57, 0), ($CZ$25-1)*5 + 2) &amp; "") = (INDEX(E$5:CE$5, 1, ($CZ$25-1)*5 + 1) &amp; ""), 2, IF((INDEX(E$8:CE$57, MATCH(CZ41, C$8:C$57, 0), ($CZ$25-1)*5 + 3) &amp; "") = (INDEX(E$5:CE$5, 1, ($CZ$25-1)*5 + 1) &amp; ""), 3, ""))))</f>
        <v/>
      </c>
      <c r="DB41" s="537" t="str">
        <f>BASE01[[#This Row],[COD]]</f>
        <v>COD 34</v>
      </c>
      <c r="DC41" s="390" t="str">
        <f t="array" ref="DC41">IFERROR(IF(AND(INDEX($E$8:$CE$57, MATCH($C41, $C$8:$C$57, 0), (COLUMNS($DC41:DC41)-1)*5 + 1) = INDEX($E$5:$CE$5, 1, (COLUMNS($DC41:DC41)-1)*5 + 1), INDEX($E$8:$CE$57, MATCH($C41, $C$8:$C$57, 0), (COLUMNS($DC41:DC41)-1)*5 + 4) = "F"), INDEX($CZ$8:$CZ$23, COLUMNS($DC41:DC41)), "0"), "")</f>
        <v>0</v>
      </c>
      <c r="DD41" s="390" t="str">
        <f t="array" ref="DD41">IFERROR(IF(AND(INDEX($E$8:$CE$57, MATCH($C41, $C$8:$C$57, 0), (COLUMNS($DC41:DD41)-1)*5 + 1) = INDEX($E$5:$CE$5, 1, (COLUMNS($DC41:DD41)-1)*5 + 1), INDEX($E$8:$CE$57, MATCH($C41, $C$8:$C$57, 0), (COLUMNS($DC41:DD41)-1)*5 + 4) = "F"), INDEX($CZ$8:$CZ$23, COLUMNS($DC41:DD41)), "0"), "")</f>
        <v>0</v>
      </c>
      <c r="DE41" s="390" t="str">
        <f t="array" ref="DE41">IFERROR(IF(AND(INDEX($E$8:$CE$57, MATCH($C41, $C$8:$C$57, 0), (COLUMNS($DC41:DE41)-1)*5 + 1) = INDEX($E$5:$CE$5, 1, (COLUMNS($DC41:DE41)-1)*5 + 1), INDEX($E$8:$CE$57, MATCH($C41, $C$8:$C$57, 0), (COLUMNS($DC41:DE41)-1)*5 + 4) = "F"), INDEX($CZ$8:$CZ$23, COLUMNS($DC41:DE41)), "0"), "")</f>
        <v>0</v>
      </c>
      <c r="DF41" s="390" t="str">
        <f t="array" ref="DF41">IFERROR(IF(AND(INDEX($E$8:$CE$57, MATCH($C41, $C$8:$C$57, 0), (COLUMNS($DC41:DF41)-1)*5 + 1) = INDEX($E$5:$CE$5, 1, (COLUMNS($DC41:DF41)-1)*5 + 1), INDEX($E$8:$CE$57, MATCH($C41, $C$8:$C$57, 0), (COLUMNS($DC41:DF41)-1)*5 + 4) = "F"), INDEX($CZ$8:$CZ$23, COLUMNS($DC41:DF41)), "0"), "")</f>
        <v>0</v>
      </c>
      <c r="DG41" s="390">
        <f t="array" ref="DG41">IFERROR(IF(AND(INDEX($E$8:$CE$57, MATCH($C41, $C$8:$C$57, 0), (COLUMNS($DC41:DG41)-1)*5 + 1) = INDEX($E$5:$CE$5, 1, (COLUMNS($DC41:DG41)-1)*5 + 1), INDEX($E$8:$CE$57, MATCH($C41, $C$8:$C$57, 0), (COLUMNS($DC41:DG41)-1)*5 + 4) = "F"), INDEX($CZ$8:$CZ$23, COLUMNS($DC41:DG41)), "0"), "")</f>
        <v>110</v>
      </c>
      <c r="DH41" s="390" t="str">
        <f t="array" ref="DH41">IFERROR(IF(AND(INDEX($E$8:$CE$57, MATCH($C41, $C$8:$C$57, 0), (COLUMNS($DC41:DH41)-1)*5 + 1) = INDEX($E$5:$CE$5, 1, (COLUMNS($DC41:DH41)-1)*5 + 1), INDEX($E$8:$CE$57, MATCH($C41, $C$8:$C$57, 0), (COLUMNS($DC41:DH41)-1)*5 + 4) = "F"), INDEX($CZ$8:$CZ$23, COLUMNS($DC41:DH41)), "0"), "")</f>
        <v>0</v>
      </c>
      <c r="DI41" s="390" t="str">
        <f t="array" ref="DI41">IFERROR(IF(AND(INDEX($E$8:$CE$57, MATCH($C41, $C$8:$C$57, 0), (COLUMNS($DC41:DI41)-1)*5 + 1) = INDEX($E$5:$CE$5, 1, (COLUMNS($DC41:DI41)-1)*5 + 1), INDEX($E$8:$CE$57, MATCH($C41, $C$8:$C$57, 0), (COLUMNS($DC41:DI41)-1)*5 + 4) = "F"), INDEX($CZ$8:$CZ$23, COLUMNS($DC41:DI41)), "0"), "")</f>
        <v>0</v>
      </c>
      <c r="DJ41" s="390" t="str">
        <f t="array" ref="DJ41">IFERROR(IF(AND(INDEX($E$8:$CE$57, MATCH($C41, $C$8:$C$57, 0), (COLUMNS($DC41:DJ41)-1)*5 + 1) = INDEX($E$5:$CE$5, 1, (COLUMNS($DC41:DJ41)-1)*5 + 1), INDEX($E$8:$CE$57, MATCH($C41, $C$8:$C$57, 0), (COLUMNS($DC41:DJ41)-1)*5 + 4) = "F"), INDEX($CZ$8:$CZ$23, COLUMNS($DC41:DJ41)), "0"), "")</f>
        <v>0</v>
      </c>
      <c r="DK41" s="390" t="str">
        <f t="array" ref="DK41">IFERROR(IF(AND(INDEX($E$8:$CE$57, MATCH($C41, $C$8:$C$57, 0), (COLUMNS($DC41:DK41)-1)*5 + 1) = INDEX($E$5:$CE$5, 1, (COLUMNS($DC41:DK41)-1)*5 + 1), INDEX($E$8:$CE$57, MATCH($C41, $C$8:$C$57, 0), (COLUMNS($DC41:DK41)-1)*5 + 4) = "F"), INDEX($CZ$8:$CZ$23, COLUMNS($DC41:DK41)), "0"), "")</f>
        <v>0</v>
      </c>
      <c r="DL41" s="390" t="str">
        <f t="array" ref="DL41">IFERROR(IF(AND(INDEX($E$8:$CE$57, MATCH($C41, $C$8:$C$57, 0), (COLUMNS($DC41:DL41)-1)*5 + 1) = INDEX($E$5:$CE$5, 1, (COLUMNS($DC41:DL41)-1)*5 + 1), INDEX($E$8:$CE$57, MATCH($C41, $C$8:$C$57, 0), (COLUMNS($DC41:DL41)-1)*5 + 4) = "F"), INDEX($CZ$8:$CZ$23, COLUMNS($DC41:DL41)), "0"), "")</f>
        <v>0</v>
      </c>
      <c r="DM41" s="390" t="str">
        <f t="array" ref="DM41">IFERROR(IF(AND(INDEX($E$8:$CE$57, MATCH($C41, $C$8:$C$57, 0), (COLUMNS($DC41:DM41)-1)*5 + 1) = INDEX($E$5:$CE$5, 1, (COLUMNS($DC41:DM41)-1)*5 + 1), INDEX($E$8:$CE$57, MATCH($C41, $C$8:$C$57, 0), (COLUMNS($DC41:DM41)-1)*5 + 4) = "F"), INDEX($CZ$8:$CZ$23, COLUMNS($DC41:DM41)), "0"), "")</f>
        <v>0</v>
      </c>
      <c r="DN41" s="390" t="str">
        <f t="array" ref="DN41">IFERROR(IF(AND(INDEX($E$8:$CE$57, MATCH($C41, $C$8:$C$57, 0), (COLUMNS($DC41:DN41)-1)*5 + 1) = INDEX($E$5:$CE$5, 1, (COLUMNS($DC41:DN41)-1)*5 + 1), INDEX($E$8:$CE$57, MATCH($C41, $C$8:$C$57, 0), (COLUMNS($DC41:DN41)-1)*5 + 4) = "F"), INDEX($CZ$8:$CZ$23, COLUMNS($DC41:DN41)), "0"), "")</f>
        <v>0</v>
      </c>
      <c r="DO41" s="390">
        <f t="array" ref="DO41">IFERROR(IF(AND(INDEX($E$8:$CE$57, MATCH($C41, $C$8:$C$57, 0), (COLUMNS($DC41:DO41)-1)*5 + 1) = INDEX($E$5:$CE$5, 1, (COLUMNS($DC41:DO41)-1)*5 + 1), INDEX($E$8:$CE$57, MATCH($C41, $C$8:$C$57, 0), (COLUMNS($DC41:DO41)-1)*5 + 4) = "F"), INDEX($CZ$8:$CZ$23, COLUMNS($DC41:DO41)), "0"), "")</f>
        <v>272.76</v>
      </c>
      <c r="DP41" s="390" t="str">
        <f t="array" ref="DP41">IFERROR(IF(AND(INDEX($E$8:$CE$57, MATCH($C41, $C$8:$C$57, 0), (COLUMNS($DC41:DP41)-1)*5 + 1) = INDEX($E$5:$CE$5, 1, (COLUMNS($DC41:DP41)-1)*5 + 1), INDEX($E$8:$CE$57, MATCH($C41, $C$8:$C$57, 0), (COLUMNS($DC41:DP41)-1)*5 + 4) = "F"), INDEX($CZ$8:$CZ$23, COLUMNS($DC41:DP41)), "0"), "")</f>
        <v>0</v>
      </c>
      <c r="DQ41" s="390" t="str">
        <f t="array" ref="DQ41">IFERROR(IF(AND(INDEX($E$8:$CE$57, MATCH($C41, $C$8:$C$57, 0), (COLUMNS($DC41:DQ41)-1)*5 + 1) = INDEX($E$5:$CE$5, 1, (COLUMNS($DC41:DQ41)-1)*5 + 1), INDEX($E$8:$CE$57, MATCH($C41, $C$8:$C$57, 0), (COLUMNS($DC41:DQ41)-1)*5 + 4) = "F"), INDEX($CZ$8:$CZ$23, COLUMNS($DC41:DQ41)), "0"), "")</f>
        <v>0</v>
      </c>
      <c r="DR41" s="390" t="str">
        <f t="array" ref="DR41">IFERROR(IF(AND(INDEX($E$8:$CE$57, MATCH($C41, $C$8:$C$57, 0), (COLUMNS($DC41:DR41)-1)*5 + 1) = INDEX($E$5:$CE$5, 1, (COLUMNS($DC41:DR41)-1)*5 + 1), INDEX($E$8:$CE$57, MATCH($C41, $C$8:$C$57, 0), (COLUMNS($DC41:DR41)-1)*5 + 4) = "F"), INDEX($CZ$8:$CZ$23, COLUMNS($DC41:DR41)), "0"), "")</f>
        <v>0</v>
      </c>
      <c r="DT41" s="537" t="str">
        <f>BASE01[[#This Row],[COD]]</f>
        <v>COD 34</v>
      </c>
      <c r="DU41" s="390" t="str">
        <f t="array" ref="DU41">IFERROR(IF(AND(INDEX($E$8:$CE$57, MATCH($C41, $C$8:$C$57, 0), (COLUMNS($DU41:DU41)-1)*5 + 1) = INDEX($E$5:$CE$5, 1, (COLUMNS($DU41:DU41)-1)*5 + 1), INDEX($E$8:$CE$57, MATCH($C41, $C$8:$C$57, 0), (COLUMNS($DU41:DU41)-1)*5 + 4) = "SF"), INDEX($CZ$8:$CZ$23, COLUMNS($DU41:DU41)), "0"), "")</f>
        <v>0</v>
      </c>
      <c r="DV41" s="390" t="str">
        <f t="array" ref="DV41">IFERROR(IF(AND(INDEX($E$8:$CE$57, MATCH($C41, $C$8:$C$57, 0), (COLUMNS($DU41:DV41)-1)*5 + 1) = INDEX($E$5:$CE$5, 1, (COLUMNS($DU41:DV41)-1)*5 + 1), INDEX($E$8:$CE$57, MATCH($C41, $C$8:$C$57, 0), (COLUMNS($DU41:DV41)-1)*5 + 4) = "SF"), INDEX($CZ$8:$CZ$23, COLUMNS($DU41:DV41)), "0"), "")</f>
        <v>0</v>
      </c>
      <c r="DW41" s="390" t="str">
        <f t="array" ref="DW41">IFERROR(IF(AND(INDEX($E$8:$CE$57, MATCH($C41, $C$8:$C$57, 0), (COLUMNS($DU41:DW41)-1)*5 + 1) = INDEX($E$5:$CE$5, 1, (COLUMNS($DU41:DW41)-1)*5 + 1), INDEX($E$8:$CE$57, MATCH($C41, $C$8:$C$57, 0), (COLUMNS($DU41:DW41)-1)*5 + 4) = "SF"), INDEX($CZ$8:$CZ$23, COLUMNS($DU41:DW41)), "0"), "")</f>
        <v>0</v>
      </c>
      <c r="DX41" s="390">
        <f t="array" ref="DX41">IFERROR(IF(AND(INDEX($E$8:$CE$57, MATCH($C41, $C$8:$C$57, 0), (COLUMNS($DU41:DX41)-1)*5 + 1) = INDEX($E$5:$CE$5, 1, (COLUMNS($DU41:DX41)-1)*5 + 1), INDEX($E$8:$CE$57, MATCH($C41, $C$8:$C$57, 0), (COLUMNS($DU41:DX41)-1)*5 + 4) = "SF"), INDEX($CZ$8:$CZ$23, COLUMNS($DU41:DX41)), "0"), "")</f>
        <v>110</v>
      </c>
      <c r="DY41" s="390" t="str">
        <f t="array" ref="DY41">IFERROR(IF(AND(INDEX($E$8:$CE$57, MATCH($C41, $C$8:$C$57, 0), (COLUMNS($DU41:DY41)-1)*5 + 1) = INDEX($E$5:$CE$5, 1, (COLUMNS($DU41:DY41)-1)*5 + 1), INDEX($E$8:$CE$57, MATCH($C41, $C$8:$C$57, 0), (COLUMNS($DU41:DY41)-1)*5 + 4) = "SF"), INDEX($CZ$8:$CZ$23, COLUMNS($DU41:DY41)), "0"), "")</f>
        <v>0</v>
      </c>
      <c r="DZ41" s="390" t="str">
        <f t="array" ref="DZ41">IFERROR(IF(AND(INDEX($E$8:$CE$57, MATCH($C41, $C$8:$C$57, 0), (COLUMNS($DU41:DZ41)-1)*5 + 1) = INDEX($E$5:$CE$5, 1, (COLUMNS($DU41:DZ41)-1)*5 + 1), INDEX($E$8:$CE$57, MATCH($C41, $C$8:$C$57, 0), (COLUMNS($DU41:DZ41)-1)*5 + 4) = "SF"), INDEX($CZ$8:$CZ$23, COLUMNS($DU41:DZ41)), "0"), "")</f>
        <v>0</v>
      </c>
      <c r="EA41" s="390" t="str">
        <f t="array" ref="EA41">IFERROR(IF(AND(INDEX($E$8:$CE$57, MATCH($C41, $C$8:$C$57, 0), (COLUMNS($DU41:EA41)-1)*5 + 1) = INDEX($E$5:$CE$5, 1, (COLUMNS($DU41:EA41)-1)*5 + 1), INDEX($E$8:$CE$57, MATCH($C41, $C$8:$C$57, 0), (COLUMNS($DU41:EA41)-1)*5 + 4) = "SF"), INDEX($CZ$8:$CZ$23, COLUMNS($DU41:EA41)), "0"), "")</f>
        <v>0</v>
      </c>
      <c r="EB41" s="390" t="str">
        <f t="array" ref="EB41">IFERROR(IF(AND(INDEX($E$8:$CE$57, MATCH($C41, $C$8:$C$57, 0), (COLUMNS($DU41:EB41)-1)*5 + 1) = INDEX($E$5:$CE$5, 1, (COLUMNS($DU41:EB41)-1)*5 + 1), INDEX($E$8:$CE$57, MATCH($C41, $C$8:$C$57, 0), (COLUMNS($DU41:EB41)-1)*5 + 4) = "SF"), INDEX($CZ$8:$CZ$23, COLUMNS($DU41:EB41)), "0"), "")</f>
        <v>0</v>
      </c>
      <c r="EC41" s="390" t="str">
        <f t="array" ref="EC41">IFERROR(IF(AND(INDEX($E$8:$CE$57, MATCH($C41, $C$8:$C$57, 0), (COLUMNS($DU41:EC41)-1)*5 + 1) = INDEX($E$5:$CE$5, 1, (COLUMNS($DU41:EC41)-1)*5 + 1), INDEX($E$8:$CE$57, MATCH($C41, $C$8:$C$57, 0), (COLUMNS($DU41:EC41)-1)*5 + 4) = "SF"), INDEX($CZ$8:$CZ$23, COLUMNS($DU41:EC41)), "0"), "")</f>
        <v>0</v>
      </c>
      <c r="ED41" s="390" t="str">
        <f t="array" ref="ED41">IFERROR(IF(AND(INDEX($E$8:$CE$57, MATCH($C41, $C$8:$C$57, 0), (COLUMNS($DU41:ED41)-1)*5 + 1) = INDEX($E$5:$CE$5, 1, (COLUMNS($DU41:ED41)-1)*5 + 1), INDEX($E$8:$CE$57, MATCH($C41, $C$8:$C$57, 0), (COLUMNS($DU41:ED41)-1)*5 + 4) = "SF"), INDEX($CZ$8:$CZ$23, COLUMNS($DU41:ED41)), "0"), "")</f>
        <v>0</v>
      </c>
      <c r="EE41" s="390" t="str">
        <f t="array" ref="EE41">IFERROR(IF(AND(INDEX($E$8:$CE$57, MATCH($C41, $C$8:$C$57, 0), (COLUMNS($DU41:EE41)-1)*5 + 1) = INDEX($E$5:$CE$5, 1, (COLUMNS($DU41:EE41)-1)*5 + 1), INDEX($E$8:$CE$57, MATCH($C41, $C$8:$C$57, 0), (COLUMNS($DU41:EE41)-1)*5 + 4) = "SF"), INDEX($CZ$8:$CZ$23, COLUMNS($DU41:EE41)), "0"), "")</f>
        <v>0</v>
      </c>
      <c r="EF41" s="390" t="str">
        <f t="array" ref="EF41">IFERROR(IF(AND(INDEX($E$8:$CE$57, MATCH($C41, $C$8:$C$57, 0), (COLUMNS($DU41:EF41)-1)*5 + 1) = INDEX($E$5:$CE$5, 1, (COLUMNS($DU41:EF41)-1)*5 + 1), INDEX($E$8:$CE$57, MATCH($C41, $C$8:$C$57, 0), (COLUMNS($DU41:EF41)-1)*5 + 4) = "SF"), INDEX($CZ$8:$CZ$23, COLUMNS($DU41:EF41)), "0"), "")</f>
        <v>0</v>
      </c>
      <c r="EG41" s="390" t="str">
        <f t="array" ref="EG41">IFERROR(IF(AND(INDEX($E$8:$CE$57, MATCH($C41, $C$8:$C$57, 0), (COLUMNS($DU41:EG41)-1)*5 + 1) = INDEX($E$5:$CE$5, 1, (COLUMNS($DU41:EG41)-1)*5 + 1), INDEX($E$8:$CE$57, MATCH($C41, $C$8:$C$57, 0), (COLUMNS($DU41:EG41)-1)*5 + 4) = "SF"), INDEX($CZ$8:$CZ$23, COLUMNS($DU41:EG41)), "0"), "")</f>
        <v>0</v>
      </c>
      <c r="EH41" s="390" t="str">
        <f t="array" ref="EH41">IFERROR(IF(AND(INDEX($E$8:$CE$57, MATCH($C41, $C$8:$C$57, 0), (COLUMNS($DU41:EH41)-1)*5 + 1) = INDEX($E$5:$CE$5, 1, (COLUMNS($DU41:EH41)-1)*5 + 1), INDEX($E$8:$CE$57, MATCH($C41, $C$8:$C$57, 0), (COLUMNS($DU41:EH41)-1)*5 + 4) = "SF"), INDEX($CZ$8:$CZ$23, COLUMNS($DU41:EH41)), "0"), "")</f>
        <v>0</v>
      </c>
      <c r="EI41" s="390" t="str">
        <f t="array" ref="EI41">IFERROR(IF(AND(INDEX($E$8:$CE$57, MATCH($C41, $C$8:$C$57, 0), (COLUMNS($DU41:EI41)-1)*5 + 1) = INDEX($E$5:$CE$5, 1, (COLUMNS($DU41:EI41)-1)*5 + 1), INDEX($E$8:$CE$57, MATCH($C41, $C$8:$C$57, 0), (COLUMNS($DU41:EI41)-1)*5 + 4) = "SF"), INDEX($CZ$8:$CZ$23, COLUMNS($DU41:EI41)), "0"), "")</f>
        <v>0</v>
      </c>
      <c r="EJ41" s="390" t="str">
        <f t="array" ref="EJ41">IFERROR(IF(AND(INDEX($E$8:$CE$57, MATCH($C41, $C$8:$C$57, 0), (COLUMNS($DU41:EJ41)-1)*5 + 1) = INDEX($E$5:$CE$5, 1, (COLUMNS($DU41:EJ41)-1)*5 + 1), INDEX($E$8:$CE$57, MATCH($C41, $C$8:$C$57, 0), (COLUMNS($DU41:EJ41)-1)*5 + 4) = "SF"), INDEX($CZ$8:$CZ$23, COLUMNS($DU41:EJ41)), "0"), "")</f>
        <v>0</v>
      </c>
    </row>
    <row r="42" spans="1:140" ht="20.100000000000001" customHeight="1" x14ac:dyDescent="0.35">
      <c r="A42" s="515"/>
      <c r="B42" s="91">
        <f>IF(BASE01[[#This Row],[COD]]&lt;&gt;"",B41+1,"")</f>
        <v>35</v>
      </c>
      <c r="C42" s="533" t="s">
        <v>99</v>
      </c>
      <c r="D42" s="92" t="str">
        <f t="array" ref="D42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42" s="143">
        <v>1</v>
      </c>
      <c r="F42" s="144">
        <v>8</v>
      </c>
      <c r="G42" s="144">
        <v>6</v>
      </c>
      <c r="H42" s="144"/>
      <c r="I42" s="534">
        <f t="shared" si="18"/>
        <v>2</v>
      </c>
      <c r="J42" s="143">
        <v>3</v>
      </c>
      <c r="K42" s="144">
        <v>8</v>
      </c>
      <c r="L42" s="144">
        <v>7</v>
      </c>
      <c r="M42" s="144"/>
      <c r="N42" s="534">
        <f t="shared" si="19"/>
        <v>5</v>
      </c>
      <c r="O42" s="143">
        <v>3</v>
      </c>
      <c r="P42" s="144">
        <v>8</v>
      </c>
      <c r="Q42" s="144">
        <v>5</v>
      </c>
      <c r="R42" s="144"/>
      <c r="S42" s="534">
        <f t="shared" si="20"/>
        <v>0</v>
      </c>
      <c r="T42" s="143">
        <v>6</v>
      </c>
      <c r="U42" s="144">
        <v>4</v>
      </c>
      <c r="V42" s="144">
        <v>8</v>
      </c>
      <c r="W42" s="144" t="s">
        <v>254</v>
      </c>
      <c r="X42" s="534">
        <f t="shared" si="21"/>
        <v>4.5</v>
      </c>
      <c r="Y42" s="143">
        <v>5</v>
      </c>
      <c r="Z42" s="144"/>
      <c r="AA42" s="144"/>
      <c r="AB42" s="144" t="s">
        <v>255</v>
      </c>
      <c r="AC42" s="534">
        <f t="shared" si="22"/>
        <v>7.5</v>
      </c>
      <c r="AD42" s="143">
        <v>2</v>
      </c>
      <c r="AE42" s="144">
        <v>7</v>
      </c>
      <c r="AF42" s="144">
        <v>5</v>
      </c>
      <c r="AG42" s="144"/>
      <c r="AH42" s="534">
        <f t="shared" si="23"/>
        <v>6</v>
      </c>
      <c r="AI42" s="143">
        <v>3</v>
      </c>
      <c r="AJ42" s="144">
        <v>7</v>
      </c>
      <c r="AK42" s="144">
        <v>4</v>
      </c>
      <c r="AL42" s="144"/>
      <c r="AM42" s="534">
        <f t="shared" si="24"/>
        <v>1</v>
      </c>
      <c r="AN42" s="143">
        <v>8</v>
      </c>
      <c r="AO42" s="144">
        <v>12</v>
      </c>
      <c r="AP42" s="144">
        <v>11</v>
      </c>
      <c r="AQ42" s="144"/>
      <c r="AR42" s="534">
        <f t="shared" si="25"/>
        <v>0</v>
      </c>
      <c r="AS42" s="143">
        <v>7</v>
      </c>
      <c r="AT42" s="144">
        <v>1</v>
      </c>
      <c r="AU42" s="144">
        <v>3</v>
      </c>
      <c r="AV42" s="144"/>
      <c r="AW42" s="534">
        <f t="shared" si="26"/>
        <v>0</v>
      </c>
      <c r="AX42" s="143">
        <v>9</v>
      </c>
      <c r="AY42" s="144">
        <v>7</v>
      </c>
      <c r="AZ42" s="144">
        <v>1</v>
      </c>
      <c r="BA42" s="144"/>
      <c r="BB42" s="534">
        <f t="shared" si="27"/>
        <v>1</v>
      </c>
      <c r="BC42" s="143">
        <v>4</v>
      </c>
      <c r="BD42" s="144">
        <v>3</v>
      </c>
      <c r="BE42" s="144">
        <v>7</v>
      </c>
      <c r="BF42" s="144"/>
      <c r="BG42" s="534">
        <f t="shared" si="28"/>
        <v>4</v>
      </c>
      <c r="BH42" s="143">
        <v>5</v>
      </c>
      <c r="BI42" s="144">
        <v>6</v>
      </c>
      <c r="BJ42" s="144">
        <v>1</v>
      </c>
      <c r="BK42" s="144"/>
      <c r="BL42" s="534">
        <f t="shared" si="29"/>
        <v>0</v>
      </c>
      <c r="BM42" s="143">
        <v>3</v>
      </c>
      <c r="BN42" s="144">
        <v>12</v>
      </c>
      <c r="BO42" s="144">
        <v>2</v>
      </c>
      <c r="BP42" s="144" t="s">
        <v>254</v>
      </c>
      <c r="BQ42" s="534">
        <f t="shared" si="30"/>
        <v>5</v>
      </c>
      <c r="BR42" s="143"/>
      <c r="BS42" s="144"/>
      <c r="BT42" s="144"/>
      <c r="BU42" s="144"/>
      <c r="BV42" s="534">
        <f t="shared" si="31"/>
        <v>0</v>
      </c>
      <c r="BW42" s="143"/>
      <c r="BX42" s="144"/>
      <c r="BY42" s="144"/>
      <c r="BZ42" s="144"/>
      <c r="CA42" s="534">
        <f t="shared" si="32"/>
        <v>0</v>
      </c>
      <c r="CB42" s="143"/>
      <c r="CC42" s="144"/>
      <c r="CD42" s="144"/>
      <c r="CE42" s="144"/>
      <c r="CF42" s="534">
        <f t="shared" si="33"/>
        <v>0</v>
      </c>
      <c r="CG42" s="162">
        <f>IF(BASE01[[#This Row],[1]]="",0,$B$4)</f>
        <v>13</v>
      </c>
      <c r="CH42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6</v>
      </c>
      <c r="CI42" s="164">
        <f>IF(BASE01[[#This Row],[Columna14]]=0,0,(CH42/CG42))</f>
        <v>0.46153846153846156</v>
      </c>
      <c r="CJ42" s="163">
        <f>IF(BASE01[[#This Row],[1]]="",0,$B$4)</f>
        <v>13</v>
      </c>
      <c r="CK42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7</v>
      </c>
      <c r="CL42" s="164">
        <f>IF(BASE01[[#This Row],[Columna14]]=0,0,(CK42/CJ42))</f>
        <v>0.53846153846153844</v>
      </c>
      <c r="CM42" s="162">
        <f>IF(BASE01[[#This Row],[1]]="",0,$B$4)</f>
        <v>13</v>
      </c>
      <c r="CN42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9</v>
      </c>
      <c r="CO42" s="164">
        <f>IF(BASE01[[#This Row],[Columna14]]=0,0,(CN42/CM42))</f>
        <v>0.69230769230769229</v>
      </c>
      <c r="CP42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42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Row],[Columna25]],$AX$5,BA42,"SF")+COUNTIFS(BASE01[[#This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3</v>
      </c>
      <c r="CR42" s="164">
        <f>IF(BASE01[[#This Row],[Columna14]]=0,0,(CQ42/CP42))</f>
        <v>1</v>
      </c>
      <c r="CS42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36</v>
      </c>
      <c r="CT42" s="93"/>
      <c r="CU42" s="536">
        <f t="shared" si="34"/>
        <v>36</v>
      </c>
      <c r="CV42" s="94">
        <f>IF(BASE01[[#This Row],[TIPO]]="PREMIO",$O$3,"0,00")</f>
        <v>1000</v>
      </c>
      <c r="CW42" s="515"/>
      <c r="CY42" s="538" t="str">
        <f t="shared" si="17"/>
        <v/>
      </c>
      <c r="CZ42" s="387"/>
      <c r="DA42" s="387" t="str">
        <f t="array" ref="DA42">IF(CZ42="", "", IF((INDEX(E$8:CE$57, MATCH(CZ42, C$8:C$57, 0), ($CZ$25-1)*5 + 1) &amp; "") = (INDEX(E$5:CE$5, 1, ($CZ$25-1)*5 + 1) &amp; ""), 1, IF((INDEX(E$8:CE$57, MATCH(CZ42, C$8:C$57, 0), ($CZ$25-1)*5 + 2) &amp; "") = (INDEX(E$5:CE$5, 1, ($CZ$25-1)*5 + 1) &amp; ""), 2, IF((INDEX(E$8:CE$57, MATCH(CZ42, C$8:C$57, 0), ($CZ$25-1)*5 + 3) &amp; "") = (INDEX(E$5:CE$5, 1, ($CZ$25-1)*5 + 1) &amp; ""), 3, ""))))</f>
        <v/>
      </c>
      <c r="DB42" s="537" t="str">
        <f>BASE01[[#This Row],[COD]]</f>
        <v>COD 35</v>
      </c>
      <c r="DC42" s="390" t="str">
        <f t="array" ref="DC42">IFERROR(IF(AND(INDEX($E$8:$CE$57, MATCH($C42, $C$8:$C$57, 0), (COLUMNS($DC42:DC42)-1)*5 + 1) = INDEX($E$5:$CE$5, 1, (COLUMNS($DC42:DC42)-1)*5 + 1), INDEX($E$8:$CE$57, MATCH($C42, $C$8:$C$57, 0), (COLUMNS($DC42:DC42)-1)*5 + 4) = "F"), INDEX($CZ$8:$CZ$23, COLUMNS($DC42:DC42)), "0"), "")</f>
        <v>0</v>
      </c>
      <c r="DD42" s="390" t="str">
        <f t="array" ref="DD42">IFERROR(IF(AND(INDEX($E$8:$CE$57, MATCH($C42, $C$8:$C$57, 0), (COLUMNS($DC42:DD42)-1)*5 + 1) = INDEX($E$5:$CE$5, 1, (COLUMNS($DC42:DD42)-1)*5 + 1), INDEX($E$8:$CE$57, MATCH($C42, $C$8:$C$57, 0), (COLUMNS($DC42:DD42)-1)*5 + 4) = "F"), INDEX($CZ$8:$CZ$23, COLUMNS($DC42:DD42)), "0"), "")</f>
        <v>0</v>
      </c>
      <c r="DE42" s="390" t="str">
        <f t="array" ref="DE42">IFERROR(IF(AND(INDEX($E$8:$CE$57, MATCH($C42, $C$8:$C$57, 0), (COLUMNS($DC42:DE42)-1)*5 + 1) = INDEX($E$5:$CE$5, 1, (COLUMNS($DC42:DE42)-1)*5 + 1), INDEX($E$8:$CE$57, MATCH($C42, $C$8:$C$57, 0), (COLUMNS($DC42:DE42)-1)*5 + 4) = "F"), INDEX($CZ$8:$CZ$23, COLUMNS($DC42:DE42)), "0"), "")</f>
        <v>0</v>
      </c>
      <c r="DF42" s="390">
        <f t="array" ref="DF42">IFERROR(IF(AND(INDEX($E$8:$CE$57, MATCH($C42, $C$8:$C$57, 0), (COLUMNS($DC42:DF42)-1)*5 + 1) = INDEX($E$5:$CE$5, 1, (COLUMNS($DC42:DF42)-1)*5 + 1), INDEX($E$8:$CE$57, MATCH($C42, $C$8:$C$57, 0), (COLUMNS($DC42:DF42)-1)*5 + 4) = "F"), INDEX($CZ$8:$CZ$23, COLUMNS($DC42:DF42)), "0"), "")</f>
        <v>110</v>
      </c>
      <c r="DG42" s="390" t="str">
        <f t="array" ref="DG42">IFERROR(IF(AND(INDEX($E$8:$CE$57, MATCH($C42, $C$8:$C$57, 0), (COLUMNS($DC42:DG42)-1)*5 + 1) = INDEX($E$5:$CE$5, 1, (COLUMNS($DC42:DG42)-1)*5 + 1), INDEX($E$8:$CE$57, MATCH($C42, $C$8:$C$57, 0), (COLUMNS($DC42:DG42)-1)*5 + 4) = "F"), INDEX($CZ$8:$CZ$23, COLUMNS($DC42:DG42)), "0"), "")</f>
        <v>0</v>
      </c>
      <c r="DH42" s="390" t="str">
        <f t="array" ref="DH42">IFERROR(IF(AND(INDEX($E$8:$CE$57, MATCH($C42, $C$8:$C$57, 0), (COLUMNS($DC42:DH42)-1)*5 + 1) = INDEX($E$5:$CE$5, 1, (COLUMNS($DC42:DH42)-1)*5 + 1), INDEX($E$8:$CE$57, MATCH($C42, $C$8:$C$57, 0), (COLUMNS($DC42:DH42)-1)*5 + 4) = "F"), INDEX($CZ$8:$CZ$23, COLUMNS($DC42:DH42)), "0"), "")</f>
        <v>0</v>
      </c>
      <c r="DI42" s="390" t="str">
        <f t="array" ref="DI42">IFERROR(IF(AND(INDEX($E$8:$CE$57, MATCH($C42, $C$8:$C$57, 0), (COLUMNS($DC42:DI42)-1)*5 + 1) = INDEX($E$5:$CE$5, 1, (COLUMNS($DC42:DI42)-1)*5 + 1), INDEX($E$8:$CE$57, MATCH($C42, $C$8:$C$57, 0), (COLUMNS($DC42:DI42)-1)*5 + 4) = "F"), INDEX($CZ$8:$CZ$23, COLUMNS($DC42:DI42)), "0"), "")</f>
        <v>0</v>
      </c>
      <c r="DJ42" s="390" t="str">
        <f t="array" ref="DJ42">IFERROR(IF(AND(INDEX($E$8:$CE$57, MATCH($C42, $C$8:$C$57, 0), (COLUMNS($DC42:DJ42)-1)*5 + 1) = INDEX($E$5:$CE$5, 1, (COLUMNS($DC42:DJ42)-1)*5 + 1), INDEX($E$8:$CE$57, MATCH($C42, $C$8:$C$57, 0), (COLUMNS($DC42:DJ42)-1)*5 + 4) = "F"), INDEX($CZ$8:$CZ$23, COLUMNS($DC42:DJ42)), "0"), "")</f>
        <v>0</v>
      </c>
      <c r="DK42" s="390" t="str">
        <f t="array" ref="DK42">IFERROR(IF(AND(INDEX($E$8:$CE$57, MATCH($C42, $C$8:$C$57, 0), (COLUMNS($DC42:DK42)-1)*5 + 1) = INDEX($E$5:$CE$5, 1, (COLUMNS($DC42:DK42)-1)*5 + 1), INDEX($E$8:$CE$57, MATCH($C42, $C$8:$C$57, 0), (COLUMNS($DC42:DK42)-1)*5 + 4) = "F"), INDEX($CZ$8:$CZ$23, COLUMNS($DC42:DK42)), "0"), "")</f>
        <v>0</v>
      </c>
      <c r="DL42" s="390" t="str">
        <f t="array" ref="DL42">IFERROR(IF(AND(INDEX($E$8:$CE$57, MATCH($C42, $C$8:$C$57, 0), (COLUMNS($DC42:DL42)-1)*5 + 1) = INDEX($E$5:$CE$5, 1, (COLUMNS($DC42:DL42)-1)*5 + 1), INDEX($E$8:$CE$57, MATCH($C42, $C$8:$C$57, 0), (COLUMNS($DC42:DL42)-1)*5 + 4) = "F"), INDEX($CZ$8:$CZ$23, COLUMNS($DC42:DL42)), "0"), "")</f>
        <v>0</v>
      </c>
      <c r="DM42" s="390" t="str">
        <f t="array" ref="DM42">IFERROR(IF(AND(INDEX($E$8:$CE$57, MATCH($C42, $C$8:$C$57, 0), (COLUMNS($DC42:DM42)-1)*5 + 1) = INDEX($E$5:$CE$5, 1, (COLUMNS($DC42:DM42)-1)*5 + 1), INDEX($E$8:$CE$57, MATCH($C42, $C$8:$C$57, 0), (COLUMNS($DC42:DM42)-1)*5 + 4) = "F"), INDEX($CZ$8:$CZ$23, COLUMNS($DC42:DM42)), "0"), "")</f>
        <v>0</v>
      </c>
      <c r="DN42" s="390" t="str">
        <f t="array" ref="DN42">IFERROR(IF(AND(INDEX($E$8:$CE$57, MATCH($C42, $C$8:$C$57, 0), (COLUMNS($DC42:DN42)-1)*5 + 1) = INDEX($E$5:$CE$5, 1, (COLUMNS($DC42:DN42)-1)*5 + 1), INDEX($E$8:$CE$57, MATCH($C42, $C$8:$C$57, 0), (COLUMNS($DC42:DN42)-1)*5 + 4) = "F"), INDEX($CZ$8:$CZ$23, COLUMNS($DC42:DN42)), "0"), "")</f>
        <v>0</v>
      </c>
      <c r="DO42" s="390">
        <f t="array" ref="DO42">IFERROR(IF(AND(INDEX($E$8:$CE$57, MATCH($C42, $C$8:$C$57, 0), (COLUMNS($DC42:DO42)-1)*5 + 1) = INDEX($E$5:$CE$5, 1, (COLUMNS($DC42:DO42)-1)*5 + 1), INDEX($E$8:$CE$57, MATCH($C42, $C$8:$C$57, 0), (COLUMNS($DC42:DO42)-1)*5 + 4) = "F"), INDEX($CZ$8:$CZ$23, COLUMNS($DC42:DO42)), "0"), "")</f>
        <v>272.76</v>
      </c>
      <c r="DP42" s="390" t="str">
        <f t="array" ref="DP42">IFERROR(IF(AND(INDEX($E$8:$CE$57, MATCH($C42, $C$8:$C$57, 0), (COLUMNS($DC42:DP42)-1)*5 + 1) = INDEX($E$5:$CE$5, 1, (COLUMNS($DC42:DP42)-1)*5 + 1), INDEX($E$8:$CE$57, MATCH($C42, $C$8:$C$57, 0), (COLUMNS($DC42:DP42)-1)*5 + 4) = "F"), INDEX($CZ$8:$CZ$23, COLUMNS($DC42:DP42)), "0"), "")</f>
        <v>0</v>
      </c>
      <c r="DQ42" s="390" t="str">
        <f t="array" ref="DQ42">IFERROR(IF(AND(INDEX($E$8:$CE$57, MATCH($C42, $C$8:$C$57, 0), (COLUMNS($DC42:DQ42)-1)*5 + 1) = INDEX($E$5:$CE$5, 1, (COLUMNS($DC42:DQ42)-1)*5 + 1), INDEX($E$8:$CE$57, MATCH($C42, $C$8:$C$57, 0), (COLUMNS($DC42:DQ42)-1)*5 + 4) = "F"), INDEX($CZ$8:$CZ$23, COLUMNS($DC42:DQ42)), "0"), "")</f>
        <v>0</v>
      </c>
      <c r="DR42" s="390" t="str">
        <f t="array" ref="DR42">IFERROR(IF(AND(INDEX($E$8:$CE$57, MATCH($C42, $C$8:$C$57, 0), (COLUMNS($DC42:DR42)-1)*5 + 1) = INDEX($E$5:$CE$5, 1, (COLUMNS($DC42:DR42)-1)*5 + 1), INDEX($E$8:$CE$57, MATCH($C42, $C$8:$C$57, 0), (COLUMNS($DC42:DR42)-1)*5 + 4) = "F"), INDEX($CZ$8:$CZ$23, COLUMNS($DC42:DR42)), "0"), "")</f>
        <v>0</v>
      </c>
      <c r="DT42" s="537" t="str">
        <f>BASE01[[#This Row],[COD]]</f>
        <v>COD 35</v>
      </c>
      <c r="DU42" s="390" t="str">
        <f t="array" ref="DU42">IFERROR(IF(AND(INDEX($E$8:$CE$57, MATCH($C42, $C$8:$C$57, 0), (COLUMNS($DU42:DU42)-1)*5 + 1) = INDEX($E$5:$CE$5, 1, (COLUMNS($DU42:DU42)-1)*5 + 1), INDEX($E$8:$CE$57, MATCH($C42, $C$8:$C$57, 0), (COLUMNS($DU42:DU42)-1)*5 + 4) = "SF"), INDEX($CZ$8:$CZ$23, COLUMNS($DU42:DU42)), "0"), "")</f>
        <v>0</v>
      </c>
      <c r="DV42" s="390" t="str">
        <f t="array" ref="DV42">IFERROR(IF(AND(INDEX($E$8:$CE$57, MATCH($C42, $C$8:$C$57, 0), (COLUMNS($DU42:DV42)-1)*5 + 1) = INDEX($E$5:$CE$5, 1, (COLUMNS($DU42:DV42)-1)*5 + 1), INDEX($E$8:$CE$57, MATCH($C42, $C$8:$C$57, 0), (COLUMNS($DU42:DV42)-1)*5 + 4) = "SF"), INDEX($CZ$8:$CZ$23, COLUMNS($DU42:DV42)), "0"), "")</f>
        <v>0</v>
      </c>
      <c r="DW42" s="390" t="str">
        <f t="array" ref="DW42">IFERROR(IF(AND(INDEX($E$8:$CE$57, MATCH($C42, $C$8:$C$57, 0), (COLUMNS($DU42:DW42)-1)*5 + 1) = INDEX($E$5:$CE$5, 1, (COLUMNS($DU42:DW42)-1)*5 + 1), INDEX($E$8:$CE$57, MATCH($C42, $C$8:$C$57, 0), (COLUMNS($DU42:DW42)-1)*5 + 4) = "SF"), INDEX($CZ$8:$CZ$23, COLUMNS($DU42:DW42)), "0"), "")</f>
        <v>0</v>
      </c>
      <c r="DX42" s="390" t="str">
        <f t="array" ref="DX42">IFERROR(IF(AND(INDEX($E$8:$CE$57, MATCH($C42, $C$8:$C$57, 0), (COLUMNS($DU42:DX42)-1)*5 + 1) = INDEX($E$5:$CE$5, 1, (COLUMNS($DU42:DX42)-1)*5 + 1), INDEX($E$8:$CE$57, MATCH($C42, $C$8:$C$57, 0), (COLUMNS($DU42:DX42)-1)*5 + 4) = "SF"), INDEX($CZ$8:$CZ$23, COLUMNS($DU42:DX42)), "0"), "")</f>
        <v>0</v>
      </c>
      <c r="DY42" s="390">
        <f t="array" ref="DY42">IFERROR(IF(AND(INDEX($E$8:$CE$57, MATCH($C42, $C$8:$C$57, 0), (COLUMNS($DU42:DY42)-1)*5 + 1) = INDEX($E$5:$CE$5, 1, (COLUMNS($DU42:DY42)-1)*5 + 1), INDEX($E$8:$CE$57, MATCH($C42, $C$8:$C$57, 0), (COLUMNS($DU42:DY42)-1)*5 + 4) = "SF"), INDEX($CZ$8:$CZ$23, COLUMNS($DU42:DY42)), "0"), "")</f>
        <v>110</v>
      </c>
      <c r="DZ42" s="390" t="str">
        <f t="array" ref="DZ42">IFERROR(IF(AND(INDEX($E$8:$CE$57, MATCH($C42, $C$8:$C$57, 0), (COLUMNS($DU42:DZ42)-1)*5 + 1) = INDEX($E$5:$CE$5, 1, (COLUMNS($DU42:DZ42)-1)*5 + 1), INDEX($E$8:$CE$57, MATCH($C42, $C$8:$C$57, 0), (COLUMNS($DU42:DZ42)-1)*5 + 4) = "SF"), INDEX($CZ$8:$CZ$23, COLUMNS($DU42:DZ42)), "0"), "")</f>
        <v>0</v>
      </c>
      <c r="EA42" s="390" t="str">
        <f t="array" ref="EA42">IFERROR(IF(AND(INDEX($E$8:$CE$57, MATCH($C42, $C$8:$C$57, 0), (COLUMNS($DU42:EA42)-1)*5 + 1) = INDEX($E$5:$CE$5, 1, (COLUMNS($DU42:EA42)-1)*5 + 1), INDEX($E$8:$CE$57, MATCH($C42, $C$8:$C$57, 0), (COLUMNS($DU42:EA42)-1)*5 + 4) = "SF"), INDEX($CZ$8:$CZ$23, COLUMNS($DU42:EA42)), "0"), "")</f>
        <v>0</v>
      </c>
      <c r="EB42" s="390" t="str">
        <f t="array" ref="EB42">IFERROR(IF(AND(INDEX($E$8:$CE$57, MATCH($C42, $C$8:$C$57, 0), (COLUMNS($DU42:EB42)-1)*5 + 1) = INDEX($E$5:$CE$5, 1, (COLUMNS($DU42:EB42)-1)*5 + 1), INDEX($E$8:$CE$57, MATCH($C42, $C$8:$C$57, 0), (COLUMNS($DU42:EB42)-1)*5 + 4) = "SF"), INDEX($CZ$8:$CZ$23, COLUMNS($DU42:EB42)), "0"), "")</f>
        <v>0</v>
      </c>
      <c r="EC42" s="390" t="str">
        <f t="array" ref="EC42">IFERROR(IF(AND(INDEX($E$8:$CE$57, MATCH($C42, $C$8:$C$57, 0), (COLUMNS($DU42:EC42)-1)*5 + 1) = INDEX($E$5:$CE$5, 1, (COLUMNS($DU42:EC42)-1)*5 + 1), INDEX($E$8:$CE$57, MATCH($C42, $C$8:$C$57, 0), (COLUMNS($DU42:EC42)-1)*5 + 4) = "SF"), INDEX($CZ$8:$CZ$23, COLUMNS($DU42:EC42)), "0"), "")</f>
        <v>0</v>
      </c>
      <c r="ED42" s="390" t="str">
        <f t="array" ref="ED42">IFERROR(IF(AND(INDEX($E$8:$CE$57, MATCH($C42, $C$8:$C$57, 0), (COLUMNS($DU42:ED42)-1)*5 + 1) = INDEX($E$5:$CE$5, 1, (COLUMNS($DU42:ED42)-1)*5 + 1), INDEX($E$8:$CE$57, MATCH($C42, $C$8:$C$57, 0), (COLUMNS($DU42:ED42)-1)*5 + 4) = "SF"), INDEX($CZ$8:$CZ$23, COLUMNS($DU42:ED42)), "0"), "")</f>
        <v>0</v>
      </c>
      <c r="EE42" s="390" t="str">
        <f t="array" ref="EE42">IFERROR(IF(AND(INDEX($E$8:$CE$57, MATCH($C42, $C$8:$C$57, 0), (COLUMNS($DU42:EE42)-1)*5 + 1) = INDEX($E$5:$CE$5, 1, (COLUMNS($DU42:EE42)-1)*5 + 1), INDEX($E$8:$CE$57, MATCH($C42, $C$8:$C$57, 0), (COLUMNS($DU42:EE42)-1)*5 + 4) = "SF"), INDEX($CZ$8:$CZ$23, COLUMNS($DU42:EE42)), "0"), "")</f>
        <v>0</v>
      </c>
      <c r="EF42" s="390" t="str">
        <f t="array" ref="EF42">IFERROR(IF(AND(INDEX($E$8:$CE$57, MATCH($C42, $C$8:$C$57, 0), (COLUMNS($DU42:EF42)-1)*5 + 1) = INDEX($E$5:$CE$5, 1, (COLUMNS($DU42:EF42)-1)*5 + 1), INDEX($E$8:$CE$57, MATCH($C42, $C$8:$C$57, 0), (COLUMNS($DU42:EF42)-1)*5 + 4) = "SF"), INDEX($CZ$8:$CZ$23, COLUMNS($DU42:EF42)), "0"), "")</f>
        <v>0</v>
      </c>
      <c r="EG42" s="390" t="str">
        <f t="array" ref="EG42">IFERROR(IF(AND(INDEX($E$8:$CE$57, MATCH($C42, $C$8:$C$57, 0), (COLUMNS($DU42:EG42)-1)*5 + 1) = INDEX($E$5:$CE$5, 1, (COLUMNS($DU42:EG42)-1)*5 + 1), INDEX($E$8:$CE$57, MATCH($C42, $C$8:$C$57, 0), (COLUMNS($DU42:EG42)-1)*5 + 4) = "SF"), INDEX($CZ$8:$CZ$23, COLUMNS($DU42:EG42)), "0"), "")</f>
        <v>0</v>
      </c>
      <c r="EH42" s="390" t="str">
        <f t="array" ref="EH42">IFERROR(IF(AND(INDEX($E$8:$CE$57, MATCH($C42, $C$8:$C$57, 0), (COLUMNS($DU42:EH42)-1)*5 + 1) = INDEX($E$5:$CE$5, 1, (COLUMNS($DU42:EH42)-1)*5 + 1), INDEX($E$8:$CE$57, MATCH($C42, $C$8:$C$57, 0), (COLUMNS($DU42:EH42)-1)*5 + 4) = "SF"), INDEX($CZ$8:$CZ$23, COLUMNS($DU42:EH42)), "0"), "")</f>
        <v>0</v>
      </c>
      <c r="EI42" s="390" t="str">
        <f t="array" ref="EI42">IFERROR(IF(AND(INDEX($E$8:$CE$57, MATCH($C42, $C$8:$C$57, 0), (COLUMNS($DU42:EI42)-1)*5 + 1) = INDEX($E$5:$CE$5, 1, (COLUMNS($DU42:EI42)-1)*5 + 1), INDEX($E$8:$CE$57, MATCH($C42, $C$8:$C$57, 0), (COLUMNS($DU42:EI42)-1)*5 + 4) = "SF"), INDEX($CZ$8:$CZ$23, COLUMNS($DU42:EI42)), "0"), "")</f>
        <v>0</v>
      </c>
      <c r="EJ42" s="390" t="str">
        <f t="array" ref="EJ42">IFERROR(IF(AND(INDEX($E$8:$CE$57, MATCH($C42, $C$8:$C$57, 0), (COLUMNS($DU42:EJ42)-1)*5 + 1) = INDEX($E$5:$CE$5, 1, (COLUMNS($DU42:EJ42)-1)*5 + 1), INDEX($E$8:$CE$57, MATCH($C42, $C$8:$C$57, 0), (COLUMNS($DU42:EJ42)-1)*5 + 4) = "SF"), INDEX($CZ$8:$CZ$23, COLUMNS($DU42:EJ42)), "0"), "")</f>
        <v>0</v>
      </c>
    </row>
    <row r="43" spans="1:140" ht="20.100000000000001" customHeight="1" x14ac:dyDescent="0.35">
      <c r="A43" s="515"/>
      <c r="B43" s="91">
        <f>IF(BASE01[[#This Row],[COD]]&lt;&gt;"",B42+1,"")</f>
        <v>36</v>
      </c>
      <c r="C43" s="533" t="s">
        <v>101</v>
      </c>
      <c r="D43" s="92" t="str">
        <f t="array" ref="D43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43" s="143">
        <v>1</v>
      </c>
      <c r="F43" s="144">
        <v>6</v>
      </c>
      <c r="G43" s="144">
        <v>2</v>
      </c>
      <c r="H43" s="144"/>
      <c r="I43" s="534">
        <f t="shared" si="18"/>
        <v>0</v>
      </c>
      <c r="J43" s="143">
        <v>3</v>
      </c>
      <c r="K43" s="144">
        <v>8</v>
      </c>
      <c r="L43" s="144">
        <v>1</v>
      </c>
      <c r="M43" s="144"/>
      <c r="N43" s="534">
        <f t="shared" si="19"/>
        <v>5</v>
      </c>
      <c r="O43" s="143">
        <v>3</v>
      </c>
      <c r="P43" s="144">
        <v>2</v>
      </c>
      <c r="Q43" s="144">
        <v>6</v>
      </c>
      <c r="R43" s="144"/>
      <c r="S43" s="534">
        <f t="shared" si="20"/>
        <v>1</v>
      </c>
      <c r="T43" s="143">
        <v>6</v>
      </c>
      <c r="U43" s="144"/>
      <c r="V43" s="144"/>
      <c r="W43" s="144" t="s">
        <v>255</v>
      </c>
      <c r="X43" s="534">
        <f t="shared" si="21"/>
        <v>7.5</v>
      </c>
      <c r="Y43" s="143">
        <v>5</v>
      </c>
      <c r="Z43" s="144">
        <v>8</v>
      </c>
      <c r="AA43" s="144">
        <v>1</v>
      </c>
      <c r="AB43" s="144" t="s">
        <v>254</v>
      </c>
      <c r="AC43" s="534">
        <f t="shared" si="22"/>
        <v>5.5</v>
      </c>
      <c r="AD43" s="143">
        <v>5</v>
      </c>
      <c r="AE43" s="144">
        <v>2</v>
      </c>
      <c r="AF43" s="144">
        <v>7</v>
      </c>
      <c r="AG43" s="144"/>
      <c r="AH43" s="534">
        <f t="shared" si="23"/>
        <v>4</v>
      </c>
      <c r="AI43" s="143">
        <v>4</v>
      </c>
      <c r="AJ43" s="144">
        <v>3</v>
      </c>
      <c r="AK43" s="144">
        <v>7</v>
      </c>
      <c r="AL43" s="144"/>
      <c r="AM43" s="534">
        <f t="shared" si="24"/>
        <v>5</v>
      </c>
      <c r="AN43" s="143">
        <v>8</v>
      </c>
      <c r="AO43" s="144">
        <v>9</v>
      </c>
      <c r="AP43" s="144">
        <v>11</v>
      </c>
      <c r="AQ43" s="144"/>
      <c r="AR43" s="534">
        <f t="shared" si="25"/>
        <v>0</v>
      </c>
      <c r="AS43" s="143">
        <v>5</v>
      </c>
      <c r="AT43" s="144">
        <v>1</v>
      </c>
      <c r="AU43" s="144">
        <v>7</v>
      </c>
      <c r="AV43" s="144"/>
      <c r="AW43" s="534">
        <f t="shared" si="26"/>
        <v>0</v>
      </c>
      <c r="AX43" s="143">
        <v>1</v>
      </c>
      <c r="AY43" s="144">
        <v>9</v>
      </c>
      <c r="AZ43" s="144">
        <v>8</v>
      </c>
      <c r="BA43" s="144"/>
      <c r="BB43" s="534">
        <f t="shared" si="27"/>
        <v>4</v>
      </c>
      <c r="BC43" s="143">
        <v>4</v>
      </c>
      <c r="BD43" s="144">
        <v>3</v>
      </c>
      <c r="BE43" s="144">
        <v>2</v>
      </c>
      <c r="BF43" s="144"/>
      <c r="BG43" s="534">
        <f t="shared" si="28"/>
        <v>4</v>
      </c>
      <c r="BH43" s="143">
        <v>5</v>
      </c>
      <c r="BI43" s="144">
        <v>1</v>
      </c>
      <c r="BJ43" s="144">
        <v>6</v>
      </c>
      <c r="BK43" s="144" t="s">
        <v>254</v>
      </c>
      <c r="BL43" s="534">
        <f t="shared" si="29"/>
        <v>0</v>
      </c>
      <c r="BM43" s="143">
        <v>2</v>
      </c>
      <c r="BN43" s="144">
        <v>3</v>
      </c>
      <c r="BO43" s="144">
        <v>9</v>
      </c>
      <c r="BP43" s="144"/>
      <c r="BQ43" s="534">
        <f t="shared" si="30"/>
        <v>4</v>
      </c>
      <c r="BR43" s="143"/>
      <c r="BS43" s="144"/>
      <c r="BT43" s="144"/>
      <c r="BU43" s="144"/>
      <c r="BV43" s="534">
        <f t="shared" si="31"/>
        <v>0</v>
      </c>
      <c r="BW43" s="143"/>
      <c r="BX43" s="144"/>
      <c r="BY43" s="144"/>
      <c r="BZ43" s="144"/>
      <c r="CA43" s="534">
        <f t="shared" si="32"/>
        <v>0</v>
      </c>
      <c r="CB43" s="143"/>
      <c r="CC43" s="144"/>
      <c r="CD43" s="144"/>
      <c r="CE43" s="144"/>
      <c r="CF43" s="534">
        <f t="shared" si="33"/>
        <v>0</v>
      </c>
      <c r="CG43" s="162">
        <f>IF(BASE01[[#This Row],[1]]="",0,$B$4)</f>
        <v>13</v>
      </c>
      <c r="CH43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6</v>
      </c>
      <c r="CI43" s="164">
        <f>IF(BASE01[[#This Row],[Columna14]]=0,0,(CH43/CG43))</f>
        <v>0.46153846153846156</v>
      </c>
      <c r="CJ43" s="163">
        <f>IF(BASE01[[#This Row],[1]]="",0,$B$4)</f>
        <v>13</v>
      </c>
      <c r="CK43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8</v>
      </c>
      <c r="CL43" s="164">
        <f>IF(BASE01[[#This Row],[Columna14]]=0,0,(CK43/CJ43))</f>
        <v>0.61538461538461542</v>
      </c>
      <c r="CM43" s="162">
        <f>IF(BASE01[[#This Row],[1]]="",0,$B$4)</f>
        <v>13</v>
      </c>
      <c r="CN43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9</v>
      </c>
      <c r="CO43" s="164">
        <f>IF(BASE01[[#This Row],[Columna14]]=0,0,(CN43/CM43))</f>
        <v>0.69230769230769229</v>
      </c>
      <c r="CP43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43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Row],[Columna25]],$AX$5,BA43,"SF")+COUNTIFS(BASE01[[#This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43" s="164">
        <f>IF(BASE01[[#This Row],[Columna14]]=0,0,(CQ43/CP43))</f>
        <v>0.66666666666666663</v>
      </c>
      <c r="CS43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40</v>
      </c>
      <c r="CT43" s="93"/>
      <c r="CU43" s="536">
        <f t="shared" si="34"/>
        <v>40</v>
      </c>
      <c r="CV43" s="94">
        <f>IF(BASE01[[#This Row],[TIPO]]="PREMIO",$O$3,"0,00")</f>
        <v>1000</v>
      </c>
      <c r="CW43" s="515"/>
      <c r="CY43" s="538" t="str">
        <f t="shared" si="17"/>
        <v/>
      </c>
      <c r="CZ43" s="387"/>
      <c r="DA43" s="387" t="str">
        <f t="array" ref="DA43">IF(CZ43="", "", IF((INDEX(E$8:CE$57, MATCH(CZ43, C$8:C$57, 0), ($CZ$25-1)*5 + 1) &amp; "") = (INDEX(E$5:CE$5, 1, ($CZ$25-1)*5 + 1) &amp; ""), 1, IF((INDEX(E$8:CE$57, MATCH(CZ43, C$8:C$57, 0), ($CZ$25-1)*5 + 2) &amp; "") = (INDEX(E$5:CE$5, 1, ($CZ$25-1)*5 + 1) &amp; ""), 2, IF((INDEX(E$8:CE$57, MATCH(CZ43, C$8:C$57, 0), ($CZ$25-1)*5 + 3) &amp; "") = (INDEX(E$5:CE$5, 1, ($CZ$25-1)*5 + 1) &amp; ""), 3, ""))))</f>
        <v/>
      </c>
      <c r="DB43" s="537" t="str">
        <f>BASE01[[#This Row],[COD]]</f>
        <v>COD 36</v>
      </c>
      <c r="DC43" s="390" t="str">
        <f t="array" ref="DC43">IFERROR(IF(AND(INDEX($E$8:$CE$57, MATCH($C43, $C$8:$C$57, 0), (COLUMNS($DC43:DC43)-1)*5 + 1) = INDEX($E$5:$CE$5, 1, (COLUMNS($DC43:DC43)-1)*5 + 1), INDEX($E$8:$CE$57, MATCH($C43, $C$8:$C$57, 0), (COLUMNS($DC43:DC43)-1)*5 + 4) = "F"), INDEX($CZ$8:$CZ$23, COLUMNS($DC43:DC43)), "0"), "")</f>
        <v>0</v>
      </c>
      <c r="DD43" s="390" t="str">
        <f t="array" ref="DD43">IFERROR(IF(AND(INDEX($E$8:$CE$57, MATCH($C43, $C$8:$C$57, 0), (COLUMNS($DC43:DD43)-1)*5 + 1) = INDEX($E$5:$CE$5, 1, (COLUMNS($DC43:DD43)-1)*5 + 1), INDEX($E$8:$CE$57, MATCH($C43, $C$8:$C$57, 0), (COLUMNS($DC43:DD43)-1)*5 + 4) = "F"), INDEX($CZ$8:$CZ$23, COLUMNS($DC43:DD43)), "0"), "")</f>
        <v>0</v>
      </c>
      <c r="DE43" s="390" t="str">
        <f t="array" ref="DE43">IFERROR(IF(AND(INDEX($E$8:$CE$57, MATCH($C43, $C$8:$C$57, 0), (COLUMNS($DC43:DE43)-1)*5 + 1) = INDEX($E$5:$CE$5, 1, (COLUMNS($DC43:DE43)-1)*5 + 1), INDEX($E$8:$CE$57, MATCH($C43, $C$8:$C$57, 0), (COLUMNS($DC43:DE43)-1)*5 + 4) = "F"), INDEX($CZ$8:$CZ$23, COLUMNS($DC43:DE43)), "0"), "")</f>
        <v>0</v>
      </c>
      <c r="DF43" s="390" t="str">
        <f t="array" ref="DF43">IFERROR(IF(AND(INDEX($E$8:$CE$57, MATCH($C43, $C$8:$C$57, 0), (COLUMNS($DC43:DF43)-1)*5 + 1) = INDEX($E$5:$CE$5, 1, (COLUMNS($DC43:DF43)-1)*5 + 1), INDEX($E$8:$CE$57, MATCH($C43, $C$8:$C$57, 0), (COLUMNS($DC43:DF43)-1)*5 + 4) = "F"), INDEX($CZ$8:$CZ$23, COLUMNS($DC43:DF43)), "0"), "")</f>
        <v>0</v>
      </c>
      <c r="DG43" s="390">
        <f t="array" ref="DG43">IFERROR(IF(AND(INDEX($E$8:$CE$57, MATCH($C43, $C$8:$C$57, 0), (COLUMNS($DC43:DG43)-1)*5 + 1) = INDEX($E$5:$CE$5, 1, (COLUMNS($DC43:DG43)-1)*5 + 1), INDEX($E$8:$CE$57, MATCH($C43, $C$8:$C$57, 0), (COLUMNS($DC43:DG43)-1)*5 + 4) = "F"), INDEX($CZ$8:$CZ$23, COLUMNS($DC43:DG43)), "0"), "")</f>
        <v>110</v>
      </c>
      <c r="DH43" s="390" t="str">
        <f t="array" ref="DH43">IFERROR(IF(AND(INDEX($E$8:$CE$57, MATCH($C43, $C$8:$C$57, 0), (COLUMNS($DC43:DH43)-1)*5 + 1) = INDEX($E$5:$CE$5, 1, (COLUMNS($DC43:DH43)-1)*5 + 1), INDEX($E$8:$CE$57, MATCH($C43, $C$8:$C$57, 0), (COLUMNS($DC43:DH43)-1)*5 + 4) = "F"), INDEX($CZ$8:$CZ$23, COLUMNS($DC43:DH43)), "0"), "")</f>
        <v>0</v>
      </c>
      <c r="DI43" s="390" t="str">
        <f t="array" ref="DI43">IFERROR(IF(AND(INDEX($E$8:$CE$57, MATCH($C43, $C$8:$C$57, 0), (COLUMNS($DC43:DI43)-1)*5 + 1) = INDEX($E$5:$CE$5, 1, (COLUMNS($DC43:DI43)-1)*5 + 1), INDEX($E$8:$CE$57, MATCH($C43, $C$8:$C$57, 0), (COLUMNS($DC43:DI43)-1)*5 + 4) = "F"), INDEX($CZ$8:$CZ$23, COLUMNS($DC43:DI43)), "0"), "")</f>
        <v>0</v>
      </c>
      <c r="DJ43" s="390" t="str">
        <f t="array" ref="DJ43">IFERROR(IF(AND(INDEX($E$8:$CE$57, MATCH($C43, $C$8:$C$57, 0), (COLUMNS($DC43:DJ43)-1)*5 + 1) = INDEX($E$5:$CE$5, 1, (COLUMNS($DC43:DJ43)-1)*5 + 1), INDEX($E$8:$CE$57, MATCH($C43, $C$8:$C$57, 0), (COLUMNS($DC43:DJ43)-1)*5 + 4) = "F"), INDEX($CZ$8:$CZ$23, COLUMNS($DC43:DJ43)), "0"), "")</f>
        <v>0</v>
      </c>
      <c r="DK43" s="390" t="str">
        <f t="array" ref="DK43">IFERROR(IF(AND(INDEX($E$8:$CE$57, MATCH($C43, $C$8:$C$57, 0), (COLUMNS($DC43:DK43)-1)*5 + 1) = INDEX($E$5:$CE$5, 1, (COLUMNS($DC43:DK43)-1)*5 + 1), INDEX($E$8:$CE$57, MATCH($C43, $C$8:$C$57, 0), (COLUMNS($DC43:DK43)-1)*5 + 4) = "F"), INDEX($CZ$8:$CZ$23, COLUMNS($DC43:DK43)), "0"), "")</f>
        <v>0</v>
      </c>
      <c r="DL43" s="390" t="str">
        <f t="array" ref="DL43">IFERROR(IF(AND(INDEX($E$8:$CE$57, MATCH($C43, $C$8:$C$57, 0), (COLUMNS($DC43:DL43)-1)*5 + 1) = INDEX($E$5:$CE$5, 1, (COLUMNS($DC43:DL43)-1)*5 + 1), INDEX($E$8:$CE$57, MATCH($C43, $C$8:$C$57, 0), (COLUMNS($DC43:DL43)-1)*5 + 4) = "F"), INDEX($CZ$8:$CZ$23, COLUMNS($DC43:DL43)), "0"), "")</f>
        <v>0</v>
      </c>
      <c r="DM43" s="390" t="str">
        <f t="array" ref="DM43">IFERROR(IF(AND(INDEX($E$8:$CE$57, MATCH($C43, $C$8:$C$57, 0), (COLUMNS($DC43:DM43)-1)*5 + 1) = INDEX($E$5:$CE$5, 1, (COLUMNS($DC43:DM43)-1)*5 + 1), INDEX($E$8:$CE$57, MATCH($C43, $C$8:$C$57, 0), (COLUMNS($DC43:DM43)-1)*5 + 4) = "F"), INDEX($CZ$8:$CZ$23, COLUMNS($DC43:DM43)), "0"), "")</f>
        <v>0</v>
      </c>
      <c r="DN43" s="390" t="str">
        <f t="array" ref="DN43">IFERROR(IF(AND(INDEX($E$8:$CE$57, MATCH($C43, $C$8:$C$57, 0), (COLUMNS($DC43:DN43)-1)*5 + 1) = INDEX($E$5:$CE$5, 1, (COLUMNS($DC43:DN43)-1)*5 + 1), INDEX($E$8:$CE$57, MATCH($C43, $C$8:$C$57, 0), (COLUMNS($DC43:DN43)-1)*5 + 4) = "F"), INDEX($CZ$8:$CZ$23, COLUMNS($DC43:DN43)), "0"), "")</f>
        <v>0</v>
      </c>
      <c r="DO43" s="390" t="str">
        <f t="array" ref="DO43">IFERROR(IF(AND(INDEX($E$8:$CE$57, MATCH($C43, $C$8:$C$57, 0), (COLUMNS($DC43:DO43)-1)*5 + 1) = INDEX($E$5:$CE$5, 1, (COLUMNS($DC43:DO43)-1)*5 + 1), INDEX($E$8:$CE$57, MATCH($C43, $C$8:$C$57, 0), (COLUMNS($DC43:DO43)-1)*5 + 4) = "F"), INDEX($CZ$8:$CZ$23, COLUMNS($DC43:DO43)), "0"), "")</f>
        <v>0</v>
      </c>
      <c r="DP43" s="390" t="str">
        <f t="array" ref="DP43">IFERROR(IF(AND(INDEX($E$8:$CE$57, MATCH($C43, $C$8:$C$57, 0), (COLUMNS($DC43:DP43)-1)*5 + 1) = INDEX($E$5:$CE$5, 1, (COLUMNS($DC43:DP43)-1)*5 + 1), INDEX($E$8:$CE$57, MATCH($C43, $C$8:$C$57, 0), (COLUMNS($DC43:DP43)-1)*5 + 4) = "F"), INDEX($CZ$8:$CZ$23, COLUMNS($DC43:DP43)), "0"), "")</f>
        <v>0</v>
      </c>
      <c r="DQ43" s="390" t="str">
        <f t="array" ref="DQ43">IFERROR(IF(AND(INDEX($E$8:$CE$57, MATCH($C43, $C$8:$C$57, 0), (COLUMNS($DC43:DQ43)-1)*5 + 1) = INDEX($E$5:$CE$5, 1, (COLUMNS($DC43:DQ43)-1)*5 + 1), INDEX($E$8:$CE$57, MATCH($C43, $C$8:$C$57, 0), (COLUMNS($DC43:DQ43)-1)*5 + 4) = "F"), INDEX($CZ$8:$CZ$23, COLUMNS($DC43:DQ43)), "0"), "")</f>
        <v>0</v>
      </c>
      <c r="DR43" s="390" t="str">
        <f t="array" ref="DR43">IFERROR(IF(AND(INDEX($E$8:$CE$57, MATCH($C43, $C$8:$C$57, 0), (COLUMNS($DC43:DR43)-1)*5 + 1) = INDEX($E$5:$CE$5, 1, (COLUMNS($DC43:DR43)-1)*5 + 1), INDEX($E$8:$CE$57, MATCH($C43, $C$8:$C$57, 0), (COLUMNS($DC43:DR43)-1)*5 + 4) = "F"), INDEX($CZ$8:$CZ$23, COLUMNS($DC43:DR43)), "0"), "")</f>
        <v>0</v>
      </c>
      <c r="DT43" s="537" t="str">
        <f>BASE01[[#This Row],[COD]]</f>
        <v>COD 36</v>
      </c>
      <c r="DU43" s="390" t="str">
        <f t="array" ref="DU43">IFERROR(IF(AND(INDEX($E$8:$CE$57, MATCH($C43, $C$8:$C$57, 0), (COLUMNS($DU43:DU43)-1)*5 + 1) = INDEX($E$5:$CE$5, 1, (COLUMNS($DU43:DU43)-1)*5 + 1), INDEX($E$8:$CE$57, MATCH($C43, $C$8:$C$57, 0), (COLUMNS($DU43:DU43)-1)*5 + 4) = "SF"), INDEX($CZ$8:$CZ$23, COLUMNS($DU43:DU43)), "0"), "")</f>
        <v>0</v>
      </c>
      <c r="DV43" s="390" t="str">
        <f t="array" ref="DV43">IFERROR(IF(AND(INDEX($E$8:$CE$57, MATCH($C43, $C$8:$C$57, 0), (COLUMNS($DU43:DV43)-1)*5 + 1) = INDEX($E$5:$CE$5, 1, (COLUMNS($DU43:DV43)-1)*5 + 1), INDEX($E$8:$CE$57, MATCH($C43, $C$8:$C$57, 0), (COLUMNS($DU43:DV43)-1)*5 + 4) = "SF"), INDEX($CZ$8:$CZ$23, COLUMNS($DU43:DV43)), "0"), "")</f>
        <v>0</v>
      </c>
      <c r="DW43" s="390" t="str">
        <f t="array" ref="DW43">IFERROR(IF(AND(INDEX($E$8:$CE$57, MATCH($C43, $C$8:$C$57, 0), (COLUMNS($DU43:DW43)-1)*5 + 1) = INDEX($E$5:$CE$5, 1, (COLUMNS($DU43:DW43)-1)*5 + 1), INDEX($E$8:$CE$57, MATCH($C43, $C$8:$C$57, 0), (COLUMNS($DU43:DW43)-1)*5 + 4) = "SF"), INDEX($CZ$8:$CZ$23, COLUMNS($DU43:DW43)), "0"), "")</f>
        <v>0</v>
      </c>
      <c r="DX43" s="390">
        <f t="array" ref="DX43">IFERROR(IF(AND(INDEX($E$8:$CE$57, MATCH($C43, $C$8:$C$57, 0), (COLUMNS($DU43:DX43)-1)*5 + 1) = INDEX($E$5:$CE$5, 1, (COLUMNS($DU43:DX43)-1)*5 + 1), INDEX($E$8:$CE$57, MATCH($C43, $C$8:$C$57, 0), (COLUMNS($DU43:DX43)-1)*5 + 4) = "SF"), INDEX($CZ$8:$CZ$23, COLUMNS($DU43:DX43)), "0"), "")</f>
        <v>110</v>
      </c>
      <c r="DY43" s="390" t="str">
        <f t="array" ref="DY43">IFERROR(IF(AND(INDEX($E$8:$CE$57, MATCH($C43, $C$8:$C$57, 0), (COLUMNS($DU43:DY43)-1)*5 + 1) = INDEX($E$5:$CE$5, 1, (COLUMNS($DU43:DY43)-1)*5 + 1), INDEX($E$8:$CE$57, MATCH($C43, $C$8:$C$57, 0), (COLUMNS($DU43:DY43)-1)*5 + 4) = "SF"), INDEX($CZ$8:$CZ$23, COLUMNS($DU43:DY43)), "0"), "")</f>
        <v>0</v>
      </c>
      <c r="DZ43" s="390" t="str">
        <f t="array" ref="DZ43">IFERROR(IF(AND(INDEX($E$8:$CE$57, MATCH($C43, $C$8:$C$57, 0), (COLUMNS($DU43:DZ43)-1)*5 + 1) = INDEX($E$5:$CE$5, 1, (COLUMNS($DU43:DZ43)-1)*5 + 1), INDEX($E$8:$CE$57, MATCH($C43, $C$8:$C$57, 0), (COLUMNS($DU43:DZ43)-1)*5 + 4) = "SF"), INDEX($CZ$8:$CZ$23, COLUMNS($DU43:DZ43)), "0"), "")</f>
        <v>0</v>
      </c>
      <c r="EA43" s="390" t="str">
        <f t="array" ref="EA43">IFERROR(IF(AND(INDEX($E$8:$CE$57, MATCH($C43, $C$8:$C$57, 0), (COLUMNS($DU43:EA43)-1)*5 + 1) = INDEX($E$5:$CE$5, 1, (COLUMNS($DU43:EA43)-1)*5 + 1), INDEX($E$8:$CE$57, MATCH($C43, $C$8:$C$57, 0), (COLUMNS($DU43:EA43)-1)*5 + 4) = "SF"), INDEX($CZ$8:$CZ$23, COLUMNS($DU43:EA43)), "0"), "")</f>
        <v>0</v>
      </c>
      <c r="EB43" s="390" t="str">
        <f t="array" ref="EB43">IFERROR(IF(AND(INDEX($E$8:$CE$57, MATCH($C43, $C$8:$C$57, 0), (COLUMNS($DU43:EB43)-1)*5 + 1) = INDEX($E$5:$CE$5, 1, (COLUMNS($DU43:EB43)-1)*5 + 1), INDEX($E$8:$CE$57, MATCH($C43, $C$8:$C$57, 0), (COLUMNS($DU43:EB43)-1)*5 + 4) = "SF"), INDEX($CZ$8:$CZ$23, COLUMNS($DU43:EB43)), "0"), "")</f>
        <v>0</v>
      </c>
      <c r="EC43" s="390" t="str">
        <f t="array" ref="EC43">IFERROR(IF(AND(INDEX($E$8:$CE$57, MATCH($C43, $C$8:$C$57, 0), (COLUMNS($DU43:EC43)-1)*5 + 1) = INDEX($E$5:$CE$5, 1, (COLUMNS($DU43:EC43)-1)*5 + 1), INDEX($E$8:$CE$57, MATCH($C43, $C$8:$C$57, 0), (COLUMNS($DU43:EC43)-1)*5 + 4) = "SF"), INDEX($CZ$8:$CZ$23, COLUMNS($DU43:EC43)), "0"), "")</f>
        <v>0</v>
      </c>
      <c r="ED43" s="390" t="str">
        <f t="array" ref="ED43">IFERROR(IF(AND(INDEX($E$8:$CE$57, MATCH($C43, $C$8:$C$57, 0), (COLUMNS($DU43:ED43)-1)*5 + 1) = INDEX($E$5:$CE$5, 1, (COLUMNS($DU43:ED43)-1)*5 + 1), INDEX($E$8:$CE$57, MATCH($C43, $C$8:$C$57, 0), (COLUMNS($DU43:ED43)-1)*5 + 4) = "SF"), INDEX($CZ$8:$CZ$23, COLUMNS($DU43:ED43)), "0"), "")</f>
        <v>0</v>
      </c>
      <c r="EE43" s="390" t="str">
        <f t="array" ref="EE43">IFERROR(IF(AND(INDEX($E$8:$CE$57, MATCH($C43, $C$8:$C$57, 0), (COLUMNS($DU43:EE43)-1)*5 + 1) = INDEX($E$5:$CE$5, 1, (COLUMNS($DU43:EE43)-1)*5 + 1), INDEX($E$8:$CE$57, MATCH($C43, $C$8:$C$57, 0), (COLUMNS($DU43:EE43)-1)*5 + 4) = "SF"), INDEX($CZ$8:$CZ$23, COLUMNS($DU43:EE43)), "0"), "")</f>
        <v>0</v>
      </c>
      <c r="EF43" s="390" t="str">
        <f t="array" ref="EF43">IFERROR(IF(AND(INDEX($E$8:$CE$57, MATCH($C43, $C$8:$C$57, 0), (COLUMNS($DU43:EF43)-1)*5 + 1) = INDEX($E$5:$CE$5, 1, (COLUMNS($DU43:EF43)-1)*5 + 1), INDEX($E$8:$CE$57, MATCH($C43, $C$8:$C$57, 0), (COLUMNS($DU43:EF43)-1)*5 + 4) = "SF"), INDEX($CZ$8:$CZ$23, COLUMNS($DU43:EF43)), "0"), "")</f>
        <v>0</v>
      </c>
      <c r="EG43" s="390" t="str">
        <f t="array" ref="EG43">IFERROR(IF(AND(INDEX($E$8:$CE$57, MATCH($C43, $C$8:$C$57, 0), (COLUMNS($DU43:EG43)-1)*5 + 1) = INDEX($E$5:$CE$5, 1, (COLUMNS($DU43:EG43)-1)*5 + 1), INDEX($E$8:$CE$57, MATCH($C43, $C$8:$C$57, 0), (COLUMNS($DU43:EG43)-1)*5 + 4) = "SF"), INDEX($CZ$8:$CZ$23, COLUMNS($DU43:EG43)), "0"), "")</f>
        <v>0</v>
      </c>
      <c r="EH43" s="390" t="str">
        <f t="array" ref="EH43">IFERROR(IF(AND(INDEX($E$8:$CE$57, MATCH($C43, $C$8:$C$57, 0), (COLUMNS($DU43:EH43)-1)*5 + 1) = INDEX($E$5:$CE$5, 1, (COLUMNS($DU43:EH43)-1)*5 + 1), INDEX($E$8:$CE$57, MATCH($C43, $C$8:$C$57, 0), (COLUMNS($DU43:EH43)-1)*5 + 4) = "SF"), INDEX($CZ$8:$CZ$23, COLUMNS($DU43:EH43)), "0"), "")</f>
        <v>0</v>
      </c>
      <c r="EI43" s="390" t="str">
        <f t="array" ref="EI43">IFERROR(IF(AND(INDEX($E$8:$CE$57, MATCH($C43, $C$8:$C$57, 0), (COLUMNS($DU43:EI43)-1)*5 + 1) = INDEX($E$5:$CE$5, 1, (COLUMNS($DU43:EI43)-1)*5 + 1), INDEX($E$8:$CE$57, MATCH($C43, $C$8:$C$57, 0), (COLUMNS($DU43:EI43)-1)*5 + 4) = "SF"), INDEX($CZ$8:$CZ$23, COLUMNS($DU43:EI43)), "0"), "")</f>
        <v>0</v>
      </c>
      <c r="EJ43" s="390" t="str">
        <f t="array" ref="EJ43">IFERROR(IF(AND(INDEX($E$8:$CE$57, MATCH($C43, $C$8:$C$57, 0), (COLUMNS($DU43:EJ43)-1)*5 + 1) = INDEX($E$5:$CE$5, 1, (COLUMNS($DU43:EJ43)-1)*5 + 1), INDEX($E$8:$CE$57, MATCH($C43, $C$8:$C$57, 0), (COLUMNS($DU43:EJ43)-1)*5 + 4) = "SF"), INDEX($CZ$8:$CZ$23, COLUMNS($DU43:EJ43)), "0"), "")</f>
        <v>0</v>
      </c>
    </row>
    <row r="44" spans="1:140" ht="20.100000000000001" customHeight="1" x14ac:dyDescent="0.35">
      <c r="A44" s="515"/>
      <c r="B44" s="91">
        <f>IF(BASE01[[#This Row],[COD]]&lt;&gt;"",B43+1,"")</f>
        <v>37</v>
      </c>
      <c r="C44" s="533" t="s">
        <v>103</v>
      </c>
      <c r="D44" s="92" t="str">
        <f t="array" ref="D44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44" s="143">
        <v>1</v>
      </c>
      <c r="F44" s="144">
        <v>6</v>
      </c>
      <c r="G44" s="144">
        <v>8</v>
      </c>
      <c r="H44" s="144"/>
      <c r="I44" s="534">
        <f t="shared" si="18"/>
        <v>1</v>
      </c>
      <c r="J44" s="143">
        <v>5</v>
      </c>
      <c r="K44" s="144">
        <v>8</v>
      </c>
      <c r="L44" s="144">
        <v>3</v>
      </c>
      <c r="M44" s="144"/>
      <c r="N44" s="534">
        <f t="shared" si="19"/>
        <v>3</v>
      </c>
      <c r="O44" s="143">
        <v>2</v>
      </c>
      <c r="P44" s="144">
        <v>8</v>
      </c>
      <c r="Q44" s="144">
        <v>6</v>
      </c>
      <c r="R44" s="144"/>
      <c r="S44" s="534">
        <f t="shared" si="20"/>
        <v>1</v>
      </c>
      <c r="T44" s="143">
        <v>6</v>
      </c>
      <c r="U44" s="144">
        <v>1</v>
      </c>
      <c r="V44" s="144">
        <v>8</v>
      </c>
      <c r="W44" s="144" t="s">
        <v>254</v>
      </c>
      <c r="X44" s="534">
        <f t="shared" si="21"/>
        <v>4.5</v>
      </c>
      <c r="Y44" s="143">
        <v>5</v>
      </c>
      <c r="Z44" s="144"/>
      <c r="AA44" s="144"/>
      <c r="AB44" s="144" t="s">
        <v>255</v>
      </c>
      <c r="AC44" s="534">
        <f t="shared" si="22"/>
        <v>7.5</v>
      </c>
      <c r="AD44" s="143">
        <v>5</v>
      </c>
      <c r="AE44" s="144">
        <v>7</v>
      </c>
      <c r="AF44" s="144">
        <v>2</v>
      </c>
      <c r="AG44" s="144"/>
      <c r="AH44" s="534">
        <f t="shared" si="23"/>
        <v>3</v>
      </c>
      <c r="AI44" s="143">
        <v>7</v>
      </c>
      <c r="AJ44" s="144">
        <v>4</v>
      </c>
      <c r="AK44" s="144">
        <v>3</v>
      </c>
      <c r="AL44" s="144"/>
      <c r="AM44" s="534">
        <f t="shared" si="24"/>
        <v>2</v>
      </c>
      <c r="AN44" s="143">
        <v>9</v>
      </c>
      <c r="AO44" s="144">
        <v>11</v>
      </c>
      <c r="AP44" s="144">
        <v>8</v>
      </c>
      <c r="AQ44" s="144"/>
      <c r="AR44" s="534">
        <f t="shared" si="25"/>
        <v>0</v>
      </c>
      <c r="AS44" s="143">
        <v>4</v>
      </c>
      <c r="AT44" s="144">
        <v>1</v>
      </c>
      <c r="AU44" s="144">
        <v>7</v>
      </c>
      <c r="AV44" s="144"/>
      <c r="AW44" s="534">
        <f t="shared" si="26"/>
        <v>9</v>
      </c>
      <c r="AX44" s="143">
        <v>9</v>
      </c>
      <c r="AY44" s="144">
        <v>1</v>
      </c>
      <c r="AZ44" s="144">
        <v>8</v>
      </c>
      <c r="BA44" s="144" t="s">
        <v>254</v>
      </c>
      <c r="BB44" s="534">
        <f t="shared" si="27"/>
        <v>2</v>
      </c>
      <c r="BC44" s="143">
        <v>8</v>
      </c>
      <c r="BD44" s="144">
        <v>2</v>
      </c>
      <c r="BE44" s="144">
        <v>4</v>
      </c>
      <c r="BF44" s="144"/>
      <c r="BG44" s="534">
        <f t="shared" si="28"/>
        <v>1</v>
      </c>
      <c r="BH44" s="143">
        <v>5</v>
      </c>
      <c r="BI44" s="144">
        <v>2</v>
      </c>
      <c r="BJ44" s="144">
        <v>1</v>
      </c>
      <c r="BK44" s="144"/>
      <c r="BL44" s="534">
        <f t="shared" si="29"/>
        <v>3</v>
      </c>
      <c r="BM44" s="143">
        <v>3</v>
      </c>
      <c r="BN44" s="144">
        <v>12</v>
      </c>
      <c r="BO44" s="144">
        <v>1</v>
      </c>
      <c r="BP44" s="144"/>
      <c r="BQ44" s="534">
        <f t="shared" si="30"/>
        <v>4</v>
      </c>
      <c r="BR44" s="143"/>
      <c r="BS44" s="144"/>
      <c r="BT44" s="144"/>
      <c r="BU44" s="144"/>
      <c r="BV44" s="534">
        <f t="shared" si="31"/>
        <v>0</v>
      </c>
      <c r="BW44" s="143"/>
      <c r="BX44" s="144"/>
      <c r="BY44" s="144"/>
      <c r="BZ44" s="144"/>
      <c r="CA44" s="534">
        <f t="shared" si="32"/>
        <v>0</v>
      </c>
      <c r="CB44" s="143"/>
      <c r="CC44" s="144"/>
      <c r="CD44" s="144"/>
      <c r="CE44" s="144"/>
      <c r="CF44" s="534">
        <f t="shared" si="33"/>
        <v>0</v>
      </c>
      <c r="CG44" s="162">
        <f>IF(BASE01[[#This Row],[1]]="",0,$B$4)</f>
        <v>13</v>
      </c>
      <c r="CH44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4</v>
      </c>
      <c r="CI44" s="164">
        <f>IF(BASE01[[#This Row],[Columna14]]=0,0,(CH44/CG44))</f>
        <v>0.30769230769230771</v>
      </c>
      <c r="CJ44" s="163">
        <f>IF(BASE01[[#This Row],[1]]="",0,$B$4)</f>
        <v>13</v>
      </c>
      <c r="CK44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7</v>
      </c>
      <c r="CL44" s="164">
        <f>IF(BASE01[[#This Row],[Columna14]]=0,0,(CK44/CJ44))</f>
        <v>0.53846153846153844</v>
      </c>
      <c r="CM44" s="162">
        <f>IF(BASE01[[#This Row],[1]]="",0,$B$4)</f>
        <v>13</v>
      </c>
      <c r="CN44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12</v>
      </c>
      <c r="CO44" s="164">
        <f>IF(BASE01[[#This Row],[Columna14]]=0,0,(CN44/CM44))</f>
        <v>0.92307692307692313</v>
      </c>
      <c r="CP44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44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Row],[Columna25]],$AX$5,BA44,"SF")+COUNTIFS(BASE01[[#This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44" s="164">
        <f>IF(BASE01[[#This Row],[Columna14]]=0,0,(CQ44/CP44))</f>
        <v>0.66666666666666663</v>
      </c>
      <c r="CS44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41</v>
      </c>
      <c r="CT44" s="93"/>
      <c r="CU44" s="536">
        <f t="shared" si="34"/>
        <v>41</v>
      </c>
      <c r="CV44" s="94">
        <f>IF(BASE01[[#This Row],[TIPO]]="PREMIO",$O$3,"0,00")</f>
        <v>1000</v>
      </c>
      <c r="CW44" s="515"/>
      <c r="CY44" s="538" t="str">
        <f t="shared" si="17"/>
        <v/>
      </c>
      <c r="CZ44" s="387"/>
      <c r="DA44" s="387" t="str">
        <f t="array" ref="DA44">IF(CZ44="", "", IF((INDEX(E$8:CE$57, MATCH(CZ44, C$8:C$57, 0), ($CZ$25-1)*5 + 1) &amp; "") = (INDEX(E$5:CE$5, 1, ($CZ$25-1)*5 + 1) &amp; ""), 1, IF((INDEX(E$8:CE$57, MATCH(CZ44, C$8:C$57, 0), ($CZ$25-1)*5 + 2) &amp; "") = (INDEX(E$5:CE$5, 1, ($CZ$25-1)*5 + 1) &amp; ""), 2, IF((INDEX(E$8:CE$57, MATCH(CZ44, C$8:C$57, 0), ($CZ$25-1)*5 + 3) &amp; "") = (INDEX(E$5:CE$5, 1, ($CZ$25-1)*5 + 1) &amp; ""), 3, ""))))</f>
        <v/>
      </c>
      <c r="DB44" s="537" t="str">
        <f>BASE01[[#This Row],[COD]]</f>
        <v>COD 37</v>
      </c>
      <c r="DC44" s="390" t="str">
        <f t="array" ref="DC44">IFERROR(IF(AND(INDEX($E$8:$CE$57, MATCH($C44, $C$8:$C$57, 0), (COLUMNS($DC44:DC44)-1)*5 + 1) = INDEX($E$5:$CE$5, 1, (COLUMNS($DC44:DC44)-1)*5 + 1), INDEX($E$8:$CE$57, MATCH($C44, $C$8:$C$57, 0), (COLUMNS($DC44:DC44)-1)*5 + 4) = "F"), INDEX($CZ$8:$CZ$23, COLUMNS($DC44:DC44)), "0"), "")</f>
        <v>0</v>
      </c>
      <c r="DD44" s="390" t="str">
        <f t="array" ref="DD44">IFERROR(IF(AND(INDEX($E$8:$CE$57, MATCH($C44, $C$8:$C$57, 0), (COLUMNS($DC44:DD44)-1)*5 + 1) = INDEX($E$5:$CE$5, 1, (COLUMNS($DC44:DD44)-1)*5 + 1), INDEX($E$8:$CE$57, MATCH($C44, $C$8:$C$57, 0), (COLUMNS($DC44:DD44)-1)*5 + 4) = "F"), INDEX($CZ$8:$CZ$23, COLUMNS($DC44:DD44)), "0"), "")</f>
        <v>0</v>
      </c>
      <c r="DE44" s="390" t="str">
        <f t="array" ref="DE44">IFERROR(IF(AND(INDEX($E$8:$CE$57, MATCH($C44, $C$8:$C$57, 0), (COLUMNS($DC44:DE44)-1)*5 + 1) = INDEX($E$5:$CE$5, 1, (COLUMNS($DC44:DE44)-1)*5 + 1), INDEX($E$8:$CE$57, MATCH($C44, $C$8:$C$57, 0), (COLUMNS($DC44:DE44)-1)*5 + 4) = "F"), INDEX($CZ$8:$CZ$23, COLUMNS($DC44:DE44)), "0"), "")</f>
        <v>0</v>
      </c>
      <c r="DF44" s="390">
        <f t="array" ref="DF44">IFERROR(IF(AND(INDEX($E$8:$CE$57, MATCH($C44, $C$8:$C$57, 0), (COLUMNS($DC44:DF44)-1)*5 + 1) = INDEX($E$5:$CE$5, 1, (COLUMNS($DC44:DF44)-1)*5 + 1), INDEX($E$8:$CE$57, MATCH($C44, $C$8:$C$57, 0), (COLUMNS($DC44:DF44)-1)*5 + 4) = "F"), INDEX($CZ$8:$CZ$23, COLUMNS($DC44:DF44)), "0"), "")</f>
        <v>110</v>
      </c>
      <c r="DG44" s="390" t="str">
        <f t="array" ref="DG44">IFERROR(IF(AND(INDEX($E$8:$CE$57, MATCH($C44, $C$8:$C$57, 0), (COLUMNS($DC44:DG44)-1)*5 + 1) = INDEX($E$5:$CE$5, 1, (COLUMNS($DC44:DG44)-1)*5 + 1), INDEX($E$8:$CE$57, MATCH($C44, $C$8:$C$57, 0), (COLUMNS($DC44:DG44)-1)*5 + 4) = "F"), INDEX($CZ$8:$CZ$23, COLUMNS($DC44:DG44)), "0"), "")</f>
        <v>0</v>
      </c>
      <c r="DH44" s="390" t="str">
        <f t="array" ref="DH44">IFERROR(IF(AND(INDEX($E$8:$CE$57, MATCH($C44, $C$8:$C$57, 0), (COLUMNS($DC44:DH44)-1)*5 + 1) = INDEX($E$5:$CE$5, 1, (COLUMNS($DC44:DH44)-1)*5 + 1), INDEX($E$8:$CE$57, MATCH($C44, $C$8:$C$57, 0), (COLUMNS($DC44:DH44)-1)*5 + 4) = "F"), INDEX($CZ$8:$CZ$23, COLUMNS($DC44:DH44)), "0"), "")</f>
        <v>0</v>
      </c>
      <c r="DI44" s="390" t="str">
        <f t="array" ref="DI44">IFERROR(IF(AND(INDEX($E$8:$CE$57, MATCH($C44, $C$8:$C$57, 0), (COLUMNS($DC44:DI44)-1)*5 + 1) = INDEX($E$5:$CE$5, 1, (COLUMNS($DC44:DI44)-1)*5 + 1), INDEX($E$8:$CE$57, MATCH($C44, $C$8:$C$57, 0), (COLUMNS($DC44:DI44)-1)*5 + 4) = "F"), INDEX($CZ$8:$CZ$23, COLUMNS($DC44:DI44)), "0"), "")</f>
        <v>0</v>
      </c>
      <c r="DJ44" s="390" t="str">
        <f t="array" ref="DJ44">IFERROR(IF(AND(INDEX($E$8:$CE$57, MATCH($C44, $C$8:$C$57, 0), (COLUMNS($DC44:DJ44)-1)*5 + 1) = INDEX($E$5:$CE$5, 1, (COLUMNS($DC44:DJ44)-1)*5 + 1), INDEX($E$8:$CE$57, MATCH($C44, $C$8:$C$57, 0), (COLUMNS($DC44:DJ44)-1)*5 + 4) = "F"), INDEX($CZ$8:$CZ$23, COLUMNS($DC44:DJ44)), "0"), "")</f>
        <v>0</v>
      </c>
      <c r="DK44" s="390" t="str">
        <f t="array" ref="DK44">IFERROR(IF(AND(INDEX($E$8:$CE$57, MATCH($C44, $C$8:$C$57, 0), (COLUMNS($DC44:DK44)-1)*5 + 1) = INDEX($E$5:$CE$5, 1, (COLUMNS($DC44:DK44)-1)*5 + 1), INDEX($E$8:$CE$57, MATCH($C44, $C$8:$C$57, 0), (COLUMNS($DC44:DK44)-1)*5 + 4) = "F"), INDEX($CZ$8:$CZ$23, COLUMNS($DC44:DK44)), "0"), "")</f>
        <v>0</v>
      </c>
      <c r="DL44" s="390" t="str">
        <f t="array" ref="DL44">IFERROR(IF(AND(INDEX($E$8:$CE$57, MATCH($C44, $C$8:$C$57, 0), (COLUMNS($DC44:DL44)-1)*5 + 1) = INDEX($E$5:$CE$5, 1, (COLUMNS($DC44:DL44)-1)*5 + 1), INDEX($E$8:$CE$57, MATCH($C44, $C$8:$C$57, 0), (COLUMNS($DC44:DL44)-1)*5 + 4) = "F"), INDEX($CZ$8:$CZ$23, COLUMNS($DC44:DL44)), "0"), "")</f>
        <v>0</v>
      </c>
      <c r="DM44" s="390" t="str">
        <f t="array" ref="DM44">IFERROR(IF(AND(INDEX($E$8:$CE$57, MATCH($C44, $C$8:$C$57, 0), (COLUMNS($DC44:DM44)-1)*5 + 1) = INDEX($E$5:$CE$5, 1, (COLUMNS($DC44:DM44)-1)*5 + 1), INDEX($E$8:$CE$57, MATCH($C44, $C$8:$C$57, 0), (COLUMNS($DC44:DM44)-1)*5 + 4) = "F"), INDEX($CZ$8:$CZ$23, COLUMNS($DC44:DM44)), "0"), "")</f>
        <v>0</v>
      </c>
      <c r="DN44" s="390" t="str">
        <f t="array" ref="DN44">IFERROR(IF(AND(INDEX($E$8:$CE$57, MATCH($C44, $C$8:$C$57, 0), (COLUMNS($DC44:DN44)-1)*5 + 1) = INDEX($E$5:$CE$5, 1, (COLUMNS($DC44:DN44)-1)*5 + 1), INDEX($E$8:$CE$57, MATCH($C44, $C$8:$C$57, 0), (COLUMNS($DC44:DN44)-1)*5 + 4) = "F"), INDEX($CZ$8:$CZ$23, COLUMNS($DC44:DN44)), "0"), "")</f>
        <v>0</v>
      </c>
      <c r="DO44" s="390" t="str">
        <f t="array" ref="DO44">IFERROR(IF(AND(INDEX($E$8:$CE$57, MATCH($C44, $C$8:$C$57, 0), (COLUMNS($DC44:DO44)-1)*5 + 1) = INDEX($E$5:$CE$5, 1, (COLUMNS($DC44:DO44)-1)*5 + 1), INDEX($E$8:$CE$57, MATCH($C44, $C$8:$C$57, 0), (COLUMNS($DC44:DO44)-1)*5 + 4) = "F"), INDEX($CZ$8:$CZ$23, COLUMNS($DC44:DO44)), "0"), "")</f>
        <v>0</v>
      </c>
      <c r="DP44" s="390" t="str">
        <f t="array" ref="DP44">IFERROR(IF(AND(INDEX($E$8:$CE$57, MATCH($C44, $C$8:$C$57, 0), (COLUMNS($DC44:DP44)-1)*5 + 1) = INDEX($E$5:$CE$5, 1, (COLUMNS($DC44:DP44)-1)*5 + 1), INDEX($E$8:$CE$57, MATCH($C44, $C$8:$C$57, 0), (COLUMNS($DC44:DP44)-1)*5 + 4) = "F"), INDEX($CZ$8:$CZ$23, COLUMNS($DC44:DP44)), "0"), "")</f>
        <v>0</v>
      </c>
      <c r="DQ44" s="390" t="str">
        <f t="array" ref="DQ44">IFERROR(IF(AND(INDEX($E$8:$CE$57, MATCH($C44, $C$8:$C$57, 0), (COLUMNS($DC44:DQ44)-1)*5 + 1) = INDEX($E$5:$CE$5, 1, (COLUMNS($DC44:DQ44)-1)*5 + 1), INDEX($E$8:$CE$57, MATCH($C44, $C$8:$C$57, 0), (COLUMNS($DC44:DQ44)-1)*5 + 4) = "F"), INDEX($CZ$8:$CZ$23, COLUMNS($DC44:DQ44)), "0"), "")</f>
        <v>0</v>
      </c>
      <c r="DR44" s="390" t="str">
        <f t="array" ref="DR44">IFERROR(IF(AND(INDEX($E$8:$CE$57, MATCH($C44, $C$8:$C$57, 0), (COLUMNS($DC44:DR44)-1)*5 + 1) = INDEX($E$5:$CE$5, 1, (COLUMNS($DC44:DR44)-1)*5 + 1), INDEX($E$8:$CE$57, MATCH($C44, $C$8:$C$57, 0), (COLUMNS($DC44:DR44)-1)*5 + 4) = "F"), INDEX($CZ$8:$CZ$23, COLUMNS($DC44:DR44)), "0"), "")</f>
        <v>0</v>
      </c>
      <c r="DT44" s="537" t="str">
        <f>BASE01[[#This Row],[COD]]</f>
        <v>COD 37</v>
      </c>
      <c r="DU44" s="390" t="str">
        <f t="array" ref="DU44">IFERROR(IF(AND(INDEX($E$8:$CE$57, MATCH($C44, $C$8:$C$57, 0), (COLUMNS($DU44:DU44)-1)*5 + 1) = INDEX($E$5:$CE$5, 1, (COLUMNS($DU44:DU44)-1)*5 + 1), INDEX($E$8:$CE$57, MATCH($C44, $C$8:$C$57, 0), (COLUMNS($DU44:DU44)-1)*5 + 4) = "SF"), INDEX($CZ$8:$CZ$23, COLUMNS($DU44:DU44)), "0"), "")</f>
        <v>0</v>
      </c>
      <c r="DV44" s="390" t="str">
        <f t="array" ref="DV44">IFERROR(IF(AND(INDEX($E$8:$CE$57, MATCH($C44, $C$8:$C$57, 0), (COLUMNS($DU44:DV44)-1)*5 + 1) = INDEX($E$5:$CE$5, 1, (COLUMNS($DU44:DV44)-1)*5 + 1), INDEX($E$8:$CE$57, MATCH($C44, $C$8:$C$57, 0), (COLUMNS($DU44:DV44)-1)*5 + 4) = "SF"), INDEX($CZ$8:$CZ$23, COLUMNS($DU44:DV44)), "0"), "")</f>
        <v>0</v>
      </c>
      <c r="DW44" s="390" t="str">
        <f t="array" ref="DW44">IFERROR(IF(AND(INDEX($E$8:$CE$57, MATCH($C44, $C$8:$C$57, 0), (COLUMNS($DU44:DW44)-1)*5 + 1) = INDEX($E$5:$CE$5, 1, (COLUMNS($DU44:DW44)-1)*5 + 1), INDEX($E$8:$CE$57, MATCH($C44, $C$8:$C$57, 0), (COLUMNS($DU44:DW44)-1)*5 + 4) = "SF"), INDEX($CZ$8:$CZ$23, COLUMNS($DU44:DW44)), "0"), "")</f>
        <v>0</v>
      </c>
      <c r="DX44" s="390" t="str">
        <f t="array" ref="DX44">IFERROR(IF(AND(INDEX($E$8:$CE$57, MATCH($C44, $C$8:$C$57, 0), (COLUMNS($DU44:DX44)-1)*5 + 1) = INDEX($E$5:$CE$5, 1, (COLUMNS($DU44:DX44)-1)*5 + 1), INDEX($E$8:$CE$57, MATCH($C44, $C$8:$C$57, 0), (COLUMNS($DU44:DX44)-1)*5 + 4) = "SF"), INDEX($CZ$8:$CZ$23, COLUMNS($DU44:DX44)), "0"), "")</f>
        <v>0</v>
      </c>
      <c r="DY44" s="390">
        <f t="array" ref="DY44">IFERROR(IF(AND(INDEX($E$8:$CE$57, MATCH($C44, $C$8:$C$57, 0), (COLUMNS($DU44:DY44)-1)*5 + 1) = INDEX($E$5:$CE$5, 1, (COLUMNS($DU44:DY44)-1)*5 + 1), INDEX($E$8:$CE$57, MATCH($C44, $C$8:$C$57, 0), (COLUMNS($DU44:DY44)-1)*5 + 4) = "SF"), INDEX($CZ$8:$CZ$23, COLUMNS($DU44:DY44)), "0"), "")</f>
        <v>110</v>
      </c>
      <c r="DZ44" s="390" t="str">
        <f t="array" ref="DZ44">IFERROR(IF(AND(INDEX($E$8:$CE$57, MATCH($C44, $C$8:$C$57, 0), (COLUMNS($DU44:DZ44)-1)*5 + 1) = INDEX($E$5:$CE$5, 1, (COLUMNS($DU44:DZ44)-1)*5 + 1), INDEX($E$8:$CE$57, MATCH($C44, $C$8:$C$57, 0), (COLUMNS($DU44:DZ44)-1)*5 + 4) = "SF"), INDEX($CZ$8:$CZ$23, COLUMNS($DU44:DZ44)), "0"), "")</f>
        <v>0</v>
      </c>
      <c r="EA44" s="390" t="str">
        <f t="array" ref="EA44">IFERROR(IF(AND(INDEX($E$8:$CE$57, MATCH($C44, $C$8:$C$57, 0), (COLUMNS($DU44:EA44)-1)*5 + 1) = INDEX($E$5:$CE$5, 1, (COLUMNS($DU44:EA44)-1)*5 + 1), INDEX($E$8:$CE$57, MATCH($C44, $C$8:$C$57, 0), (COLUMNS($DU44:EA44)-1)*5 + 4) = "SF"), INDEX($CZ$8:$CZ$23, COLUMNS($DU44:EA44)), "0"), "")</f>
        <v>0</v>
      </c>
      <c r="EB44" s="390" t="str">
        <f t="array" ref="EB44">IFERROR(IF(AND(INDEX($E$8:$CE$57, MATCH($C44, $C$8:$C$57, 0), (COLUMNS($DU44:EB44)-1)*5 + 1) = INDEX($E$5:$CE$5, 1, (COLUMNS($DU44:EB44)-1)*5 + 1), INDEX($E$8:$CE$57, MATCH($C44, $C$8:$C$57, 0), (COLUMNS($DU44:EB44)-1)*5 + 4) = "SF"), INDEX($CZ$8:$CZ$23, COLUMNS($DU44:EB44)), "0"), "")</f>
        <v>0</v>
      </c>
      <c r="EC44" s="390" t="str">
        <f t="array" ref="EC44">IFERROR(IF(AND(INDEX($E$8:$CE$57, MATCH($C44, $C$8:$C$57, 0), (COLUMNS($DU44:EC44)-1)*5 + 1) = INDEX($E$5:$CE$5, 1, (COLUMNS($DU44:EC44)-1)*5 + 1), INDEX($E$8:$CE$57, MATCH($C44, $C$8:$C$57, 0), (COLUMNS($DU44:EC44)-1)*5 + 4) = "SF"), INDEX($CZ$8:$CZ$23, COLUMNS($DU44:EC44)), "0"), "")</f>
        <v>0</v>
      </c>
      <c r="ED44" s="390" t="str">
        <f t="array" ref="ED44">IFERROR(IF(AND(INDEX($E$8:$CE$57, MATCH($C44, $C$8:$C$57, 0), (COLUMNS($DU44:ED44)-1)*5 + 1) = INDEX($E$5:$CE$5, 1, (COLUMNS($DU44:ED44)-1)*5 + 1), INDEX($E$8:$CE$57, MATCH($C44, $C$8:$C$57, 0), (COLUMNS($DU44:ED44)-1)*5 + 4) = "SF"), INDEX($CZ$8:$CZ$23, COLUMNS($DU44:ED44)), "0"), "")</f>
        <v>0</v>
      </c>
      <c r="EE44" s="390" t="str">
        <f t="array" ref="EE44">IFERROR(IF(AND(INDEX($E$8:$CE$57, MATCH($C44, $C$8:$C$57, 0), (COLUMNS($DU44:EE44)-1)*5 + 1) = INDEX($E$5:$CE$5, 1, (COLUMNS($DU44:EE44)-1)*5 + 1), INDEX($E$8:$CE$57, MATCH($C44, $C$8:$C$57, 0), (COLUMNS($DU44:EE44)-1)*5 + 4) = "SF"), INDEX($CZ$8:$CZ$23, COLUMNS($DU44:EE44)), "0"), "")</f>
        <v>0</v>
      </c>
      <c r="EF44" s="390" t="str">
        <f t="array" ref="EF44">IFERROR(IF(AND(INDEX($E$8:$CE$57, MATCH($C44, $C$8:$C$57, 0), (COLUMNS($DU44:EF44)-1)*5 + 1) = INDEX($E$5:$CE$5, 1, (COLUMNS($DU44:EF44)-1)*5 + 1), INDEX($E$8:$CE$57, MATCH($C44, $C$8:$C$57, 0), (COLUMNS($DU44:EF44)-1)*5 + 4) = "SF"), INDEX($CZ$8:$CZ$23, COLUMNS($DU44:EF44)), "0"), "")</f>
        <v>0</v>
      </c>
      <c r="EG44" s="390" t="str">
        <f t="array" ref="EG44">IFERROR(IF(AND(INDEX($E$8:$CE$57, MATCH($C44, $C$8:$C$57, 0), (COLUMNS($DU44:EG44)-1)*5 + 1) = INDEX($E$5:$CE$5, 1, (COLUMNS($DU44:EG44)-1)*5 + 1), INDEX($E$8:$CE$57, MATCH($C44, $C$8:$C$57, 0), (COLUMNS($DU44:EG44)-1)*5 + 4) = "SF"), INDEX($CZ$8:$CZ$23, COLUMNS($DU44:EG44)), "0"), "")</f>
        <v>0</v>
      </c>
      <c r="EH44" s="390" t="str">
        <f t="array" ref="EH44">IFERROR(IF(AND(INDEX($E$8:$CE$57, MATCH($C44, $C$8:$C$57, 0), (COLUMNS($DU44:EH44)-1)*5 + 1) = INDEX($E$5:$CE$5, 1, (COLUMNS($DU44:EH44)-1)*5 + 1), INDEX($E$8:$CE$57, MATCH($C44, $C$8:$C$57, 0), (COLUMNS($DU44:EH44)-1)*5 + 4) = "SF"), INDEX($CZ$8:$CZ$23, COLUMNS($DU44:EH44)), "0"), "")</f>
        <v>0</v>
      </c>
      <c r="EI44" s="390" t="str">
        <f t="array" ref="EI44">IFERROR(IF(AND(INDEX($E$8:$CE$57, MATCH($C44, $C$8:$C$57, 0), (COLUMNS($DU44:EI44)-1)*5 + 1) = INDEX($E$5:$CE$5, 1, (COLUMNS($DU44:EI44)-1)*5 + 1), INDEX($E$8:$CE$57, MATCH($C44, $C$8:$C$57, 0), (COLUMNS($DU44:EI44)-1)*5 + 4) = "SF"), INDEX($CZ$8:$CZ$23, COLUMNS($DU44:EI44)), "0"), "")</f>
        <v>0</v>
      </c>
      <c r="EJ44" s="390" t="str">
        <f t="array" ref="EJ44">IFERROR(IF(AND(INDEX($E$8:$CE$57, MATCH($C44, $C$8:$C$57, 0), (COLUMNS($DU44:EJ44)-1)*5 + 1) = INDEX($E$5:$CE$5, 1, (COLUMNS($DU44:EJ44)-1)*5 + 1), INDEX($E$8:$CE$57, MATCH($C44, $C$8:$C$57, 0), (COLUMNS($DU44:EJ44)-1)*5 + 4) = "SF"), INDEX($CZ$8:$CZ$23, COLUMNS($DU44:EJ44)), "0"), "")</f>
        <v>0</v>
      </c>
    </row>
    <row r="45" spans="1:140" ht="20.100000000000001" customHeight="1" x14ac:dyDescent="0.35">
      <c r="A45" s="515"/>
      <c r="B45" s="91">
        <f>IF(BASE01[[#This Row],[COD]]&lt;&gt;"",B44+1,"")</f>
        <v>38</v>
      </c>
      <c r="C45" s="533" t="s">
        <v>105</v>
      </c>
      <c r="D45" s="92" t="str">
        <f t="array" ref="D45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45" s="143">
        <v>1</v>
      </c>
      <c r="F45" s="144">
        <v>8</v>
      </c>
      <c r="G45" s="144">
        <v>6</v>
      </c>
      <c r="H45" s="144"/>
      <c r="I45" s="534">
        <f t="shared" si="18"/>
        <v>2</v>
      </c>
      <c r="J45" s="143">
        <v>8</v>
      </c>
      <c r="K45" s="144">
        <v>3</v>
      </c>
      <c r="L45" s="144">
        <v>1</v>
      </c>
      <c r="M45" s="144"/>
      <c r="N45" s="534">
        <f t="shared" si="19"/>
        <v>2</v>
      </c>
      <c r="O45" s="143">
        <v>3</v>
      </c>
      <c r="P45" s="144">
        <v>8</v>
      </c>
      <c r="Q45" s="144">
        <v>6</v>
      </c>
      <c r="R45" s="144"/>
      <c r="S45" s="534">
        <f t="shared" si="20"/>
        <v>1</v>
      </c>
      <c r="T45" s="143">
        <v>6</v>
      </c>
      <c r="U45" s="144">
        <v>8</v>
      </c>
      <c r="V45" s="144">
        <v>4</v>
      </c>
      <c r="W45" s="144" t="s">
        <v>254</v>
      </c>
      <c r="X45" s="534">
        <f t="shared" si="21"/>
        <v>4.5</v>
      </c>
      <c r="Y45" s="143">
        <v>5</v>
      </c>
      <c r="Z45" s="144"/>
      <c r="AA45" s="144"/>
      <c r="AB45" s="144" t="s">
        <v>255</v>
      </c>
      <c r="AC45" s="534">
        <f t="shared" si="22"/>
        <v>7.5</v>
      </c>
      <c r="AD45" s="143">
        <v>7</v>
      </c>
      <c r="AE45" s="144">
        <v>5</v>
      </c>
      <c r="AF45" s="144">
        <v>2</v>
      </c>
      <c r="AG45" s="144"/>
      <c r="AH45" s="534">
        <f t="shared" si="23"/>
        <v>3</v>
      </c>
      <c r="AI45" s="143">
        <v>4</v>
      </c>
      <c r="AJ45" s="144">
        <v>3</v>
      </c>
      <c r="AK45" s="144">
        <v>7</v>
      </c>
      <c r="AL45" s="144"/>
      <c r="AM45" s="534">
        <f t="shared" si="24"/>
        <v>5</v>
      </c>
      <c r="AN45" s="143">
        <v>8</v>
      </c>
      <c r="AO45" s="144">
        <v>9</v>
      </c>
      <c r="AP45" s="144">
        <v>11</v>
      </c>
      <c r="AQ45" s="144" t="s">
        <v>254</v>
      </c>
      <c r="AR45" s="534">
        <f t="shared" si="25"/>
        <v>0</v>
      </c>
      <c r="AS45" s="143">
        <v>7</v>
      </c>
      <c r="AT45" s="144">
        <v>1</v>
      </c>
      <c r="AU45" s="144">
        <v>2</v>
      </c>
      <c r="AV45" s="144"/>
      <c r="AW45" s="534">
        <f t="shared" si="26"/>
        <v>0</v>
      </c>
      <c r="AX45" s="143">
        <v>1</v>
      </c>
      <c r="AY45" s="144">
        <v>9</v>
      </c>
      <c r="AZ45" s="144">
        <v>8</v>
      </c>
      <c r="BA45" s="144"/>
      <c r="BB45" s="534">
        <f t="shared" si="27"/>
        <v>4</v>
      </c>
      <c r="BC45" s="143">
        <v>4</v>
      </c>
      <c r="BD45" s="144">
        <v>3</v>
      </c>
      <c r="BE45" s="144">
        <v>2</v>
      </c>
      <c r="BF45" s="144"/>
      <c r="BG45" s="534">
        <f t="shared" si="28"/>
        <v>4</v>
      </c>
      <c r="BH45" s="143">
        <v>5</v>
      </c>
      <c r="BI45" s="144">
        <v>1</v>
      </c>
      <c r="BJ45" s="144">
        <v>6</v>
      </c>
      <c r="BK45" s="144"/>
      <c r="BL45" s="534">
        <f t="shared" si="29"/>
        <v>0</v>
      </c>
      <c r="BM45" s="143">
        <v>12</v>
      </c>
      <c r="BN45" s="144">
        <v>3</v>
      </c>
      <c r="BO45" s="144">
        <v>9</v>
      </c>
      <c r="BP45" s="144"/>
      <c r="BQ45" s="534">
        <f t="shared" si="30"/>
        <v>2</v>
      </c>
      <c r="BR45" s="143"/>
      <c r="BS45" s="144"/>
      <c r="BT45" s="144"/>
      <c r="BU45" s="144"/>
      <c r="BV45" s="534">
        <f t="shared" si="31"/>
        <v>0</v>
      </c>
      <c r="BW45" s="143"/>
      <c r="BX45" s="144"/>
      <c r="BY45" s="144"/>
      <c r="BZ45" s="144"/>
      <c r="CA45" s="534">
        <f t="shared" si="32"/>
        <v>0</v>
      </c>
      <c r="CB45" s="143"/>
      <c r="CC45" s="144"/>
      <c r="CD45" s="144"/>
      <c r="CE45" s="144"/>
      <c r="CF45" s="534">
        <f t="shared" si="33"/>
        <v>0</v>
      </c>
      <c r="CG45" s="162">
        <f>IF(BASE01[[#This Row],[1]]="",0,$B$4)</f>
        <v>13</v>
      </c>
      <c r="CH45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5</v>
      </c>
      <c r="CI45" s="164">
        <f>IF(BASE01[[#This Row],[Columna14]]=0,0,(CH45/CG45))</f>
        <v>0.38461538461538464</v>
      </c>
      <c r="CJ45" s="163">
        <f>IF(BASE01[[#This Row],[1]]="",0,$B$4)</f>
        <v>13</v>
      </c>
      <c r="CK45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8</v>
      </c>
      <c r="CL45" s="164">
        <f>IF(BASE01[[#This Row],[Columna14]]=0,0,(CK45/CJ45))</f>
        <v>0.61538461538461542</v>
      </c>
      <c r="CM45" s="162">
        <f>IF(BASE01[[#This Row],[1]]="",0,$B$4)</f>
        <v>13</v>
      </c>
      <c r="CN45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10</v>
      </c>
      <c r="CO45" s="164">
        <f>IF(BASE01[[#This Row],[Columna14]]=0,0,(CN45/CM45))</f>
        <v>0.76923076923076927</v>
      </c>
      <c r="CP45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3</v>
      </c>
      <c r="CQ45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Row],[Columna25]],$AX$5,BA45,"SF")+COUNTIFS(BASE01[[#This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2</v>
      </c>
      <c r="CR45" s="164">
        <f>IF(BASE01[[#This Row],[Columna14]]=0,0,(CQ45/CP45))</f>
        <v>0.66666666666666663</v>
      </c>
      <c r="CS45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35</v>
      </c>
      <c r="CT45" s="93"/>
      <c r="CU45" s="536">
        <f t="shared" si="34"/>
        <v>35</v>
      </c>
      <c r="CV45" s="94">
        <f>IF(BASE01[[#This Row],[TIPO]]="PREMIO",$O$3,"0,00")</f>
        <v>1000</v>
      </c>
      <c r="CW45" s="515"/>
      <c r="CY45" s="538" t="str">
        <f t="shared" si="17"/>
        <v/>
      </c>
      <c r="CZ45" s="387"/>
      <c r="DA45" s="387" t="str">
        <f t="array" ref="DA45">IF(CZ45="", "", IF((INDEX(E$8:CE$57, MATCH(CZ45, C$8:C$57, 0), ($CZ$25-1)*5 + 1) &amp; "") = (INDEX(E$5:CE$5, 1, ($CZ$25-1)*5 + 1) &amp; ""), 1, IF((INDEX(E$8:CE$57, MATCH(CZ45, C$8:C$57, 0), ($CZ$25-1)*5 + 2) &amp; "") = (INDEX(E$5:CE$5, 1, ($CZ$25-1)*5 + 1) &amp; ""), 2, IF((INDEX(E$8:CE$57, MATCH(CZ45, C$8:C$57, 0), ($CZ$25-1)*5 + 3) &amp; "") = (INDEX(E$5:CE$5, 1, ($CZ$25-1)*5 + 1) &amp; ""), 3, ""))))</f>
        <v/>
      </c>
      <c r="DB45" s="537" t="str">
        <f>BASE01[[#This Row],[COD]]</f>
        <v>COD 38</v>
      </c>
      <c r="DC45" s="390" t="str">
        <f t="array" ref="DC45">IFERROR(IF(AND(INDEX($E$8:$CE$57, MATCH($C45, $C$8:$C$57, 0), (COLUMNS($DC45:DC45)-1)*5 + 1) = INDEX($E$5:$CE$5, 1, (COLUMNS($DC45:DC45)-1)*5 + 1), INDEX($E$8:$CE$57, MATCH($C45, $C$8:$C$57, 0), (COLUMNS($DC45:DC45)-1)*5 + 4) = "F"), INDEX($CZ$8:$CZ$23, COLUMNS($DC45:DC45)), "0"), "")</f>
        <v>0</v>
      </c>
      <c r="DD45" s="390" t="str">
        <f t="array" ref="DD45">IFERROR(IF(AND(INDEX($E$8:$CE$57, MATCH($C45, $C$8:$C$57, 0), (COLUMNS($DC45:DD45)-1)*5 + 1) = INDEX($E$5:$CE$5, 1, (COLUMNS($DC45:DD45)-1)*5 + 1), INDEX($E$8:$CE$57, MATCH($C45, $C$8:$C$57, 0), (COLUMNS($DC45:DD45)-1)*5 + 4) = "F"), INDEX($CZ$8:$CZ$23, COLUMNS($DC45:DD45)), "0"), "")</f>
        <v>0</v>
      </c>
      <c r="DE45" s="390" t="str">
        <f t="array" ref="DE45">IFERROR(IF(AND(INDEX($E$8:$CE$57, MATCH($C45, $C$8:$C$57, 0), (COLUMNS($DC45:DE45)-1)*5 + 1) = INDEX($E$5:$CE$5, 1, (COLUMNS($DC45:DE45)-1)*5 + 1), INDEX($E$8:$CE$57, MATCH($C45, $C$8:$C$57, 0), (COLUMNS($DC45:DE45)-1)*5 + 4) = "F"), INDEX($CZ$8:$CZ$23, COLUMNS($DC45:DE45)), "0"), "")</f>
        <v>0</v>
      </c>
      <c r="DF45" s="390">
        <f t="array" ref="DF45">IFERROR(IF(AND(INDEX($E$8:$CE$57, MATCH($C45, $C$8:$C$57, 0), (COLUMNS($DC45:DF45)-1)*5 + 1) = INDEX($E$5:$CE$5, 1, (COLUMNS($DC45:DF45)-1)*5 + 1), INDEX($E$8:$CE$57, MATCH($C45, $C$8:$C$57, 0), (COLUMNS($DC45:DF45)-1)*5 + 4) = "F"), INDEX($CZ$8:$CZ$23, COLUMNS($DC45:DF45)), "0"), "")</f>
        <v>110</v>
      </c>
      <c r="DG45" s="390" t="str">
        <f t="array" ref="DG45">IFERROR(IF(AND(INDEX($E$8:$CE$57, MATCH($C45, $C$8:$C$57, 0), (COLUMNS($DC45:DG45)-1)*5 + 1) = INDEX($E$5:$CE$5, 1, (COLUMNS($DC45:DG45)-1)*5 + 1), INDEX($E$8:$CE$57, MATCH($C45, $C$8:$C$57, 0), (COLUMNS($DC45:DG45)-1)*5 + 4) = "F"), INDEX($CZ$8:$CZ$23, COLUMNS($DC45:DG45)), "0"), "")</f>
        <v>0</v>
      </c>
      <c r="DH45" s="390" t="str">
        <f t="array" ref="DH45">IFERROR(IF(AND(INDEX($E$8:$CE$57, MATCH($C45, $C$8:$C$57, 0), (COLUMNS($DC45:DH45)-1)*5 + 1) = INDEX($E$5:$CE$5, 1, (COLUMNS($DC45:DH45)-1)*5 + 1), INDEX($E$8:$CE$57, MATCH($C45, $C$8:$C$57, 0), (COLUMNS($DC45:DH45)-1)*5 + 4) = "F"), INDEX($CZ$8:$CZ$23, COLUMNS($DC45:DH45)), "0"), "")</f>
        <v>0</v>
      </c>
      <c r="DI45" s="390" t="str">
        <f t="array" ref="DI45">IFERROR(IF(AND(INDEX($E$8:$CE$57, MATCH($C45, $C$8:$C$57, 0), (COLUMNS($DC45:DI45)-1)*5 + 1) = INDEX($E$5:$CE$5, 1, (COLUMNS($DC45:DI45)-1)*5 + 1), INDEX($E$8:$CE$57, MATCH($C45, $C$8:$C$57, 0), (COLUMNS($DC45:DI45)-1)*5 + 4) = "F"), INDEX($CZ$8:$CZ$23, COLUMNS($DC45:DI45)), "0"), "")</f>
        <v>0</v>
      </c>
      <c r="DJ45" s="390" t="str">
        <f t="array" ref="DJ45">IFERROR(IF(AND(INDEX($E$8:$CE$57, MATCH($C45, $C$8:$C$57, 0), (COLUMNS($DC45:DJ45)-1)*5 + 1) = INDEX($E$5:$CE$5, 1, (COLUMNS($DC45:DJ45)-1)*5 + 1), INDEX($E$8:$CE$57, MATCH($C45, $C$8:$C$57, 0), (COLUMNS($DC45:DJ45)-1)*5 + 4) = "F"), INDEX($CZ$8:$CZ$23, COLUMNS($DC45:DJ45)), "0"), "")</f>
        <v>0</v>
      </c>
      <c r="DK45" s="390" t="str">
        <f t="array" ref="DK45">IFERROR(IF(AND(INDEX($E$8:$CE$57, MATCH($C45, $C$8:$C$57, 0), (COLUMNS($DC45:DK45)-1)*5 + 1) = INDEX($E$5:$CE$5, 1, (COLUMNS($DC45:DK45)-1)*5 + 1), INDEX($E$8:$CE$57, MATCH($C45, $C$8:$C$57, 0), (COLUMNS($DC45:DK45)-1)*5 + 4) = "F"), INDEX($CZ$8:$CZ$23, COLUMNS($DC45:DK45)), "0"), "")</f>
        <v>0</v>
      </c>
      <c r="DL45" s="390" t="str">
        <f t="array" ref="DL45">IFERROR(IF(AND(INDEX($E$8:$CE$57, MATCH($C45, $C$8:$C$57, 0), (COLUMNS($DC45:DL45)-1)*5 + 1) = INDEX($E$5:$CE$5, 1, (COLUMNS($DC45:DL45)-1)*5 + 1), INDEX($E$8:$CE$57, MATCH($C45, $C$8:$C$57, 0), (COLUMNS($DC45:DL45)-1)*5 + 4) = "F"), INDEX($CZ$8:$CZ$23, COLUMNS($DC45:DL45)), "0"), "")</f>
        <v>0</v>
      </c>
      <c r="DM45" s="390" t="str">
        <f t="array" ref="DM45">IFERROR(IF(AND(INDEX($E$8:$CE$57, MATCH($C45, $C$8:$C$57, 0), (COLUMNS($DC45:DM45)-1)*5 + 1) = INDEX($E$5:$CE$5, 1, (COLUMNS($DC45:DM45)-1)*5 + 1), INDEX($E$8:$CE$57, MATCH($C45, $C$8:$C$57, 0), (COLUMNS($DC45:DM45)-1)*5 + 4) = "F"), INDEX($CZ$8:$CZ$23, COLUMNS($DC45:DM45)), "0"), "")</f>
        <v>0</v>
      </c>
      <c r="DN45" s="390" t="str">
        <f t="array" ref="DN45">IFERROR(IF(AND(INDEX($E$8:$CE$57, MATCH($C45, $C$8:$C$57, 0), (COLUMNS($DC45:DN45)-1)*5 + 1) = INDEX($E$5:$CE$5, 1, (COLUMNS($DC45:DN45)-1)*5 + 1), INDEX($E$8:$CE$57, MATCH($C45, $C$8:$C$57, 0), (COLUMNS($DC45:DN45)-1)*5 + 4) = "F"), INDEX($CZ$8:$CZ$23, COLUMNS($DC45:DN45)), "0"), "")</f>
        <v>0</v>
      </c>
      <c r="DO45" s="390" t="str">
        <f t="array" ref="DO45">IFERROR(IF(AND(INDEX($E$8:$CE$57, MATCH($C45, $C$8:$C$57, 0), (COLUMNS($DC45:DO45)-1)*5 + 1) = INDEX($E$5:$CE$5, 1, (COLUMNS($DC45:DO45)-1)*5 + 1), INDEX($E$8:$CE$57, MATCH($C45, $C$8:$C$57, 0), (COLUMNS($DC45:DO45)-1)*5 + 4) = "F"), INDEX($CZ$8:$CZ$23, COLUMNS($DC45:DO45)), "0"), "")</f>
        <v>0</v>
      </c>
      <c r="DP45" s="390" t="str">
        <f t="array" ref="DP45">IFERROR(IF(AND(INDEX($E$8:$CE$57, MATCH($C45, $C$8:$C$57, 0), (COLUMNS($DC45:DP45)-1)*5 + 1) = INDEX($E$5:$CE$5, 1, (COLUMNS($DC45:DP45)-1)*5 + 1), INDEX($E$8:$CE$57, MATCH($C45, $C$8:$C$57, 0), (COLUMNS($DC45:DP45)-1)*5 + 4) = "F"), INDEX($CZ$8:$CZ$23, COLUMNS($DC45:DP45)), "0"), "")</f>
        <v>0</v>
      </c>
      <c r="DQ45" s="390" t="str">
        <f t="array" ref="DQ45">IFERROR(IF(AND(INDEX($E$8:$CE$57, MATCH($C45, $C$8:$C$57, 0), (COLUMNS($DC45:DQ45)-1)*5 + 1) = INDEX($E$5:$CE$5, 1, (COLUMNS($DC45:DQ45)-1)*5 + 1), INDEX($E$8:$CE$57, MATCH($C45, $C$8:$C$57, 0), (COLUMNS($DC45:DQ45)-1)*5 + 4) = "F"), INDEX($CZ$8:$CZ$23, COLUMNS($DC45:DQ45)), "0"), "")</f>
        <v>0</v>
      </c>
      <c r="DR45" s="390" t="str">
        <f t="array" ref="DR45">IFERROR(IF(AND(INDEX($E$8:$CE$57, MATCH($C45, $C$8:$C$57, 0), (COLUMNS($DC45:DR45)-1)*5 + 1) = INDEX($E$5:$CE$5, 1, (COLUMNS($DC45:DR45)-1)*5 + 1), INDEX($E$8:$CE$57, MATCH($C45, $C$8:$C$57, 0), (COLUMNS($DC45:DR45)-1)*5 + 4) = "F"), INDEX($CZ$8:$CZ$23, COLUMNS($DC45:DR45)), "0"), "")</f>
        <v>0</v>
      </c>
      <c r="DT45" s="537" t="str">
        <f>BASE01[[#This Row],[COD]]</f>
        <v>COD 38</v>
      </c>
      <c r="DU45" s="390" t="str">
        <f t="array" ref="DU45">IFERROR(IF(AND(INDEX($E$8:$CE$57, MATCH($C45, $C$8:$C$57, 0), (COLUMNS($DU45:DU45)-1)*5 + 1) = INDEX($E$5:$CE$5, 1, (COLUMNS($DU45:DU45)-1)*5 + 1), INDEX($E$8:$CE$57, MATCH($C45, $C$8:$C$57, 0), (COLUMNS($DU45:DU45)-1)*5 + 4) = "SF"), INDEX($CZ$8:$CZ$23, COLUMNS($DU45:DU45)), "0"), "")</f>
        <v>0</v>
      </c>
      <c r="DV45" s="390" t="str">
        <f t="array" ref="DV45">IFERROR(IF(AND(INDEX($E$8:$CE$57, MATCH($C45, $C$8:$C$57, 0), (COLUMNS($DU45:DV45)-1)*5 + 1) = INDEX($E$5:$CE$5, 1, (COLUMNS($DU45:DV45)-1)*5 + 1), INDEX($E$8:$CE$57, MATCH($C45, $C$8:$C$57, 0), (COLUMNS($DU45:DV45)-1)*5 + 4) = "SF"), INDEX($CZ$8:$CZ$23, COLUMNS($DU45:DV45)), "0"), "")</f>
        <v>0</v>
      </c>
      <c r="DW45" s="390" t="str">
        <f t="array" ref="DW45">IFERROR(IF(AND(INDEX($E$8:$CE$57, MATCH($C45, $C$8:$C$57, 0), (COLUMNS($DU45:DW45)-1)*5 + 1) = INDEX($E$5:$CE$5, 1, (COLUMNS($DU45:DW45)-1)*5 + 1), INDEX($E$8:$CE$57, MATCH($C45, $C$8:$C$57, 0), (COLUMNS($DU45:DW45)-1)*5 + 4) = "SF"), INDEX($CZ$8:$CZ$23, COLUMNS($DU45:DW45)), "0"), "")</f>
        <v>0</v>
      </c>
      <c r="DX45" s="390" t="str">
        <f t="array" ref="DX45">IFERROR(IF(AND(INDEX($E$8:$CE$57, MATCH($C45, $C$8:$C$57, 0), (COLUMNS($DU45:DX45)-1)*5 + 1) = INDEX($E$5:$CE$5, 1, (COLUMNS($DU45:DX45)-1)*5 + 1), INDEX($E$8:$CE$57, MATCH($C45, $C$8:$C$57, 0), (COLUMNS($DU45:DX45)-1)*5 + 4) = "SF"), INDEX($CZ$8:$CZ$23, COLUMNS($DU45:DX45)), "0"), "")</f>
        <v>0</v>
      </c>
      <c r="DY45" s="390">
        <f t="array" ref="DY45">IFERROR(IF(AND(INDEX($E$8:$CE$57, MATCH($C45, $C$8:$C$57, 0), (COLUMNS($DU45:DY45)-1)*5 + 1) = INDEX($E$5:$CE$5, 1, (COLUMNS($DU45:DY45)-1)*5 + 1), INDEX($E$8:$CE$57, MATCH($C45, $C$8:$C$57, 0), (COLUMNS($DU45:DY45)-1)*5 + 4) = "SF"), INDEX($CZ$8:$CZ$23, COLUMNS($DU45:DY45)), "0"), "")</f>
        <v>110</v>
      </c>
      <c r="DZ45" s="390" t="str">
        <f t="array" ref="DZ45">IFERROR(IF(AND(INDEX($E$8:$CE$57, MATCH($C45, $C$8:$C$57, 0), (COLUMNS($DU45:DZ45)-1)*5 + 1) = INDEX($E$5:$CE$5, 1, (COLUMNS($DU45:DZ45)-1)*5 + 1), INDEX($E$8:$CE$57, MATCH($C45, $C$8:$C$57, 0), (COLUMNS($DU45:DZ45)-1)*5 + 4) = "SF"), INDEX($CZ$8:$CZ$23, COLUMNS($DU45:DZ45)), "0"), "")</f>
        <v>0</v>
      </c>
      <c r="EA45" s="390" t="str">
        <f t="array" ref="EA45">IFERROR(IF(AND(INDEX($E$8:$CE$57, MATCH($C45, $C$8:$C$57, 0), (COLUMNS($DU45:EA45)-1)*5 + 1) = INDEX($E$5:$CE$5, 1, (COLUMNS($DU45:EA45)-1)*5 + 1), INDEX($E$8:$CE$57, MATCH($C45, $C$8:$C$57, 0), (COLUMNS($DU45:EA45)-1)*5 + 4) = "SF"), INDEX($CZ$8:$CZ$23, COLUMNS($DU45:EA45)), "0"), "")</f>
        <v>0</v>
      </c>
      <c r="EB45" s="390" t="str">
        <f t="array" ref="EB45">IFERROR(IF(AND(INDEX($E$8:$CE$57, MATCH($C45, $C$8:$C$57, 0), (COLUMNS($DU45:EB45)-1)*5 + 1) = INDEX($E$5:$CE$5, 1, (COLUMNS($DU45:EB45)-1)*5 + 1), INDEX($E$8:$CE$57, MATCH($C45, $C$8:$C$57, 0), (COLUMNS($DU45:EB45)-1)*5 + 4) = "SF"), INDEX($CZ$8:$CZ$23, COLUMNS($DU45:EB45)), "0"), "")</f>
        <v>0</v>
      </c>
      <c r="EC45" s="390" t="str">
        <f t="array" ref="EC45">IFERROR(IF(AND(INDEX($E$8:$CE$57, MATCH($C45, $C$8:$C$57, 0), (COLUMNS($DU45:EC45)-1)*5 + 1) = INDEX($E$5:$CE$5, 1, (COLUMNS($DU45:EC45)-1)*5 + 1), INDEX($E$8:$CE$57, MATCH($C45, $C$8:$C$57, 0), (COLUMNS($DU45:EC45)-1)*5 + 4) = "SF"), INDEX($CZ$8:$CZ$23, COLUMNS($DU45:EC45)), "0"), "")</f>
        <v>0</v>
      </c>
      <c r="ED45" s="390" t="str">
        <f t="array" ref="ED45">IFERROR(IF(AND(INDEX($E$8:$CE$57, MATCH($C45, $C$8:$C$57, 0), (COLUMNS($DU45:ED45)-1)*5 + 1) = INDEX($E$5:$CE$5, 1, (COLUMNS($DU45:ED45)-1)*5 + 1), INDEX($E$8:$CE$57, MATCH($C45, $C$8:$C$57, 0), (COLUMNS($DU45:ED45)-1)*5 + 4) = "SF"), INDEX($CZ$8:$CZ$23, COLUMNS($DU45:ED45)), "0"), "")</f>
        <v>0</v>
      </c>
      <c r="EE45" s="390" t="str">
        <f t="array" ref="EE45">IFERROR(IF(AND(INDEX($E$8:$CE$57, MATCH($C45, $C$8:$C$57, 0), (COLUMNS($DU45:EE45)-1)*5 + 1) = INDEX($E$5:$CE$5, 1, (COLUMNS($DU45:EE45)-1)*5 + 1), INDEX($E$8:$CE$57, MATCH($C45, $C$8:$C$57, 0), (COLUMNS($DU45:EE45)-1)*5 + 4) = "SF"), INDEX($CZ$8:$CZ$23, COLUMNS($DU45:EE45)), "0"), "")</f>
        <v>0</v>
      </c>
      <c r="EF45" s="390" t="str">
        <f t="array" ref="EF45">IFERROR(IF(AND(INDEX($E$8:$CE$57, MATCH($C45, $C$8:$C$57, 0), (COLUMNS($DU45:EF45)-1)*5 + 1) = INDEX($E$5:$CE$5, 1, (COLUMNS($DU45:EF45)-1)*5 + 1), INDEX($E$8:$CE$57, MATCH($C45, $C$8:$C$57, 0), (COLUMNS($DU45:EF45)-1)*5 + 4) = "SF"), INDEX($CZ$8:$CZ$23, COLUMNS($DU45:EF45)), "0"), "")</f>
        <v>0</v>
      </c>
      <c r="EG45" s="390" t="str">
        <f t="array" ref="EG45">IFERROR(IF(AND(INDEX($E$8:$CE$57, MATCH($C45, $C$8:$C$57, 0), (COLUMNS($DU45:EG45)-1)*5 + 1) = INDEX($E$5:$CE$5, 1, (COLUMNS($DU45:EG45)-1)*5 + 1), INDEX($E$8:$CE$57, MATCH($C45, $C$8:$C$57, 0), (COLUMNS($DU45:EG45)-1)*5 + 4) = "SF"), INDEX($CZ$8:$CZ$23, COLUMNS($DU45:EG45)), "0"), "")</f>
        <v>0</v>
      </c>
      <c r="EH45" s="390" t="str">
        <f t="array" ref="EH45">IFERROR(IF(AND(INDEX($E$8:$CE$57, MATCH($C45, $C$8:$C$57, 0), (COLUMNS($DU45:EH45)-1)*5 + 1) = INDEX($E$5:$CE$5, 1, (COLUMNS($DU45:EH45)-1)*5 + 1), INDEX($E$8:$CE$57, MATCH($C45, $C$8:$C$57, 0), (COLUMNS($DU45:EH45)-1)*5 + 4) = "SF"), INDEX($CZ$8:$CZ$23, COLUMNS($DU45:EH45)), "0"), "")</f>
        <v>0</v>
      </c>
      <c r="EI45" s="390" t="str">
        <f t="array" ref="EI45">IFERROR(IF(AND(INDEX($E$8:$CE$57, MATCH($C45, $C$8:$C$57, 0), (COLUMNS($DU45:EI45)-1)*5 + 1) = INDEX($E$5:$CE$5, 1, (COLUMNS($DU45:EI45)-1)*5 + 1), INDEX($E$8:$CE$57, MATCH($C45, $C$8:$C$57, 0), (COLUMNS($DU45:EI45)-1)*5 + 4) = "SF"), INDEX($CZ$8:$CZ$23, COLUMNS($DU45:EI45)), "0"), "")</f>
        <v>0</v>
      </c>
      <c r="EJ45" s="390" t="str">
        <f t="array" ref="EJ45">IFERROR(IF(AND(INDEX($E$8:$CE$57, MATCH($C45, $C$8:$C$57, 0), (COLUMNS($DU45:EJ45)-1)*5 + 1) = INDEX($E$5:$CE$5, 1, (COLUMNS($DU45:EJ45)-1)*5 + 1), INDEX($E$8:$CE$57, MATCH($C45, $C$8:$C$57, 0), (COLUMNS($DU45:EJ45)-1)*5 + 4) = "SF"), INDEX($CZ$8:$CZ$23, COLUMNS($DU45:EJ45)), "0"), "")</f>
        <v>0</v>
      </c>
    </row>
    <row r="46" spans="1:140" ht="20.100000000000001" customHeight="1" outlineLevel="1" x14ac:dyDescent="0.35">
      <c r="A46" s="515"/>
      <c r="B46" s="91">
        <f>IF(BASE01[[#This Row],[COD]]&lt;&gt;"",B45+1,"")</f>
        <v>39</v>
      </c>
      <c r="C46" s="533" t="s">
        <v>107</v>
      </c>
      <c r="D46" s="92" t="str">
        <f t="array" ref="D46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46" s="143"/>
      <c r="F46" s="145"/>
      <c r="G46" s="145"/>
      <c r="H46" s="145"/>
      <c r="I46" s="534">
        <f t="shared" si="18"/>
        <v>0</v>
      </c>
      <c r="J46" s="143"/>
      <c r="K46" s="145"/>
      <c r="L46" s="145"/>
      <c r="M46" s="145"/>
      <c r="N46" s="534">
        <f t="shared" si="19"/>
        <v>0</v>
      </c>
      <c r="O46" s="143"/>
      <c r="P46" s="145"/>
      <c r="Q46" s="145"/>
      <c r="R46" s="145"/>
      <c r="S46" s="534">
        <f t="shared" si="20"/>
        <v>0</v>
      </c>
      <c r="T46" s="143"/>
      <c r="U46" s="145"/>
      <c r="V46" s="145"/>
      <c r="W46" s="145"/>
      <c r="X46" s="534">
        <f t="shared" si="21"/>
        <v>0</v>
      </c>
      <c r="Y46" s="143"/>
      <c r="Z46" s="145"/>
      <c r="AA46" s="145"/>
      <c r="AB46" s="145"/>
      <c r="AC46" s="534">
        <f t="shared" si="22"/>
        <v>0</v>
      </c>
      <c r="AD46" s="143"/>
      <c r="AE46" s="145"/>
      <c r="AF46" s="145"/>
      <c r="AG46" s="145"/>
      <c r="AH46" s="534">
        <f t="shared" si="23"/>
        <v>0</v>
      </c>
      <c r="AI46" s="143"/>
      <c r="AJ46" s="145"/>
      <c r="AK46" s="145"/>
      <c r="AL46" s="145"/>
      <c r="AM46" s="534">
        <f t="shared" si="24"/>
        <v>0</v>
      </c>
      <c r="AN46" s="143"/>
      <c r="AO46" s="145"/>
      <c r="AP46" s="145"/>
      <c r="AQ46" s="145"/>
      <c r="AR46" s="534">
        <f t="shared" si="25"/>
        <v>0</v>
      </c>
      <c r="AS46" s="143"/>
      <c r="AT46" s="145"/>
      <c r="AU46" s="145"/>
      <c r="AV46" s="145"/>
      <c r="AW46" s="534">
        <f t="shared" si="26"/>
        <v>0</v>
      </c>
      <c r="AX46" s="143"/>
      <c r="AY46" s="145"/>
      <c r="AZ46" s="145"/>
      <c r="BA46" s="145"/>
      <c r="BB46" s="534">
        <f t="shared" si="27"/>
        <v>0</v>
      </c>
      <c r="BC46" s="143"/>
      <c r="BD46" s="145"/>
      <c r="BE46" s="145"/>
      <c r="BF46" s="145"/>
      <c r="BG46" s="534">
        <f t="shared" si="28"/>
        <v>0</v>
      </c>
      <c r="BH46" s="143"/>
      <c r="BI46" s="145"/>
      <c r="BJ46" s="145"/>
      <c r="BK46" s="145"/>
      <c r="BL46" s="534">
        <f t="shared" si="29"/>
        <v>0</v>
      </c>
      <c r="BM46" s="143"/>
      <c r="BN46" s="145"/>
      <c r="BO46" s="145"/>
      <c r="BP46" s="145"/>
      <c r="BQ46" s="534">
        <f t="shared" si="30"/>
        <v>0</v>
      </c>
      <c r="BR46" s="143"/>
      <c r="BS46" s="145"/>
      <c r="BT46" s="145"/>
      <c r="BU46" s="145"/>
      <c r="BV46" s="534">
        <f t="shared" si="31"/>
        <v>0</v>
      </c>
      <c r="BW46" s="143"/>
      <c r="BX46" s="145"/>
      <c r="BY46" s="145"/>
      <c r="BZ46" s="145"/>
      <c r="CA46" s="534">
        <f t="shared" si="32"/>
        <v>0</v>
      </c>
      <c r="CB46" s="143"/>
      <c r="CC46" s="145"/>
      <c r="CD46" s="145"/>
      <c r="CE46" s="145"/>
      <c r="CF46" s="534">
        <f t="shared" si="33"/>
        <v>0</v>
      </c>
      <c r="CG46" s="162">
        <f>IF(BASE01[[#This Row],[1]]="",0,$B$4)</f>
        <v>0</v>
      </c>
      <c r="CH46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0</v>
      </c>
      <c r="CI46" s="164">
        <f>IF(BASE01[[#This Row],[Columna14]]=0,0,(CH46/CG46))</f>
        <v>0</v>
      </c>
      <c r="CJ46" s="163">
        <f>IF(BASE01[[#This Row],[1]]="",0,$B$4)</f>
        <v>0</v>
      </c>
      <c r="CK46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0</v>
      </c>
      <c r="CL46" s="164">
        <f>IF(BASE01[[#This Row],[Columna14]]=0,0,(CK46/CJ46))</f>
        <v>0</v>
      </c>
      <c r="CM46" s="162">
        <f>IF(BASE01[[#This Row],[1]]="",0,$B$4)</f>
        <v>0</v>
      </c>
      <c r="CN46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0</v>
      </c>
      <c r="CO46" s="164">
        <f>IF(BASE01[[#This Row],[Columna14]]=0,0,(CN46/CM46))</f>
        <v>0</v>
      </c>
      <c r="CP46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0</v>
      </c>
      <c r="CQ46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Row],[Columna25]],$AX$5,BA46,"SF")+COUNTIFS(BASE01[[#This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0</v>
      </c>
      <c r="CR46" s="164">
        <f>IF(BASE01[[#This Row],[Columna14]]=0,0,(CQ46/CP46))</f>
        <v>0</v>
      </c>
      <c r="CS46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0</v>
      </c>
      <c r="CT46" s="93"/>
      <c r="CU46" s="536">
        <f t="shared" si="34"/>
        <v>0</v>
      </c>
      <c r="CV46" s="94">
        <f>IF(BASE01[[#This Row],[TIPO]]="PREMIO",$O$3,"0,00")</f>
        <v>1000</v>
      </c>
      <c r="CW46" s="515"/>
      <c r="CY46" s="538" t="str">
        <f t="shared" si="17"/>
        <v/>
      </c>
      <c r="CZ46" s="387"/>
      <c r="DA46" s="387" t="str">
        <f t="array" ref="DA46">IF(CZ46="", "", IF((INDEX(E$8:CE$57, MATCH(CZ46, C$8:C$57, 0), ($CZ$25-1)*5 + 1) &amp; "") = (INDEX(E$5:CE$5, 1, ($CZ$25-1)*5 + 1) &amp; ""), 1, IF((INDEX(E$8:CE$57, MATCH(CZ46, C$8:C$57, 0), ($CZ$25-1)*5 + 2) &amp; "") = (INDEX(E$5:CE$5, 1, ($CZ$25-1)*5 + 1) &amp; ""), 2, IF((INDEX(E$8:CE$57, MATCH(CZ46, C$8:C$57, 0), ($CZ$25-1)*5 + 3) &amp; "") = (INDEX(E$5:CE$5, 1, ($CZ$25-1)*5 + 1) &amp; ""), 3, ""))))</f>
        <v/>
      </c>
      <c r="DB46" s="537" t="str">
        <f>BASE01[[#This Row],[COD]]</f>
        <v>COD 39</v>
      </c>
      <c r="DC46" s="390" t="str">
        <f t="array" ref="DC46">IFERROR(IF(AND(INDEX($E$8:$CE$57, MATCH($C46, $C$8:$C$57, 0), (COLUMNS($DC46:DC46)-1)*5 + 1) = INDEX($E$5:$CE$5, 1, (COLUMNS($DC46:DC46)-1)*5 + 1), INDEX($E$8:$CE$57, MATCH($C46, $C$8:$C$57, 0), (COLUMNS($DC46:DC46)-1)*5 + 4) = "F"), INDEX($CZ$8:$CZ$23, COLUMNS($DC46:DC46)), "0"), "")</f>
        <v>0</v>
      </c>
      <c r="DD46" s="390" t="str">
        <f t="array" ref="DD46">IFERROR(IF(AND(INDEX($E$8:$CE$57, MATCH($C46, $C$8:$C$57, 0), (COLUMNS($DC46:DD46)-1)*5 + 1) = INDEX($E$5:$CE$5, 1, (COLUMNS($DC46:DD46)-1)*5 + 1), INDEX($E$8:$CE$57, MATCH($C46, $C$8:$C$57, 0), (COLUMNS($DC46:DD46)-1)*5 + 4) = "F"), INDEX($CZ$8:$CZ$23, COLUMNS($DC46:DD46)), "0"), "")</f>
        <v>0</v>
      </c>
      <c r="DE46" s="390" t="str">
        <f t="array" ref="DE46">IFERROR(IF(AND(INDEX($E$8:$CE$57, MATCH($C46, $C$8:$C$57, 0), (COLUMNS($DC46:DE46)-1)*5 + 1) = INDEX($E$5:$CE$5, 1, (COLUMNS($DC46:DE46)-1)*5 + 1), INDEX($E$8:$CE$57, MATCH($C46, $C$8:$C$57, 0), (COLUMNS($DC46:DE46)-1)*5 + 4) = "F"), INDEX($CZ$8:$CZ$23, COLUMNS($DC46:DE46)), "0"), "")</f>
        <v>0</v>
      </c>
      <c r="DF46" s="390" t="str">
        <f t="array" ref="DF46">IFERROR(IF(AND(INDEX($E$8:$CE$57, MATCH($C46, $C$8:$C$57, 0), (COLUMNS($DC46:DF46)-1)*5 + 1) = INDEX($E$5:$CE$5, 1, (COLUMNS($DC46:DF46)-1)*5 + 1), INDEX($E$8:$CE$57, MATCH($C46, $C$8:$C$57, 0), (COLUMNS($DC46:DF46)-1)*5 + 4) = "F"), INDEX($CZ$8:$CZ$23, COLUMNS($DC46:DF46)), "0"), "")</f>
        <v>0</v>
      </c>
      <c r="DG46" s="390" t="str">
        <f t="array" ref="DG46">IFERROR(IF(AND(INDEX($E$8:$CE$57, MATCH($C46, $C$8:$C$57, 0), (COLUMNS($DC46:DG46)-1)*5 + 1) = INDEX($E$5:$CE$5, 1, (COLUMNS($DC46:DG46)-1)*5 + 1), INDEX($E$8:$CE$57, MATCH($C46, $C$8:$C$57, 0), (COLUMNS($DC46:DG46)-1)*5 + 4) = "F"), INDEX($CZ$8:$CZ$23, COLUMNS($DC46:DG46)), "0"), "")</f>
        <v>0</v>
      </c>
      <c r="DH46" s="390" t="str">
        <f t="array" ref="DH46">IFERROR(IF(AND(INDEX($E$8:$CE$57, MATCH($C46, $C$8:$C$57, 0), (COLUMNS($DC46:DH46)-1)*5 + 1) = INDEX($E$5:$CE$5, 1, (COLUMNS($DC46:DH46)-1)*5 + 1), INDEX($E$8:$CE$57, MATCH($C46, $C$8:$C$57, 0), (COLUMNS($DC46:DH46)-1)*5 + 4) = "F"), INDEX($CZ$8:$CZ$23, COLUMNS($DC46:DH46)), "0"), "")</f>
        <v>0</v>
      </c>
      <c r="DI46" s="390" t="str">
        <f t="array" ref="DI46">IFERROR(IF(AND(INDEX($E$8:$CE$57, MATCH($C46, $C$8:$C$57, 0), (COLUMNS($DC46:DI46)-1)*5 + 1) = INDEX($E$5:$CE$5, 1, (COLUMNS($DC46:DI46)-1)*5 + 1), INDEX($E$8:$CE$57, MATCH($C46, $C$8:$C$57, 0), (COLUMNS($DC46:DI46)-1)*5 + 4) = "F"), INDEX($CZ$8:$CZ$23, COLUMNS($DC46:DI46)), "0"), "")</f>
        <v>0</v>
      </c>
      <c r="DJ46" s="390" t="str">
        <f t="array" ref="DJ46">IFERROR(IF(AND(INDEX($E$8:$CE$57, MATCH($C46, $C$8:$C$57, 0), (COLUMNS($DC46:DJ46)-1)*5 + 1) = INDEX($E$5:$CE$5, 1, (COLUMNS($DC46:DJ46)-1)*5 + 1), INDEX($E$8:$CE$57, MATCH($C46, $C$8:$C$57, 0), (COLUMNS($DC46:DJ46)-1)*5 + 4) = "F"), INDEX($CZ$8:$CZ$23, COLUMNS($DC46:DJ46)), "0"), "")</f>
        <v>0</v>
      </c>
      <c r="DK46" s="390" t="str">
        <f t="array" ref="DK46">IFERROR(IF(AND(INDEX($E$8:$CE$57, MATCH($C46, $C$8:$C$57, 0), (COLUMNS($DC46:DK46)-1)*5 + 1) = INDEX($E$5:$CE$5, 1, (COLUMNS($DC46:DK46)-1)*5 + 1), INDEX($E$8:$CE$57, MATCH($C46, $C$8:$C$57, 0), (COLUMNS($DC46:DK46)-1)*5 + 4) = "F"), INDEX($CZ$8:$CZ$23, COLUMNS($DC46:DK46)), "0"), "")</f>
        <v>0</v>
      </c>
      <c r="DL46" s="390" t="str">
        <f t="array" ref="DL46">IFERROR(IF(AND(INDEX($E$8:$CE$57, MATCH($C46, $C$8:$C$57, 0), (COLUMNS($DC46:DL46)-1)*5 + 1) = INDEX($E$5:$CE$5, 1, (COLUMNS($DC46:DL46)-1)*5 + 1), INDEX($E$8:$CE$57, MATCH($C46, $C$8:$C$57, 0), (COLUMNS($DC46:DL46)-1)*5 + 4) = "F"), INDEX($CZ$8:$CZ$23, COLUMNS($DC46:DL46)), "0"), "")</f>
        <v>0</v>
      </c>
      <c r="DM46" s="390" t="str">
        <f t="array" ref="DM46">IFERROR(IF(AND(INDEX($E$8:$CE$57, MATCH($C46, $C$8:$C$57, 0), (COLUMNS($DC46:DM46)-1)*5 + 1) = INDEX($E$5:$CE$5, 1, (COLUMNS($DC46:DM46)-1)*5 + 1), INDEX($E$8:$CE$57, MATCH($C46, $C$8:$C$57, 0), (COLUMNS($DC46:DM46)-1)*5 + 4) = "F"), INDEX($CZ$8:$CZ$23, COLUMNS($DC46:DM46)), "0"), "")</f>
        <v>0</v>
      </c>
      <c r="DN46" s="390" t="str">
        <f t="array" ref="DN46">IFERROR(IF(AND(INDEX($E$8:$CE$57, MATCH($C46, $C$8:$C$57, 0), (COLUMNS($DC46:DN46)-1)*5 + 1) = INDEX($E$5:$CE$5, 1, (COLUMNS($DC46:DN46)-1)*5 + 1), INDEX($E$8:$CE$57, MATCH($C46, $C$8:$C$57, 0), (COLUMNS($DC46:DN46)-1)*5 + 4) = "F"), INDEX($CZ$8:$CZ$23, COLUMNS($DC46:DN46)), "0"), "")</f>
        <v>0</v>
      </c>
      <c r="DO46" s="390" t="str">
        <f t="array" ref="DO46">IFERROR(IF(AND(INDEX($E$8:$CE$57, MATCH($C46, $C$8:$C$57, 0), (COLUMNS($DC46:DO46)-1)*5 + 1) = INDEX($E$5:$CE$5, 1, (COLUMNS($DC46:DO46)-1)*5 + 1), INDEX($E$8:$CE$57, MATCH($C46, $C$8:$C$57, 0), (COLUMNS($DC46:DO46)-1)*5 + 4) = "F"), INDEX($CZ$8:$CZ$23, COLUMNS($DC46:DO46)), "0"), "")</f>
        <v>0</v>
      </c>
      <c r="DP46" s="390" t="str">
        <f t="array" ref="DP46">IFERROR(IF(AND(INDEX($E$8:$CE$57, MATCH($C46, $C$8:$C$57, 0), (COLUMNS($DC46:DP46)-1)*5 + 1) = INDEX($E$5:$CE$5, 1, (COLUMNS($DC46:DP46)-1)*5 + 1), INDEX($E$8:$CE$57, MATCH($C46, $C$8:$C$57, 0), (COLUMNS($DC46:DP46)-1)*5 + 4) = "F"), INDEX($CZ$8:$CZ$23, COLUMNS($DC46:DP46)), "0"), "")</f>
        <v>0</v>
      </c>
      <c r="DQ46" s="390" t="str">
        <f t="array" ref="DQ46">IFERROR(IF(AND(INDEX($E$8:$CE$57, MATCH($C46, $C$8:$C$57, 0), (COLUMNS($DC46:DQ46)-1)*5 + 1) = INDEX($E$5:$CE$5, 1, (COLUMNS($DC46:DQ46)-1)*5 + 1), INDEX($E$8:$CE$57, MATCH($C46, $C$8:$C$57, 0), (COLUMNS($DC46:DQ46)-1)*5 + 4) = "F"), INDEX($CZ$8:$CZ$23, COLUMNS($DC46:DQ46)), "0"), "")</f>
        <v>0</v>
      </c>
      <c r="DR46" s="390" t="str">
        <f t="array" ref="DR46">IFERROR(IF(AND(INDEX($E$8:$CE$57, MATCH($C46, $C$8:$C$57, 0), (COLUMNS($DC46:DR46)-1)*5 + 1) = INDEX($E$5:$CE$5, 1, (COLUMNS($DC46:DR46)-1)*5 + 1), INDEX($E$8:$CE$57, MATCH($C46, $C$8:$C$57, 0), (COLUMNS($DC46:DR46)-1)*5 + 4) = "F"), INDEX($CZ$8:$CZ$23, COLUMNS($DC46:DR46)), "0"), "")</f>
        <v>0</v>
      </c>
      <c r="DT46" s="537" t="str">
        <f>BASE01[[#This Row],[COD]]</f>
        <v>COD 39</v>
      </c>
      <c r="DU46" s="390" t="str">
        <f t="array" ref="DU46">IFERROR(IF(AND(INDEX($E$8:$CE$57, MATCH($C46, $C$8:$C$57, 0), (COLUMNS($DU46:DU46)-1)*5 + 1) = INDEX($E$5:$CE$5, 1, (COLUMNS($DU46:DU46)-1)*5 + 1), INDEX($E$8:$CE$57, MATCH($C46, $C$8:$C$57, 0), (COLUMNS($DU46:DU46)-1)*5 + 4) = "SF"), INDEX($CZ$8:$CZ$23, COLUMNS($DU46:DU46)), "0"), "")</f>
        <v>0</v>
      </c>
      <c r="DV46" s="390" t="str">
        <f t="array" ref="DV46">IFERROR(IF(AND(INDEX($E$8:$CE$57, MATCH($C46, $C$8:$C$57, 0), (COLUMNS($DU46:DV46)-1)*5 + 1) = INDEX($E$5:$CE$5, 1, (COLUMNS($DU46:DV46)-1)*5 + 1), INDEX($E$8:$CE$57, MATCH($C46, $C$8:$C$57, 0), (COLUMNS($DU46:DV46)-1)*5 + 4) = "SF"), INDEX($CZ$8:$CZ$23, COLUMNS($DU46:DV46)), "0"), "")</f>
        <v>0</v>
      </c>
      <c r="DW46" s="390" t="str">
        <f t="array" ref="DW46">IFERROR(IF(AND(INDEX($E$8:$CE$57, MATCH($C46, $C$8:$C$57, 0), (COLUMNS($DU46:DW46)-1)*5 + 1) = INDEX($E$5:$CE$5, 1, (COLUMNS($DU46:DW46)-1)*5 + 1), INDEX($E$8:$CE$57, MATCH($C46, $C$8:$C$57, 0), (COLUMNS($DU46:DW46)-1)*5 + 4) = "SF"), INDEX($CZ$8:$CZ$23, COLUMNS($DU46:DW46)), "0"), "")</f>
        <v>0</v>
      </c>
      <c r="DX46" s="390" t="str">
        <f t="array" ref="DX46">IFERROR(IF(AND(INDEX($E$8:$CE$57, MATCH($C46, $C$8:$C$57, 0), (COLUMNS($DU46:DX46)-1)*5 + 1) = INDEX($E$5:$CE$5, 1, (COLUMNS($DU46:DX46)-1)*5 + 1), INDEX($E$8:$CE$57, MATCH($C46, $C$8:$C$57, 0), (COLUMNS($DU46:DX46)-1)*5 + 4) = "SF"), INDEX($CZ$8:$CZ$23, COLUMNS($DU46:DX46)), "0"), "")</f>
        <v>0</v>
      </c>
      <c r="DY46" s="390" t="str">
        <f t="array" ref="DY46">IFERROR(IF(AND(INDEX($E$8:$CE$57, MATCH($C46, $C$8:$C$57, 0), (COLUMNS($DU46:DY46)-1)*5 + 1) = INDEX($E$5:$CE$5, 1, (COLUMNS($DU46:DY46)-1)*5 + 1), INDEX($E$8:$CE$57, MATCH($C46, $C$8:$C$57, 0), (COLUMNS($DU46:DY46)-1)*5 + 4) = "SF"), INDEX($CZ$8:$CZ$23, COLUMNS($DU46:DY46)), "0"), "")</f>
        <v>0</v>
      </c>
      <c r="DZ46" s="390" t="str">
        <f t="array" ref="DZ46">IFERROR(IF(AND(INDEX($E$8:$CE$57, MATCH($C46, $C$8:$C$57, 0), (COLUMNS($DU46:DZ46)-1)*5 + 1) = INDEX($E$5:$CE$5, 1, (COLUMNS($DU46:DZ46)-1)*5 + 1), INDEX($E$8:$CE$57, MATCH($C46, $C$8:$C$57, 0), (COLUMNS($DU46:DZ46)-1)*5 + 4) = "SF"), INDEX($CZ$8:$CZ$23, COLUMNS($DU46:DZ46)), "0"), "")</f>
        <v>0</v>
      </c>
      <c r="EA46" s="390" t="str">
        <f t="array" ref="EA46">IFERROR(IF(AND(INDEX($E$8:$CE$57, MATCH($C46, $C$8:$C$57, 0), (COLUMNS($DU46:EA46)-1)*5 + 1) = INDEX($E$5:$CE$5, 1, (COLUMNS($DU46:EA46)-1)*5 + 1), INDEX($E$8:$CE$57, MATCH($C46, $C$8:$C$57, 0), (COLUMNS($DU46:EA46)-1)*5 + 4) = "SF"), INDEX($CZ$8:$CZ$23, COLUMNS($DU46:EA46)), "0"), "")</f>
        <v>0</v>
      </c>
      <c r="EB46" s="390" t="str">
        <f t="array" ref="EB46">IFERROR(IF(AND(INDEX($E$8:$CE$57, MATCH($C46, $C$8:$C$57, 0), (COLUMNS($DU46:EB46)-1)*5 + 1) = INDEX($E$5:$CE$5, 1, (COLUMNS($DU46:EB46)-1)*5 + 1), INDEX($E$8:$CE$57, MATCH($C46, $C$8:$C$57, 0), (COLUMNS($DU46:EB46)-1)*5 + 4) = "SF"), INDEX($CZ$8:$CZ$23, COLUMNS($DU46:EB46)), "0"), "")</f>
        <v>0</v>
      </c>
      <c r="EC46" s="390" t="str">
        <f t="array" ref="EC46">IFERROR(IF(AND(INDEX($E$8:$CE$57, MATCH($C46, $C$8:$C$57, 0), (COLUMNS($DU46:EC46)-1)*5 + 1) = INDEX($E$5:$CE$5, 1, (COLUMNS($DU46:EC46)-1)*5 + 1), INDEX($E$8:$CE$57, MATCH($C46, $C$8:$C$57, 0), (COLUMNS($DU46:EC46)-1)*5 + 4) = "SF"), INDEX($CZ$8:$CZ$23, COLUMNS($DU46:EC46)), "0"), "")</f>
        <v>0</v>
      </c>
      <c r="ED46" s="390" t="str">
        <f t="array" ref="ED46">IFERROR(IF(AND(INDEX($E$8:$CE$57, MATCH($C46, $C$8:$C$57, 0), (COLUMNS($DU46:ED46)-1)*5 + 1) = INDEX($E$5:$CE$5, 1, (COLUMNS($DU46:ED46)-1)*5 + 1), INDEX($E$8:$CE$57, MATCH($C46, $C$8:$C$57, 0), (COLUMNS($DU46:ED46)-1)*5 + 4) = "SF"), INDEX($CZ$8:$CZ$23, COLUMNS($DU46:ED46)), "0"), "")</f>
        <v>0</v>
      </c>
      <c r="EE46" s="390" t="str">
        <f t="array" ref="EE46">IFERROR(IF(AND(INDEX($E$8:$CE$57, MATCH($C46, $C$8:$C$57, 0), (COLUMNS($DU46:EE46)-1)*5 + 1) = INDEX($E$5:$CE$5, 1, (COLUMNS($DU46:EE46)-1)*5 + 1), INDEX($E$8:$CE$57, MATCH($C46, $C$8:$C$57, 0), (COLUMNS($DU46:EE46)-1)*5 + 4) = "SF"), INDEX($CZ$8:$CZ$23, COLUMNS($DU46:EE46)), "0"), "")</f>
        <v>0</v>
      </c>
      <c r="EF46" s="390" t="str">
        <f t="array" ref="EF46">IFERROR(IF(AND(INDEX($E$8:$CE$57, MATCH($C46, $C$8:$C$57, 0), (COLUMNS($DU46:EF46)-1)*5 + 1) = INDEX($E$5:$CE$5, 1, (COLUMNS($DU46:EF46)-1)*5 + 1), INDEX($E$8:$CE$57, MATCH($C46, $C$8:$C$57, 0), (COLUMNS($DU46:EF46)-1)*5 + 4) = "SF"), INDEX($CZ$8:$CZ$23, COLUMNS($DU46:EF46)), "0"), "")</f>
        <v>0</v>
      </c>
      <c r="EG46" s="390" t="str">
        <f t="array" ref="EG46">IFERROR(IF(AND(INDEX($E$8:$CE$57, MATCH($C46, $C$8:$C$57, 0), (COLUMNS($DU46:EG46)-1)*5 + 1) = INDEX($E$5:$CE$5, 1, (COLUMNS($DU46:EG46)-1)*5 + 1), INDEX($E$8:$CE$57, MATCH($C46, $C$8:$C$57, 0), (COLUMNS($DU46:EG46)-1)*5 + 4) = "SF"), INDEX($CZ$8:$CZ$23, COLUMNS($DU46:EG46)), "0"), "")</f>
        <v>0</v>
      </c>
      <c r="EH46" s="390" t="str">
        <f t="array" ref="EH46">IFERROR(IF(AND(INDEX($E$8:$CE$57, MATCH($C46, $C$8:$C$57, 0), (COLUMNS($DU46:EH46)-1)*5 + 1) = INDEX($E$5:$CE$5, 1, (COLUMNS($DU46:EH46)-1)*5 + 1), INDEX($E$8:$CE$57, MATCH($C46, $C$8:$C$57, 0), (COLUMNS($DU46:EH46)-1)*5 + 4) = "SF"), INDEX($CZ$8:$CZ$23, COLUMNS($DU46:EH46)), "0"), "")</f>
        <v>0</v>
      </c>
      <c r="EI46" s="390" t="str">
        <f t="array" ref="EI46">IFERROR(IF(AND(INDEX($E$8:$CE$57, MATCH($C46, $C$8:$C$57, 0), (COLUMNS($DU46:EI46)-1)*5 + 1) = INDEX($E$5:$CE$5, 1, (COLUMNS($DU46:EI46)-1)*5 + 1), INDEX($E$8:$CE$57, MATCH($C46, $C$8:$C$57, 0), (COLUMNS($DU46:EI46)-1)*5 + 4) = "SF"), INDEX($CZ$8:$CZ$23, COLUMNS($DU46:EI46)), "0"), "")</f>
        <v>0</v>
      </c>
      <c r="EJ46" s="390" t="str">
        <f t="array" ref="EJ46">IFERROR(IF(AND(INDEX($E$8:$CE$57, MATCH($C46, $C$8:$C$57, 0), (COLUMNS($DU46:EJ46)-1)*5 + 1) = INDEX($E$5:$CE$5, 1, (COLUMNS($DU46:EJ46)-1)*5 + 1), INDEX($E$8:$CE$57, MATCH($C46, $C$8:$C$57, 0), (COLUMNS($DU46:EJ46)-1)*5 + 4) = "SF"), INDEX($CZ$8:$CZ$23, COLUMNS($DU46:EJ46)), "0"), "")</f>
        <v>0</v>
      </c>
    </row>
    <row r="47" spans="1:140" ht="20.100000000000001" customHeight="1" outlineLevel="1" x14ac:dyDescent="0.35">
      <c r="A47" s="515"/>
      <c r="B47" s="91">
        <f>IF(BASE01[[#This Row],[COD]]&lt;&gt;"",B46+1,"")</f>
        <v>40</v>
      </c>
      <c r="C47" s="533" t="s">
        <v>109</v>
      </c>
      <c r="D47" s="92" t="str">
        <f t="array" ref="D47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47" s="143"/>
      <c r="F47" s="144"/>
      <c r="G47" s="144"/>
      <c r="H47" s="144"/>
      <c r="I47" s="534">
        <f t="shared" si="18"/>
        <v>0</v>
      </c>
      <c r="J47" s="143"/>
      <c r="K47" s="144"/>
      <c r="L47" s="144"/>
      <c r="M47" s="144"/>
      <c r="N47" s="534">
        <f t="shared" si="19"/>
        <v>0</v>
      </c>
      <c r="O47" s="143"/>
      <c r="P47" s="144"/>
      <c r="Q47" s="144"/>
      <c r="R47" s="144"/>
      <c r="S47" s="534">
        <f t="shared" si="20"/>
        <v>0</v>
      </c>
      <c r="T47" s="143"/>
      <c r="U47" s="144"/>
      <c r="V47" s="144"/>
      <c r="W47" s="144"/>
      <c r="X47" s="534">
        <f t="shared" si="21"/>
        <v>0</v>
      </c>
      <c r="Y47" s="143"/>
      <c r="Z47" s="144"/>
      <c r="AA47" s="144"/>
      <c r="AB47" s="144"/>
      <c r="AC47" s="534">
        <f t="shared" si="22"/>
        <v>0</v>
      </c>
      <c r="AD47" s="143"/>
      <c r="AE47" s="144"/>
      <c r="AF47" s="144"/>
      <c r="AG47" s="144"/>
      <c r="AH47" s="534">
        <f t="shared" si="23"/>
        <v>0</v>
      </c>
      <c r="AI47" s="143"/>
      <c r="AJ47" s="144"/>
      <c r="AK47" s="144"/>
      <c r="AL47" s="144"/>
      <c r="AM47" s="534">
        <f t="shared" si="24"/>
        <v>0</v>
      </c>
      <c r="AN47" s="143"/>
      <c r="AO47" s="144"/>
      <c r="AP47" s="144"/>
      <c r="AQ47" s="144"/>
      <c r="AR47" s="534">
        <f t="shared" si="25"/>
        <v>0</v>
      </c>
      <c r="AS47" s="143"/>
      <c r="AT47" s="144"/>
      <c r="AU47" s="144"/>
      <c r="AV47" s="144"/>
      <c r="AW47" s="534">
        <f t="shared" si="26"/>
        <v>0</v>
      </c>
      <c r="AX47" s="143"/>
      <c r="AY47" s="144"/>
      <c r="AZ47" s="144"/>
      <c r="BA47" s="144"/>
      <c r="BB47" s="534">
        <f t="shared" si="27"/>
        <v>0</v>
      </c>
      <c r="BC47" s="143"/>
      <c r="BD47" s="144"/>
      <c r="BE47" s="144"/>
      <c r="BF47" s="144"/>
      <c r="BG47" s="534">
        <f t="shared" si="28"/>
        <v>0</v>
      </c>
      <c r="BH47" s="143"/>
      <c r="BI47" s="144"/>
      <c r="BJ47" s="144"/>
      <c r="BK47" s="144"/>
      <c r="BL47" s="534">
        <f t="shared" si="29"/>
        <v>0</v>
      </c>
      <c r="BM47" s="143"/>
      <c r="BN47" s="144"/>
      <c r="BO47" s="144"/>
      <c r="BP47" s="144"/>
      <c r="BQ47" s="534">
        <f t="shared" si="30"/>
        <v>0</v>
      </c>
      <c r="BR47" s="143"/>
      <c r="BS47" s="144"/>
      <c r="BT47" s="144"/>
      <c r="BU47" s="144"/>
      <c r="BV47" s="534">
        <f t="shared" si="31"/>
        <v>0</v>
      </c>
      <c r="BW47" s="143"/>
      <c r="BX47" s="144"/>
      <c r="BY47" s="144"/>
      <c r="BZ47" s="144"/>
      <c r="CA47" s="534">
        <f t="shared" si="32"/>
        <v>0</v>
      </c>
      <c r="CB47" s="143"/>
      <c r="CC47" s="144"/>
      <c r="CD47" s="144"/>
      <c r="CE47" s="144"/>
      <c r="CF47" s="534">
        <f t="shared" si="33"/>
        <v>0</v>
      </c>
      <c r="CG47" s="162">
        <f>IF(BASE01[[#This Row],[1]]="",0,$B$4)</f>
        <v>0</v>
      </c>
      <c r="CH47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0</v>
      </c>
      <c r="CI47" s="164">
        <f>IF(BASE01[[#This Row],[Columna14]]=0,0,(CH47/CG47))</f>
        <v>0</v>
      </c>
      <c r="CJ47" s="163">
        <f>IF(BASE01[[#This Row],[1]]="",0,$B$4)</f>
        <v>0</v>
      </c>
      <c r="CK47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0</v>
      </c>
      <c r="CL47" s="164">
        <f>IF(BASE01[[#This Row],[Columna14]]=0,0,(CK47/CJ47))</f>
        <v>0</v>
      </c>
      <c r="CM47" s="162">
        <f>IF(BASE01[[#This Row],[1]]="",0,$B$4)</f>
        <v>0</v>
      </c>
      <c r="CN47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0</v>
      </c>
      <c r="CO47" s="164">
        <f>IF(BASE01[[#This Row],[Columna14]]=0,0,(CN47/CM47))</f>
        <v>0</v>
      </c>
      <c r="CP47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0</v>
      </c>
      <c r="CQ47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Row],[Columna25]],$AX$5,BA47,"SF")+COUNTIFS(BASE01[[#This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0</v>
      </c>
      <c r="CR47" s="164">
        <f>IF(BASE01[[#This Row],[Columna14]]=0,0,(CQ47/CP47))</f>
        <v>0</v>
      </c>
      <c r="CS47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0</v>
      </c>
      <c r="CT47" s="93"/>
      <c r="CU47" s="536">
        <f t="shared" si="34"/>
        <v>0</v>
      </c>
      <c r="CV47" s="94">
        <f>IF(BASE01[[#This Row],[TIPO]]="PREMIO",$O$3,"0,00")</f>
        <v>1000</v>
      </c>
      <c r="CW47" s="515"/>
      <c r="CY47" s="538" t="str">
        <f t="shared" si="17"/>
        <v/>
      </c>
      <c r="CZ47" s="387"/>
      <c r="DA47" s="387" t="str">
        <f t="array" ref="DA47">IF(CZ47="", "", IF((INDEX(E$8:CE$57, MATCH(CZ47, C$8:C$57, 0), ($CZ$25-1)*5 + 1) &amp; "") = (INDEX(E$5:CE$5, 1, ($CZ$25-1)*5 + 1) &amp; ""), 1, IF((INDEX(E$8:CE$57, MATCH(CZ47, C$8:C$57, 0), ($CZ$25-1)*5 + 2) &amp; "") = (INDEX(E$5:CE$5, 1, ($CZ$25-1)*5 + 1) &amp; ""), 2, IF((INDEX(E$8:CE$57, MATCH(CZ47, C$8:C$57, 0), ($CZ$25-1)*5 + 3) &amp; "") = (INDEX(E$5:CE$5, 1, ($CZ$25-1)*5 + 1) &amp; ""), 3, ""))))</f>
        <v/>
      </c>
      <c r="DB47" s="537" t="str">
        <f>BASE01[[#This Row],[COD]]</f>
        <v>COD 40</v>
      </c>
      <c r="DC47" s="390" t="str">
        <f t="array" ref="DC47">IFERROR(IF(AND(INDEX($E$8:$CE$57, MATCH($C47, $C$8:$C$57, 0), (COLUMNS($DC47:DC47)-1)*5 + 1) = INDEX($E$5:$CE$5, 1, (COLUMNS($DC47:DC47)-1)*5 + 1), INDEX($E$8:$CE$57, MATCH($C47, $C$8:$C$57, 0), (COLUMNS($DC47:DC47)-1)*5 + 4) = "F"), INDEX($CZ$8:$CZ$23, COLUMNS($DC47:DC47)), "0"), "")</f>
        <v>0</v>
      </c>
      <c r="DD47" s="390" t="str">
        <f t="array" ref="DD47">IFERROR(IF(AND(INDEX($E$8:$CE$57, MATCH($C47, $C$8:$C$57, 0), (COLUMNS($DC47:DD47)-1)*5 + 1) = INDEX($E$5:$CE$5, 1, (COLUMNS($DC47:DD47)-1)*5 + 1), INDEX($E$8:$CE$57, MATCH($C47, $C$8:$C$57, 0), (COLUMNS($DC47:DD47)-1)*5 + 4) = "F"), INDEX($CZ$8:$CZ$23, COLUMNS($DC47:DD47)), "0"), "")</f>
        <v>0</v>
      </c>
      <c r="DE47" s="390" t="str">
        <f t="array" ref="DE47">IFERROR(IF(AND(INDEX($E$8:$CE$57, MATCH($C47, $C$8:$C$57, 0), (COLUMNS($DC47:DE47)-1)*5 + 1) = INDEX($E$5:$CE$5, 1, (COLUMNS($DC47:DE47)-1)*5 + 1), INDEX($E$8:$CE$57, MATCH($C47, $C$8:$C$57, 0), (COLUMNS($DC47:DE47)-1)*5 + 4) = "F"), INDEX($CZ$8:$CZ$23, COLUMNS($DC47:DE47)), "0"), "")</f>
        <v>0</v>
      </c>
      <c r="DF47" s="390" t="str">
        <f t="array" ref="DF47">IFERROR(IF(AND(INDEX($E$8:$CE$57, MATCH($C47, $C$8:$C$57, 0), (COLUMNS($DC47:DF47)-1)*5 + 1) = INDEX($E$5:$CE$5, 1, (COLUMNS($DC47:DF47)-1)*5 + 1), INDEX($E$8:$CE$57, MATCH($C47, $C$8:$C$57, 0), (COLUMNS($DC47:DF47)-1)*5 + 4) = "F"), INDEX($CZ$8:$CZ$23, COLUMNS($DC47:DF47)), "0"), "")</f>
        <v>0</v>
      </c>
      <c r="DG47" s="390" t="str">
        <f t="array" ref="DG47">IFERROR(IF(AND(INDEX($E$8:$CE$57, MATCH($C47, $C$8:$C$57, 0), (COLUMNS($DC47:DG47)-1)*5 + 1) = INDEX($E$5:$CE$5, 1, (COLUMNS($DC47:DG47)-1)*5 + 1), INDEX($E$8:$CE$57, MATCH($C47, $C$8:$C$57, 0), (COLUMNS($DC47:DG47)-1)*5 + 4) = "F"), INDEX($CZ$8:$CZ$23, COLUMNS($DC47:DG47)), "0"), "")</f>
        <v>0</v>
      </c>
      <c r="DH47" s="390" t="str">
        <f t="array" ref="DH47">IFERROR(IF(AND(INDEX($E$8:$CE$57, MATCH($C47, $C$8:$C$57, 0), (COLUMNS($DC47:DH47)-1)*5 + 1) = INDEX($E$5:$CE$5, 1, (COLUMNS($DC47:DH47)-1)*5 + 1), INDEX($E$8:$CE$57, MATCH($C47, $C$8:$C$57, 0), (COLUMNS($DC47:DH47)-1)*5 + 4) = "F"), INDEX($CZ$8:$CZ$23, COLUMNS($DC47:DH47)), "0"), "")</f>
        <v>0</v>
      </c>
      <c r="DI47" s="390" t="str">
        <f t="array" ref="DI47">IFERROR(IF(AND(INDEX($E$8:$CE$57, MATCH($C47, $C$8:$C$57, 0), (COLUMNS($DC47:DI47)-1)*5 + 1) = INDEX($E$5:$CE$5, 1, (COLUMNS($DC47:DI47)-1)*5 + 1), INDEX($E$8:$CE$57, MATCH($C47, $C$8:$C$57, 0), (COLUMNS($DC47:DI47)-1)*5 + 4) = "F"), INDEX($CZ$8:$CZ$23, COLUMNS($DC47:DI47)), "0"), "")</f>
        <v>0</v>
      </c>
      <c r="DJ47" s="390" t="str">
        <f t="array" ref="DJ47">IFERROR(IF(AND(INDEX($E$8:$CE$57, MATCH($C47, $C$8:$C$57, 0), (COLUMNS($DC47:DJ47)-1)*5 + 1) = INDEX($E$5:$CE$5, 1, (COLUMNS($DC47:DJ47)-1)*5 + 1), INDEX($E$8:$CE$57, MATCH($C47, $C$8:$C$57, 0), (COLUMNS($DC47:DJ47)-1)*5 + 4) = "F"), INDEX($CZ$8:$CZ$23, COLUMNS($DC47:DJ47)), "0"), "")</f>
        <v>0</v>
      </c>
      <c r="DK47" s="390" t="str">
        <f t="array" ref="DK47">IFERROR(IF(AND(INDEX($E$8:$CE$57, MATCH($C47, $C$8:$C$57, 0), (COLUMNS($DC47:DK47)-1)*5 + 1) = INDEX($E$5:$CE$5, 1, (COLUMNS($DC47:DK47)-1)*5 + 1), INDEX($E$8:$CE$57, MATCH($C47, $C$8:$C$57, 0), (COLUMNS($DC47:DK47)-1)*5 + 4) = "F"), INDEX($CZ$8:$CZ$23, COLUMNS($DC47:DK47)), "0"), "")</f>
        <v>0</v>
      </c>
      <c r="DL47" s="390" t="str">
        <f t="array" ref="DL47">IFERROR(IF(AND(INDEX($E$8:$CE$57, MATCH($C47, $C$8:$C$57, 0), (COLUMNS($DC47:DL47)-1)*5 + 1) = INDEX($E$5:$CE$5, 1, (COLUMNS($DC47:DL47)-1)*5 + 1), INDEX($E$8:$CE$57, MATCH($C47, $C$8:$C$57, 0), (COLUMNS($DC47:DL47)-1)*5 + 4) = "F"), INDEX($CZ$8:$CZ$23, COLUMNS($DC47:DL47)), "0"), "")</f>
        <v>0</v>
      </c>
      <c r="DM47" s="390" t="str">
        <f t="array" ref="DM47">IFERROR(IF(AND(INDEX($E$8:$CE$57, MATCH($C47, $C$8:$C$57, 0), (COLUMNS($DC47:DM47)-1)*5 + 1) = INDEX($E$5:$CE$5, 1, (COLUMNS($DC47:DM47)-1)*5 + 1), INDEX($E$8:$CE$57, MATCH($C47, $C$8:$C$57, 0), (COLUMNS($DC47:DM47)-1)*5 + 4) = "F"), INDEX($CZ$8:$CZ$23, COLUMNS($DC47:DM47)), "0"), "")</f>
        <v>0</v>
      </c>
      <c r="DN47" s="390" t="str">
        <f t="array" ref="DN47">IFERROR(IF(AND(INDEX($E$8:$CE$57, MATCH($C47, $C$8:$C$57, 0), (COLUMNS($DC47:DN47)-1)*5 + 1) = INDEX($E$5:$CE$5, 1, (COLUMNS($DC47:DN47)-1)*5 + 1), INDEX($E$8:$CE$57, MATCH($C47, $C$8:$C$57, 0), (COLUMNS($DC47:DN47)-1)*5 + 4) = "F"), INDEX($CZ$8:$CZ$23, COLUMNS($DC47:DN47)), "0"), "")</f>
        <v>0</v>
      </c>
      <c r="DO47" s="390" t="str">
        <f t="array" ref="DO47">IFERROR(IF(AND(INDEX($E$8:$CE$57, MATCH($C47, $C$8:$C$57, 0), (COLUMNS($DC47:DO47)-1)*5 + 1) = INDEX($E$5:$CE$5, 1, (COLUMNS($DC47:DO47)-1)*5 + 1), INDEX($E$8:$CE$57, MATCH($C47, $C$8:$C$57, 0), (COLUMNS($DC47:DO47)-1)*5 + 4) = "F"), INDEX($CZ$8:$CZ$23, COLUMNS($DC47:DO47)), "0"), "")</f>
        <v>0</v>
      </c>
      <c r="DP47" s="390" t="str">
        <f t="array" ref="DP47">IFERROR(IF(AND(INDEX($E$8:$CE$57, MATCH($C47, $C$8:$C$57, 0), (COLUMNS($DC47:DP47)-1)*5 + 1) = INDEX($E$5:$CE$5, 1, (COLUMNS($DC47:DP47)-1)*5 + 1), INDEX($E$8:$CE$57, MATCH($C47, $C$8:$C$57, 0), (COLUMNS($DC47:DP47)-1)*5 + 4) = "F"), INDEX($CZ$8:$CZ$23, COLUMNS($DC47:DP47)), "0"), "")</f>
        <v>0</v>
      </c>
      <c r="DQ47" s="390" t="str">
        <f t="array" ref="DQ47">IFERROR(IF(AND(INDEX($E$8:$CE$57, MATCH($C47, $C$8:$C$57, 0), (COLUMNS($DC47:DQ47)-1)*5 + 1) = INDEX($E$5:$CE$5, 1, (COLUMNS($DC47:DQ47)-1)*5 + 1), INDEX($E$8:$CE$57, MATCH($C47, $C$8:$C$57, 0), (COLUMNS($DC47:DQ47)-1)*5 + 4) = "F"), INDEX($CZ$8:$CZ$23, COLUMNS($DC47:DQ47)), "0"), "")</f>
        <v>0</v>
      </c>
      <c r="DR47" s="390" t="str">
        <f t="array" ref="DR47">IFERROR(IF(AND(INDEX($E$8:$CE$57, MATCH($C47, $C$8:$C$57, 0), (COLUMNS($DC47:DR47)-1)*5 + 1) = INDEX($E$5:$CE$5, 1, (COLUMNS($DC47:DR47)-1)*5 + 1), INDEX($E$8:$CE$57, MATCH($C47, $C$8:$C$57, 0), (COLUMNS($DC47:DR47)-1)*5 + 4) = "F"), INDEX($CZ$8:$CZ$23, COLUMNS($DC47:DR47)), "0"), "")</f>
        <v>0</v>
      </c>
      <c r="DT47" s="537" t="str">
        <f>BASE01[[#This Row],[COD]]</f>
        <v>COD 40</v>
      </c>
      <c r="DU47" s="390" t="str">
        <f t="array" ref="DU47">IFERROR(IF(AND(INDEX($E$8:$CE$57, MATCH($C47, $C$8:$C$57, 0), (COLUMNS($DU47:DU47)-1)*5 + 1) = INDEX($E$5:$CE$5, 1, (COLUMNS($DU47:DU47)-1)*5 + 1), INDEX($E$8:$CE$57, MATCH($C47, $C$8:$C$57, 0), (COLUMNS($DU47:DU47)-1)*5 + 4) = "SF"), INDEX($CZ$8:$CZ$23, COLUMNS($DU47:DU47)), "0"), "")</f>
        <v>0</v>
      </c>
      <c r="DV47" s="390" t="str">
        <f t="array" ref="DV47">IFERROR(IF(AND(INDEX($E$8:$CE$57, MATCH($C47, $C$8:$C$57, 0), (COLUMNS($DU47:DV47)-1)*5 + 1) = INDEX($E$5:$CE$5, 1, (COLUMNS($DU47:DV47)-1)*5 + 1), INDEX($E$8:$CE$57, MATCH($C47, $C$8:$C$57, 0), (COLUMNS($DU47:DV47)-1)*5 + 4) = "SF"), INDEX($CZ$8:$CZ$23, COLUMNS($DU47:DV47)), "0"), "")</f>
        <v>0</v>
      </c>
      <c r="DW47" s="390" t="str">
        <f t="array" ref="DW47">IFERROR(IF(AND(INDEX($E$8:$CE$57, MATCH($C47, $C$8:$C$57, 0), (COLUMNS($DU47:DW47)-1)*5 + 1) = INDEX($E$5:$CE$5, 1, (COLUMNS($DU47:DW47)-1)*5 + 1), INDEX($E$8:$CE$57, MATCH($C47, $C$8:$C$57, 0), (COLUMNS($DU47:DW47)-1)*5 + 4) = "SF"), INDEX($CZ$8:$CZ$23, COLUMNS($DU47:DW47)), "0"), "")</f>
        <v>0</v>
      </c>
      <c r="DX47" s="390" t="str">
        <f t="array" ref="DX47">IFERROR(IF(AND(INDEX($E$8:$CE$57, MATCH($C47, $C$8:$C$57, 0), (COLUMNS($DU47:DX47)-1)*5 + 1) = INDEX($E$5:$CE$5, 1, (COLUMNS($DU47:DX47)-1)*5 + 1), INDEX($E$8:$CE$57, MATCH($C47, $C$8:$C$57, 0), (COLUMNS($DU47:DX47)-1)*5 + 4) = "SF"), INDEX($CZ$8:$CZ$23, COLUMNS($DU47:DX47)), "0"), "")</f>
        <v>0</v>
      </c>
      <c r="DY47" s="390" t="str">
        <f t="array" ref="DY47">IFERROR(IF(AND(INDEX($E$8:$CE$57, MATCH($C47, $C$8:$C$57, 0), (COLUMNS($DU47:DY47)-1)*5 + 1) = INDEX($E$5:$CE$5, 1, (COLUMNS($DU47:DY47)-1)*5 + 1), INDEX($E$8:$CE$57, MATCH($C47, $C$8:$C$57, 0), (COLUMNS($DU47:DY47)-1)*5 + 4) = "SF"), INDEX($CZ$8:$CZ$23, COLUMNS($DU47:DY47)), "0"), "")</f>
        <v>0</v>
      </c>
      <c r="DZ47" s="390" t="str">
        <f t="array" ref="DZ47">IFERROR(IF(AND(INDEX($E$8:$CE$57, MATCH($C47, $C$8:$C$57, 0), (COLUMNS($DU47:DZ47)-1)*5 + 1) = INDEX($E$5:$CE$5, 1, (COLUMNS($DU47:DZ47)-1)*5 + 1), INDEX($E$8:$CE$57, MATCH($C47, $C$8:$C$57, 0), (COLUMNS($DU47:DZ47)-1)*5 + 4) = "SF"), INDEX($CZ$8:$CZ$23, COLUMNS($DU47:DZ47)), "0"), "")</f>
        <v>0</v>
      </c>
      <c r="EA47" s="390" t="str">
        <f t="array" ref="EA47">IFERROR(IF(AND(INDEX($E$8:$CE$57, MATCH($C47, $C$8:$C$57, 0), (COLUMNS($DU47:EA47)-1)*5 + 1) = INDEX($E$5:$CE$5, 1, (COLUMNS($DU47:EA47)-1)*5 + 1), INDEX($E$8:$CE$57, MATCH($C47, $C$8:$C$57, 0), (COLUMNS($DU47:EA47)-1)*5 + 4) = "SF"), INDEX($CZ$8:$CZ$23, COLUMNS($DU47:EA47)), "0"), "")</f>
        <v>0</v>
      </c>
      <c r="EB47" s="390" t="str">
        <f t="array" ref="EB47">IFERROR(IF(AND(INDEX($E$8:$CE$57, MATCH($C47, $C$8:$C$57, 0), (COLUMNS($DU47:EB47)-1)*5 + 1) = INDEX($E$5:$CE$5, 1, (COLUMNS($DU47:EB47)-1)*5 + 1), INDEX($E$8:$CE$57, MATCH($C47, $C$8:$C$57, 0), (COLUMNS($DU47:EB47)-1)*5 + 4) = "SF"), INDEX($CZ$8:$CZ$23, COLUMNS($DU47:EB47)), "0"), "")</f>
        <v>0</v>
      </c>
      <c r="EC47" s="390" t="str">
        <f t="array" ref="EC47">IFERROR(IF(AND(INDEX($E$8:$CE$57, MATCH($C47, $C$8:$C$57, 0), (COLUMNS($DU47:EC47)-1)*5 + 1) = INDEX($E$5:$CE$5, 1, (COLUMNS($DU47:EC47)-1)*5 + 1), INDEX($E$8:$CE$57, MATCH($C47, $C$8:$C$57, 0), (COLUMNS($DU47:EC47)-1)*5 + 4) = "SF"), INDEX($CZ$8:$CZ$23, COLUMNS($DU47:EC47)), "0"), "")</f>
        <v>0</v>
      </c>
      <c r="ED47" s="390" t="str">
        <f t="array" ref="ED47">IFERROR(IF(AND(INDEX($E$8:$CE$57, MATCH($C47, $C$8:$C$57, 0), (COLUMNS($DU47:ED47)-1)*5 + 1) = INDEX($E$5:$CE$5, 1, (COLUMNS($DU47:ED47)-1)*5 + 1), INDEX($E$8:$CE$57, MATCH($C47, $C$8:$C$57, 0), (COLUMNS($DU47:ED47)-1)*5 + 4) = "SF"), INDEX($CZ$8:$CZ$23, COLUMNS($DU47:ED47)), "0"), "")</f>
        <v>0</v>
      </c>
      <c r="EE47" s="390" t="str">
        <f t="array" ref="EE47">IFERROR(IF(AND(INDEX($E$8:$CE$57, MATCH($C47, $C$8:$C$57, 0), (COLUMNS($DU47:EE47)-1)*5 + 1) = INDEX($E$5:$CE$5, 1, (COLUMNS($DU47:EE47)-1)*5 + 1), INDEX($E$8:$CE$57, MATCH($C47, $C$8:$C$57, 0), (COLUMNS($DU47:EE47)-1)*5 + 4) = "SF"), INDEX($CZ$8:$CZ$23, COLUMNS($DU47:EE47)), "0"), "")</f>
        <v>0</v>
      </c>
      <c r="EF47" s="390" t="str">
        <f t="array" ref="EF47">IFERROR(IF(AND(INDEX($E$8:$CE$57, MATCH($C47, $C$8:$C$57, 0), (COLUMNS($DU47:EF47)-1)*5 + 1) = INDEX($E$5:$CE$5, 1, (COLUMNS($DU47:EF47)-1)*5 + 1), INDEX($E$8:$CE$57, MATCH($C47, $C$8:$C$57, 0), (COLUMNS($DU47:EF47)-1)*5 + 4) = "SF"), INDEX($CZ$8:$CZ$23, COLUMNS($DU47:EF47)), "0"), "")</f>
        <v>0</v>
      </c>
      <c r="EG47" s="390" t="str">
        <f t="array" ref="EG47">IFERROR(IF(AND(INDEX($E$8:$CE$57, MATCH($C47, $C$8:$C$57, 0), (COLUMNS($DU47:EG47)-1)*5 + 1) = INDEX($E$5:$CE$5, 1, (COLUMNS($DU47:EG47)-1)*5 + 1), INDEX($E$8:$CE$57, MATCH($C47, $C$8:$C$57, 0), (COLUMNS($DU47:EG47)-1)*5 + 4) = "SF"), INDEX($CZ$8:$CZ$23, COLUMNS($DU47:EG47)), "0"), "")</f>
        <v>0</v>
      </c>
      <c r="EH47" s="390" t="str">
        <f t="array" ref="EH47">IFERROR(IF(AND(INDEX($E$8:$CE$57, MATCH($C47, $C$8:$C$57, 0), (COLUMNS($DU47:EH47)-1)*5 + 1) = INDEX($E$5:$CE$5, 1, (COLUMNS($DU47:EH47)-1)*5 + 1), INDEX($E$8:$CE$57, MATCH($C47, $C$8:$C$57, 0), (COLUMNS($DU47:EH47)-1)*5 + 4) = "SF"), INDEX($CZ$8:$CZ$23, COLUMNS($DU47:EH47)), "0"), "")</f>
        <v>0</v>
      </c>
      <c r="EI47" s="390" t="str">
        <f t="array" ref="EI47">IFERROR(IF(AND(INDEX($E$8:$CE$57, MATCH($C47, $C$8:$C$57, 0), (COLUMNS($DU47:EI47)-1)*5 + 1) = INDEX($E$5:$CE$5, 1, (COLUMNS($DU47:EI47)-1)*5 + 1), INDEX($E$8:$CE$57, MATCH($C47, $C$8:$C$57, 0), (COLUMNS($DU47:EI47)-1)*5 + 4) = "SF"), INDEX($CZ$8:$CZ$23, COLUMNS($DU47:EI47)), "0"), "")</f>
        <v>0</v>
      </c>
      <c r="EJ47" s="390" t="str">
        <f t="array" ref="EJ47">IFERROR(IF(AND(INDEX($E$8:$CE$57, MATCH($C47, $C$8:$C$57, 0), (COLUMNS($DU47:EJ47)-1)*5 + 1) = INDEX($E$5:$CE$5, 1, (COLUMNS($DU47:EJ47)-1)*5 + 1), INDEX($E$8:$CE$57, MATCH($C47, $C$8:$C$57, 0), (COLUMNS($DU47:EJ47)-1)*5 + 4) = "SF"), INDEX($CZ$8:$CZ$23, COLUMNS($DU47:EJ47)), "0"), "")</f>
        <v>0</v>
      </c>
    </row>
    <row r="48" spans="1:140" ht="20.100000000000001" customHeight="1" outlineLevel="1" x14ac:dyDescent="0.35">
      <c r="A48" s="515"/>
      <c r="B48" s="91">
        <f>IF(BASE01[[#This Row],[COD]]&lt;&gt;"",B47+1,"")</f>
        <v>41</v>
      </c>
      <c r="C48" s="533" t="s">
        <v>111</v>
      </c>
      <c r="D48" s="92" t="str">
        <f t="array" ref="D48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MEETING</v>
      </c>
      <c r="E48" s="143"/>
      <c r="F48" s="144"/>
      <c r="G48" s="144"/>
      <c r="H48" s="144"/>
      <c r="I48" s="534">
        <f t="shared" si="18"/>
        <v>0</v>
      </c>
      <c r="J48" s="143"/>
      <c r="K48" s="144"/>
      <c r="L48" s="144"/>
      <c r="M48" s="144"/>
      <c r="N48" s="534">
        <f t="shared" si="19"/>
        <v>0</v>
      </c>
      <c r="O48" s="143"/>
      <c r="P48" s="144"/>
      <c r="Q48" s="144"/>
      <c r="R48" s="144"/>
      <c r="S48" s="534">
        <f t="shared" si="20"/>
        <v>0</v>
      </c>
      <c r="T48" s="143"/>
      <c r="U48" s="144"/>
      <c r="V48" s="144"/>
      <c r="W48" s="144"/>
      <c r="X48" s="534">
        <f t="shared" si="21"/>
        <v>0</v>
      </c>
      <c r="Y48" s="143"/>
      <c r="Z48" s="144"/>
      <c r="AA48" s="144"/>
      <c r="AB48" s="144"/>
      <c r="AC48" s="534">
        <f t="shared" si="22"/>
        <v>0</v>
      </c>
      <c r="AD48" s="143"/>
      <c r="AE48" s="144"/>
      <c r="AF48" s="144"/>
      <c r="AG48" s="144"/>
      <c r="AH48" s="534">
        <f t="shared" si="23"/>
        <v>0</v>
      </c>
      <c r="AI48" s="143"/>
      <c r="AJ48" s="144"/>
      <c r="AK48" s="144"/>
      <c r="AL48" s="144"/>
      <c r="AM48" s="534">
        <f t="shared" si="24"/>
        <v>0</v>
      </c>
      <c r="AN48" s="143"/>
      <c r="AO48" s="144"/>
      <c r="AP48" s="144"/>
      <c r="AQ48" s="144"/>
      <c r="AR48" s="534">
        <f t="shared" si="25"/>
        <v>0</v>
      </c>
      <c r="AS48" s="143"/>
      <c r="AT48" s="144"/>
      <c r="AU48" s="144"/>
      <c r="AV48" s="144"/>
      <c r="AW48" s="534">
        <f t="shared" si="26"/>
        <v>0</v>
      </c>
      <c r="AX48" s="143"/>
      <c r="AY48" s="144"/>
      <c r="AZ48" s="144"/>
      <c r="BA48" s="144"/>
      <c r="BB48" s="534">
        <f t="shared" si="27"/>
        <v>0</v>
      </c>
      <c r="BC48" s="143"/>
      <c r="BD48" s="144"/>
      <c r="BE48" s="144"/>
      <c r="BF48" s="144"/>
      <c r="BG48" s="534">
        <f t="shared" si="28"/>
        <v>0</v>
      </c>
      <c r="BH48" s="143"/>
      <c r="BI48" s="144"/>
      <c r="BJ48" s="144"/>
      <c r="BK48" s="144"/>
      <c r="BL48" s="534">
        <f t="shared" si="29"/>
        <v>0</v>
      </c>
      <c r="BM48" s="143"/>
      <c r="BN48" s="144"/>
      <c r="BO48" s="144"/>
      <c r="BP48" s="144"/>
      <c r="BQ48" s="534">
        <f t="shared" si="30"/>
        <v>0</v>
      </c>
      <c r="BR48" s="143"/>
      <c r="BS48" s="144"/>
      <c r="BT48" s="144"/>
      <c r="BU48" s="144"/>
      <c r="BV48" s="534">
        <f t="shared" si="31"/>
        <v>0</v>
      </c>
      <c r="BW48" s="143"/>
      <c r="BX48" s="144"/>
      <c r="BY48" s="144"/>
      <c r="BZ48" s="144"/>
      <c r="CA48" s="534">
        <f t="shared" si="32"/>
        <v>0</v>
      </c>
      <c r="CB48" s="143"/>
      <c r="CC48" s="144"/>
      <c r="CD48" s="144"/>
      <c r="CE48" s="144"/>
      <c r="CF48" s="534">
        <f t="shared" si="33"/>
        <v>0</v>
      </c>
      <c r="CG48" s="162">
        <f>IF(BASE01[[#This Row],[1]]="",0,$B$4)</f>
        <v>0</v>
      </c>
      <c r="CH48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0</v>
      </c>
      <c r="CI48" s="164">
        <f>IF(BASE01[[#This Row],[Columna14]]=0,0,(CH48/CG48))</f>
        <v>0</v>
      </c>
      <c r="CJ48" s="163">
        <f>IF(BASE01[[#This Row],[1]]="",0,$B$4)</f>
        <v>0</v>
      </c>
      <c r="CK48" s="163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0</v>
      </c>
      <c r="CL48" s="164">
        <f>IF(BASE01[[#This Row],[Columna14]]=0,0,(CK48/CJ48))</f>
        <v>0</v>
      </c>
      <c r="CM48" s="162">
        <f>IF(BASE01[[#This Row],[1]]="",0,$B$4)</f>
        <v>0</v>
      </c>
      <c r="CN48" s="163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0</v>
      </c>
      <c r="CO48" s="164">
        <f>IF(BASE01[[#This Row],[Columna14]]=0,0,(CN48/CM48))</f>
        <v>0</v>
      </c>
      <c r="CP48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0</v>
      </c>
      <c r="CQ48" s="163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Row],[Columna25]],$AX$5,BA48,"SF")+COUNTIFS(BASE01[[#This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0</v>
      </c>
      <c r="CR48" s="164">
        <f>IF(BASE01[[#This Row],[Columna14]]=0,0,(CQ48/CP48))</f>
        <v>0</v>
      </c>
      <c r="CS48" s="535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0</v>
      </c>
      <c r="CT48" s="93"/>
      <c r="CU48" s="536">
        <f t="shared" si="34"/>
        <v>0</v>
      </c>
      <c r="CV48" s="94" t="str">
        <f>IF(BASE01[[#This Row],[TIPO]]="PREMIO",$O$3,"0,00")</f>
        <v>0,00</v>
      </c>
      <c r="CW48" s="515"/>
      <c r="CY48" s="538" t="str">
        <f t="shared" si="17"/>
        <v/>
      </c>
      <c r="CZ48" s="387"/>
      <c r="DA48" s="387" t="str">
        <f t="array" ref="DA48">IF(CZ48="", "", IF((INDEX(E$8:CE$57, MATCH(CZ48, C$8:C$57, 0), ($CZ$25-1)*5 + 1) &amp; "") = (INDEX(E$5:CE$5, 1, ($CZ$25-1)*5 + 1) &amp; ""), 1, IF((INDEX(E$8:CE$57, MATCH(CZ48, C$8:C$57, 0), ($CZ$25-1)*5 + 2) &amp; "") = (INDEX(E$5:CE$5, 1, ($CZ$25-1)*5 + 1) &amp; ""), 2, IF((INDEX(E$8:CE$57, MATCH(CZ48, C$8:C$57, 0), ($CZ$25-1)*5 + 3) &amp; "") = (INDEX(E$5:CE$5, 1, ($CZ$25-1)*5 + 1) &amp; ""), 3, ""))))</f>
        <v/>
      </c>
      <c r="DB48" s="537" t="str">
        <f>BASE01[[#This Row],[COD]]</f>
        <v>COD 41</v>
      </c>
      <c r="DC48" s="390" t="str">
        <f t="array" ref="DC48">IFERROR(IF(AND(INDEX($E$8:$CE$57, MATCH($C48, $C$8:$C$57, 0), (COLUMNS($DC48:DC48)-1)*5 + 1) = INDEX($E$5:$CE$5, 1, (COLUMNS($DC48:DC48)-1)*5 + 1), INDEX($E$8:$CE$57, MATCH($C48, $C$8:$C$57, 0), (COLUMNS($DC48:DC48)-1)*5 + 4) = "F"), INDEX($CZ$8:$CZ$23, COLUMNS($DC48:DC48)), "0"), "")</f>
        <v>0</v>
      </c>
      <c r="DD48" s="390" t="str">
        <f t="array" ref="DD48">IFERROR(IF(AND(INDEX($E$8:$CE$57, MATCH($C48, $C$8:$C$57, 0), (COLUMNS($DC48:DD48)-1)*5 + 1) = INDEX($E$5:$CE$5, 1, (COLUMNS($DC48:DD48)-1)*5 + 1), INDEX($E$8:$CE$57, MATCH($C48, $C$8:$C$57, 0), (COLUMNS($DC48:DD48)-1)*5 + 4) = "F"), INDEX($CZ$8:$CZ$23, COLUMNS($DC48:DD48)), "0"), "")</f>
        <v>0</v>
      </c>
      <c r="DE48" s="390" t="str">
        <f t="array" ref="DE48">IFERROR(IF(AND(INDEX($E$8:$CE$57, MATCH($C48, $C$8:$C$57, 0), (COLUMNS($DC48:DE48)-1)*5 + 1) = INDEX($E$5:$CE$5, 1, (COLUMNS($DC48:DE48)-1)*5 + 1), INDEX($E$8:$CE$57, MATCH($C48, $C$8:$C$57, 0), (COLUMNS($DC48:DE48)-1)*5 + 4) = "F"), INDEX($CZ$8:$CZ$23, COLUMNS($DC48:DE48)), "0"), "")</f>
        <v>0</v>
      </c>
      <c r="DF48" s="390" t="str">
        <f t="array" ref="DF48">IFERROR(IF(AND(INDEX($E$8:$CE$57, MATCH($C48, $C$8:$C$57, 0), (COLUMNS($DC48:DF48)-1)*5 + 1) = INDEX($E$5:$CE$5, 1, (COLUMNS($DC48:DF48)-1)*5 + 1), INDEX($E$8:$CE$57, MATCH($C48, $C$8:$C$57, 0), (COLUMNS($DC48:DF48)-1)*5 + 4) = "F"), INDEX($CZ$8:$CZ$23, COLUMNS($DC48:DF48)), "0"), "")</f>
        <v>0</v>
      </c>
      <c r="DG48" s="390" t="str">
        <f t="array" ref="DG48">IFERROR(IF(AND(INDEX($E$8:$CE$57, MATCH($C48, $C$8:$C$57, 0), (COLUMNS($DC48:DG48)-1)*5 + 1) = INDEX($E$5:$CE$5, 1, (COLUMNS($DC48:DG48)-1)*5 + 1), INDEX($E$8:$CE$57, MATCH($C48, $C$8:$C$57, 0), (COLUMNS($DC48:DG48)-1)*5 + 4) = "F"), INDEX($CZ$8:$CZ$23, COLUMNS($DC48:DG48)), "0"), "")</f>
        <v>0</v>
      </c>
      <c r="DH48" s="390" t="str">
        <f t="array" ref="DH48">IFERROR(IF(AND(INDEX($E$8:$CE$57, MATCH($C48, $C$8:$C$57, 0), (COLUMNS($DC48:DH48)-1)*5 + 1) = INDEX($E$5:$CE$5, 1, (COLUMNS($DC48:DH48)-1)*5 + 1), INDEX($E$8:$CE$57, MATCH($C48, $C$8:$C$57, 0), (COLUMNS($DC48:DH48)-1)*5 + 4) = "F"), INDEX($CZ$8:$CZ$23, COLUMNS($DC48:DH48)), "0"), "")</f>
        <v>0</v>
      </c>
      <c r="DI48" s="390" t="str">
        <f t="array" ref="DI48">IFERROR(IF(AND(INDEX($E$8:$CE$57, MATCH($C48, $C$8:$C$57, 0), (COLUMNS($DC48:DI48)-1)*5 + 1) = INDEX($E$5:$CE$5, 1, (COLUMNS($DC48:DI48)-1)*5 + 1), INDEX($E$8:$CE$57, MATCH($C48, $C$8:$C$57, 0), (COLUMNS($DC48:DI48)-1)*5 + 4) = "F"), INDEX($CZ$8:$CZ$23, COLUMNS($DC48:DI48)), "0"), "")</f>
        <v>0</v>
      </c>
      <c r="DJ48" s="390" t="str">
        <f t="array" ref="DJ48">IFERROR(IF(AND(INDEX($E$8:$CE$57, MATCH($C48, $C$8:$C$57, 0), (COLUMNS($DC48:DJ48)-1)*5 + 1) = INDEX($E$5:$CE$5, 1, (COLUMNS($DC48:DJ48)-1)*5 + 1), INDEX($E$8:$CE$57, MATCH($C48, $C$8:$C$57, 0), (COLUMNS($DC48:DJ48)-1)*5 + 4) = "F"), INDEX($CZ$8:$CZ$23, COLUMNS($DC48:DJ48)), "0"), "")</f>
        <v>0</v>
      </c>
      <c r="DK48" s="390" t="str">
        <f t="array" ref="DK48">IFERROR(IF(AND(INDEX($E$8:$CE$57, MATCH($C48, $C$8:$C$57, 0), (COLUMNS($DC48:DK48)-1)*5 + 1) = INDEX($E$5:$CE$5, 1, (COLUMNS($DC48:DK48)-1)*5 + 1), INDEX($E$8:$CE$57, MATCH($C48, $C$8:$C$57, 0), (COLUMNS($DC48:DK48)-1)*5 + 4) = "F"), INDEX($CZ$8:$CZ$23, COLUMNS($DC48:DK48)), "0"), "")</f>
        <v>0</v>
      </c>
      <c r="DL48" s="390" t="str">
        <f t="array" ref="DL48">IFERROR(IF(AND(INDEX($E$8:$CE$57, MATCH($C48, $C$8:$C$57, 0), (COLUMNS($DC48:DL48)-1)*5 + 1) = INDEX($E$5:$CE$5, 1, (COLUMNS($DC48:DL48)-1)*5 + 1), INDEX($E$8:$CE$57, MATCH($C48, $C$8:$C$57, 0), (COLUMNS($DC48:DL48)-1)*5 + 4) = "F"), INDEX($CZ$8:$CZ$23, COLUMNS($DC48:DL48)), "0"), "")</f>
        <v>0</v>
      </c>
      <c r="DM48" s="390" t="str">
        <f t="array" ref="DM48">IFERROR(IF(AND(INDEX($E$8:$CE$57, MATCH($C48, $C$8:$C$57, 0), (COLUMNS($DC48:DM48)-1)*5 + 1) = INDEX($E$5:$CE$5, 1, (COLUMNS($DC48:DM48)-1)*5 + 1), INDEX($E$8:$CE$57, MATCH($C48, $C$8:$C$57, 0), (COLUMNS($DC48:DM48)-1)*5 + 4) = "F"), INDEX($CZ$8:$CZ$23, COLUMNS($DC48:DM48)), "0"), "")</f>
        <v>0</v>
      </c>
      <c r="DN48" s="390" t="str">
        <f t="array" ref="DN48">IFERROR(IF(AND(INDEX($E$8:$CE$57, MATCH($C48, $C$8:$C$57, 0), (COLUMNS($DC48:DN48)-1)*5 + 1) = INDEX($E$5:$CE$5, 1, (COLUMNS($DC48:DN48)-1)*5 + 1), INDEX($E$8:$CE$57, MATCH($C48, $C$8:$C$57, 0), (COLUMNS($DC48:DN48)-1)*5 + 4) = "F"), INDEX($CZ$8:$CZ$23, COLUMNS($DC48:DN48)), "0"), "")</f>
        <v>0</v>
      </c>
      <c r="DO48" s="390" t="str">
        <f t="array" ref="DO48">IFERROR(IF(AND(INDEX($E$8:$CE$57, MATCH($C48, $C$8:$C$57, 0), (COLUMNS($DC48:DO48)-1)*5 + 1) = INDEX($E$5:$CE$5, 1, (COLUMNS($DC48:DO48)-1)*5 + 1), INDEX($E$8:$CE$57, MATCH($C48, $C$8:$C$57, 0), (COLUMNS($DC48:DO48)-1)*5 + 4) = "F"), INDEX($CZ$8:$CZ$23, COLUMNS($DC48:DO48)), "0"), "")</f>
        <v>0</v>
      </c>
      <c r="DP48" s="390" t="str">
        <f t="array" ref="DP48">IFERROR(IF(AND(INDEX($E$8:$CE$57, MATCH($C48, $C$8:$C$57, 0), (COLUMNS($DC48:DP48)-1)*5 + 1) = INDEX($E$5:$CE$5, 1, (COLUMNS($DC48:DP48)-1)*5 + 1), INDEX($E$8:$CE$57, MATCH($C48, $C$8:$C$57, 0), (COLUMNS($DC48:DP48)-1)*5 + 4) = "F"), INDEX($CZ$8:$CZ$23, COLUMNS($DC48:DP48)), "0"), "")</f>
        <v>0</v>
      </c>
      <c r="DQ48" s="390" t="str">
        <f t="array" ref="DQ48">IFERROR(IF(AND(INDEX($E$8:$CE$57, MATCH($C48, $C$8:$C$57, 0), (COLUMNS($DC48:DQ48)-1)*5 + 1) = INDEX($E$5:$CE$5, 1, (COLUMNS($DC48:DQ48)-1)*5 + 1), INDEX($E$8:$CE$57, MATCH($C48, $C$8:$C$57, 0), (COLUMNS($DC48:DQ48)-1)*5 + 4) = "F"), INDEX($CZ$8:$CZ$23, COLUMNS($DC48:DQ48)), "0"), "")</f>
        <v>0</v>
      </c>
      <c r="DR48" s="390" t="str">
        <f t="array" ref="DR48">IFERROR(IF(AND(INDEX($E$8:$CE$57, MATCH($C48, $C$8:$C$57, 0), (COLUMNS($DC48:DR48)-1)*5 + 1) = INDEX($E$5:$CE$5, 1, (COLUMNS($DC48:DR48)-1)*5 + 1), INDEX($E$8:$CE$57, MATCH($C48, $C$8:$C$57, 0), (COLUMNS($DC48:DR48)-1)*5 + 4) = "F"), INDEX($CZ$8:$CZ$23, COLUMNS($DC48:DR48)), "0"), "")</f>
        <v>0</v>
      </c>
      <c r="DT48" s="537" t="str">
        <f>BASE01[[#This Row],[COD]]</f>
        <v>COD 41</v>
      </c>
      <c r="DU48" s="390" t="str">
        <f t="array" ref="DU48">IFERROR(IF(AND(INDEX($E$8:$CE$57, MATCH($C48, $C$8:$C$57, 0), (COLUMNS($DU48:DU48)-1)*5 + 1) = INDEX($E$5:$CE$5, 1, (COLUMNS($DU48:DU48)-1)*5 + 1), INDEX($E$8:$CE$57, MATCH($C48, $C$8:$C$57, 0), (COLUMNS($DU48:DU48)-1)*5 + 4) = "SF"), INDEX($CZ$8:$CZ$23, COLUMNS($DU48:DU48)), "0"), "")</f>
        <v>0</v>
      </c>
      <c r="DV48" s="390" t="str">
        <f t="array" ref="DV48">IFERROR(IF(AND(INDEX($E$8:$CE$57, MATCH($C48, $C$8:$C$57, 0), (COLUMNS($DU48:DV48)-1)*5 + 1) = INDEX($E$5:$CE$5, 1, (COLUMNS($DU48:DV48)-1)*5 + 1), INDEX($E$8:$CE$57, MATCH($C48, $C$8:$C$57, 0), (COLUMNS($DU48:DV48)-1)*5 + 4) = "SF"), INDEX($CZ$8:$CZ$23, COLUMNS($DU48:DV48)), "0"), "")</f>
        <v>0</v>
      </c>
      <c r="DW48" s="390" t="str">
        <f t="array" ref="DW48">IFERROR(IF(AND(INDEX($E$8:$CE$57, MATCH($C48, $C$8:$C$57, 0), (COLUMNS($DU48:DW48)-1)*5 + 1) = INDEX($E$5:$CE$5, 1, (COLUMNS($DU48:DW48)-1)*5 + 1), INDEX($E$8:$CE$57, MATCH($C48, $C$8:$C$57, 0), (COLUMNS($DU48:DW48)-1)*5 + 4) = "SF"), INDEX($CZ$8:$CZ$23, COLUMNS($DU48:DW48)), "0"), "")</f>
        <v>0</v>
      </c>
      <c r="DX48" s="390" t="str">
        <f t="array" ref="DX48">IFERROR(IF(AND(INDEX($E$8:$CE$57, MATCH($C48, $C$8:$C$57, 0), (COLUMNS($DU48:DX48)-1)*5 + 1) = INDEX($E$5:$CE$5, 1, (COLUMNS($DU48:DX48)-1)*5 + 1), INDEX($E$8:$CE$57, MATCH($C48, $C$8:$C$57, 0), (COLUMNS($DU48:DX48)-1)*5 + 4) = "SF"), INDEX($CZ$8:$CZ$23, COLUMNS($DU48:DX48)), "0"), "")</f>
        <v>0</v>
      </c>
      <c r="DY48" s="390" t="str">
        <f t="array" ref="DY48">IFERROR(IF(AND(INDEX($E$8:$CE$57, MATCH($C48, $C$8:$C$57, 0), (COLUMNS($DU48:DY48)-1)*5 + 1) = INDEX($E$5:$CE$5, 1, (COLUMNS($DU48:DY48)-1)*5 + 1), INDEX($E$8:$CE$57, MATCH($C48, $C$8:$C$57, 0), (COLUMNS($DU48:DY48)-1)*5 + 4) = "SF"), INDEX($CZ$8:$CZ$23, COLUMNS($DU48:DY48)), "0"), "")</f>
        <v>0</v>
      </c>
      <c r="DZ48" s="390" t="str">
        <f t="array" ref="DZ48">IFERROR(IF(AND(INDEX($E$8:$CE$57, MATCH($C48, $C$8:$C$57, 0), (COLUMNS($DU48:DZ48)-1)*5 + 1) = INDEX($E$5:$CE$5, 1, (COLUMNS($DU48:DZ48)-1)*5 + 1), INDEX($E$8:$CE$57, MATCH($C48, $C$8:$C$57, 0), (COLUMNS($DU48:DZ48)-1)*5 + 4) = "SF"), INDEX($CZ$8:$CZ$23, COLUMNS($DU48:DZ48)), "0"), "")</f>
        <v>0</v>
      </c>
      <c r="EA48" s="390" t="str">
        <f t="array" ref="EA48">IFERROR(IF(AND(INDEX($E$8:$CE$57, MATCH($C48, $C$8:$C$57, 0), (COLUMNS($DU48:EA48)-1)*5 + 1) = INDEX($E$5:$CE$5, 1, (COLUMNS($DU48:EA48)-1)*5 + 1), INDEX($E$8:$CE$57, MATCH($C48, $C$8:$C$57, 0), (COLUMNS($DU48:EA48)-1)*5 + 4) = "SF"), INDEX($CZ$8:$CZ$23, COLUMNS($DU48:EA48)), "0"), "")</f>
        <v>0</v>
      </c>
      <c r="EB48" s="390" t="str">
        <f t="array" ref="EB48">IFERROR(IF(AND(INDEX($E$8:$CE$57, MATCH($C48, $C$8:$C$57, 0), (COLUMNS($DU48:EB48)-1)*5 + 1) = INDEX($E$5:$CE$5, 1, (COLUMNS($DU48:EB48)-1)*5 + 1), INDEX($E$8:$CE$57, MATCH($C48, $C$8:$C$57, 0), (COLUMNS($DU48:EB48)-1)*5 + 4) = "SF"), INDEX($CZ$8:$CZ$23, COLUMNS($DU48:EB48)), "0"), "")</f>
        <v>0</v>
      </c>
      <c r="EC48" s="390" t="str">
        <f t="array" ref="EC48">IFERROR(IF(AND(INDEX($E$8:$CE$57, MATCH($C48, $C$8:$C$57, 0), (COLUMNS($DU48:EC48)-1)*5 + 1) = INDEX($E$5:$CE$5, 1, (COLUMNS($DU48:EC48)-1)*5 + 1), INDEX($E$8:$CE$57, MATCH($C48, $C$8:$C$57, 0), (COLUMNS($DU48:EC48)-1)*5 + 4) = "SF"), INDEX($CZ$8:$CZ$23, COLUMNS($DU48:EC48)), "0"), "")</f>
        <v>0</v>
      </c>
      <c r="ED48" s="390" t="str">
        <f t="array" ref="ED48">IFERROR(IF(AND(INDEX($E$8:$CE$57, MATCH($C48, $C$8:$C$57, 0), (COLUMNS($DU48:ED48)-1)*5 + 1) = INDEX($E$5:$CE$5, 1, (COLUMNS($DU48:ED48)-1)*5 + 1), INDEX($E$8:$CE$57, MATCH($C48, $C$8:$C$57, 0), (COLUMNS($DU48:ED48)-1)*5 + 4) = "SF"), INDEX($CZ$8:$CZ$23, COLUMNS($DU48:ED48)), "0"), "")</f>
        <v>0</v>
      </c>
      <c r="EE48" s="390" t="str">
        <f t="array" ref="EE48">IFERROR(IF(AND(INDEX($E$8:$CE$57, MATCH($C48, $C$8:$C$57, 0), (COLUMNS($DU48:EE48)-1)*5 + 1) = INDEX($E$5:$CE$5, 1, (COLUMNS($DU48:EE48)-1)*5 + 1), INDEX($E$8:$CE$57, MATCH($C48, $C$8:$C$57, 0), (COLUMNS($DU48:EE48)-1)*5 + 4) = "SF"), INDEX($CZ$8:$CZ$23, COLUMNS($DU48:EE48)), "0"), "")</f>
        <v>0</v>
      </c>
      <c r="EF48" s="390" t="str">
        <f t="array" ref="EF48">IFERROR(IF(AND(INDEX($E$8:$CE$57, MATCH($C48, $C$8:$C$57, 0), (COLUMNS($DU48:EF48)-1)*5 + 1) = INDEX($E$5:$CE$5, 1, (COLUMNS($DU48:EF48)-1)*5 + 1), INDEX($E$8:$CE$57, MATCH($C48, $C$8:$C$57, 0), (COLUMNS($DU48:EF48)-1)*5 + 4) = "SF"), INDEX($CZ$8:$CZ$23, COLUMNS($DU48:EF48)), "0"), "")</f>
        <v>0</v>
      </c>
      <c r="EG48" s="390" t="str">
        <f t="array" ref="EG48">IFERROR(IF(AND(INDEX($E$8:$CE$57, MATCH($C48, $C$8:$C$57, 0), (COLUMNS($DU48:EG48)-1)*5 + 1) = INDEX($E$5:$CE$5, 1, (COLUMNS($DU48:EG48)-1)*5 + 1), INDEX($E$8:$CE$57, MATCH($C48, $C$8:$C$57, 0), (COLUMNS($DU48:EG48)-1)*5 + 4) = "SF"), INDEX($CZ$8:$CZ$23, COLUMNS($DU48:EG48)), "0"), "")</f>
        <v>0</v>
      </c>
      <c r="EH48" s="390" t="str">
        <f t="array" ref="EH48">IFERROR(IF(AND(INDEX($E$8:$CE$57, MATCH($C48, $C$8:$C$57, 0), (COLUMNS($DU48:EH48)-1)*5 + 1) = INDEX($E$5:$CE$5, 1, (COLUMNS($DU48:EH48)-1)*5 + 1), INDEX($E$8:$CE$57, MATCH($C48, $C$8:$C$57, 0), (COLUMNS($DU48:EH48)-1)*5 + 4) = "SF"), INDEX($CZ$8:$CZ$23, COLUMNS($DU48:EH48)), "0"), "")</f>
        <v>0</v>
      </c>
      <c r="EI48" s="390" t="str">
        <f t="array" ref="EI48">IFERROR(IF(AND(INDEX($E$8:$CE$57, MATCH($C48, $C$8:$C$57, 0), (COLUMNS($DU48:EI48)-1)*5 + 1) = INDEX($E$5:$CE$5, 1, (COLUMNS($DU48:EI48)-1)*5 + 1), INDEX($E$8:$CE$57, MATCH($C48, $C$8:$C$57, 0), (COLUMNS($DU48:EI48)-1)*5 + 4) = "SF"), INDEX($CZ$8:$CZ$23, COLUMNS($DU48:EI48)), "0"), "")</f>
        <v>0</v>
      </c>
      <c r="EJ48" s="390" t="str">
        <f t="array" ref="EJ48">IFERROR(IF(AND(INDEX($E$8:$CE$57, MATCH($C48, $C$8:$C$57, 0), (COLUMNS($DU48:EJ48)-1)*5 + 1) = INDEX($E$5:$CE$5, 1, (COLUMNS($DU48:EJ48)-1)*5 + 1), INDEX($E$8:$CE$57, MATCH($C48, $C$8:$C$57, 0), (COLUMNS($DU48:EJ48)-1)*5 + 4) = "SF"), INDEX($CZ$8:$CZ$23, COLUMNS($DU48:EJ48)), "0"), "")</f>
        <v>0</v>
      </c>
    </row>
    <row r="49" spans="1:140" ht="20.100000000000001" customHeight="1" outlineLevel="1" x14ac:dyDescent="0.35">
      <c r="A49" s="515"/>
      <c r="B49" s="91">
        <f>IF(BASE01[[#This Row],[COD]]&lt;&gt;"",B48+1,"")</f>
        <v>42</v>
      </c>
      <c r="C49" s="533" t="s">
        <v>113</v>
      </c>
      <c r="D49" s="92" t="str">
        <f t="array" ref="D49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NO ENVIÓ</v>
      </c>
      <c r="E49" s="143"/>
      <c r="F49" s="145"/>
      <c r="G49" s="145"/>
      <c r="H49" s="145"/>
      <c r="I49" s="534">
        <f t="shared" si="18"/>
        <v>0</v>
      </c>
      <c r="J49" s="143"/>
      <c r="K49" s="145"/>
      <c r="L49" s="145"/>
      <c r="M49" s="145"/>
      <c r="N49" s="534">
        <f t="shared" si="19"/>
        <v>0</v>
      </c>
      <c r="O49" s="143"/>
      <c r="P49" s="145"/>
      <c r="Q49" s="145"/>
      <c r="R49" s="145"/>
      <c r="S49" s="534">
        <f t="shared" si="20"/>
        <v>0</v>
      </c>
      <c r="T49" s="143"/>
      <c r="U49" s="145"/>
      <c r="V49" s="145"/>
      <c r="W49" s="145"/>
      <c r="X49" s="534">
        <f t="shared" si="21"/>
        <v>0</v>
      </c>
      <c r="Y49" s="143"/>
      <c r="Z49" s="145"/>
      <c r="AA49" s="145"/>
      <c r="AB49" s="145"/>
      <c r="AC49" s="534">
        <f t="shared" si="22"/>
        <v>0</v>
      </c>
      <c r="AD49" s="143"/>
      <c r="AE49" s="145"/>
      <c r="AF49" s="145"/>
      <c r="AG49" s="145"/>
      <c r="AH49" s="534">
        <f t="shared" si="23"/>
        <v>0</v>
      </c>
      <c r="AI49" s="143"/>
      <c r="AJ49" s="145"/>
      <c r="AK49" s="145"/>
      <c r="AL49" s="145"/>
      <c r="AM49" s="534">
        <f t="shared" si="24"/>
        <v>0</v>
      </c>
      <c r="AN49" s="143"/>
      <c r="AO49" s="145"/>
      <c r="AP49" s="145"/>
      <c r="AQ49" s="145"/>
      <c r="AR49" s="534">
        <f t="shared" si="25"/>
        <v>0</v>
      </c>
      <c r="AS49" s="143"/>
      <c r="AT49" s="145"/>
      <c r="AU49" s="145"/>
      <c r="AV49" s="145"/>
      <c r="AW49" s="534">
        <f t="shared" si="26"/>
        <v>0</v>
      </c>
      <c r="AX49" s="143"/>
      <c r="AY49" s="145"/>
      <c r="AZ49" s="145"/>
      <c r="BA49" s="145"/>
      <c r="BB49" s="534">
        <f t="shared" si="27"/>
        <v>0</v>
      </c>
      <c r="BC49" s="143"/>
      <c r="BD49" s="145"/>
      <c r="BE49" s="145"/>
      <c r="BF49" s="145"/>
      <c r="BG49" s="534">
        <f t="shared" si="28"/>
        <v>0</v>
      </c>
      <c r="BH49" s="143"/>
      <c r="BI49" s="145"/>
      <c r="BJ49" s="145"/>
      <c r="BK49" s="145"/>
      <c r="BL49" s="534">
        <f t="shared" si="29"/>
        <v>0</v>
      </c>
      <c r="BM49" s="143"/>
      <c r="BN49" s="145"/>
      <c r="BO49" s="145"/>
      <c r="BP49" s="145"/>
      <c r="BQ49" s="534">
        <f t="shared" si="30"/>
        <v>0</v>
      </c>
      <c r="BR49" s="143"/>
      <c r="BS49" s="144"/>
      <c r="BT49" s="144"/>
      <c r="BU49" s="144"/>
      <c r="BV49" s="534">
        <f t="shared" si="31"/>
        <v>0</v>
      </c>
      <c r="BW49" s="143"/>
      <c r="BX49" s="144"/>
      <c r="BY49" s="144"/>
      <c r="BZ49" s="144"/>
      <c r="CA49" s="534">
        <f t="shared" si="32"/>
        <v>0</v>
      </c>
      <c r="CB49" s="143"/>
      <c r="CC49" s="144"/>
      <c r="CD49" s="144"/>
      <c r="CE49" s="144"/>
      <c r="CF49" s="534">
        <f t="shared" si="33"/>
        <v>0</v>
      </c>
      <c r="CG49" s="162">
        <f>IF(BASE01[[#This Row],[1]]="",0,$B$4)</f>
        <v>0</v>
      </c>
      <c r="CH49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0</v>
      </c>
      <c r="CI49" s="185">
        <f>IF(BASE01[[#This Row],[Columna14]]=0,0,(CH49/CG49))</f>
        <v>0</v>
      </c>
      <c r="CJ49" s="163">
        <f>IF(BASE01[[#This Row],[1]]="",0,$B$4)</f>
        <v>0</v>
      </c>
      <c r="CK49" s="186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0</v>
      </c>
      <c r="CL49" s="185">
        <f>IF(BASE01[[#This Row],[Columna14]]=0,0,(CK49/CJ49))</f>
        <v>0</v>
      </c>
      <c r="CM49" s="162">
        <f>IF(BASE01[[#This Row],[1]]="",0,$B$4)</f>
        <v>0</v>
      </c>
      <c r="CN49" s="186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0</v>
      </c>
      <c r="CO49" s="185">
        <f>IF(BASE01[[#This Row],[Columna14]]=0,0,(CN49/CM49))</f>
        <v>0</v>
      </c>
      <c r="CP49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0</v>
      </c>
      <c r="CQ49" s="186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Row],[Columna25]],$AX$5,BA49,"SF")+COUNTIFS(BASE01[[#This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0</v>
      </c>
      <c r="CR49" s="185">
        <f>IF(BASE01[[#This Row],[Columna14]]=0,0,(CQ49/CP49))</f>
        <v>0</v>
      </c>
      <c r="CS49" s="539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0</v>
      </c>
      <c r="CT49" s="93"/>
      <c r="CU49" s="536">
        <f t="shared" si="34"/>
        <v>0</v>
      </c>
      <c r="CV49" s="94" t="str">
        <f>IF(BASE01[[#This Row],[TIPO]]="PREMIO",$O$3,"0,00")</f>
        <v>0,00</v>
      </c>
      <c r="CW49" s="515"/>
      <c r="CY49" s="538" t="str">
        <f t="shared" si="17"/>
        <v/>
      </c>
      <c r="CZ49" s="387"/>
      <c r="DA49" s="387" t="str">
        <f t="array" ref="DA49">IF(CZ49="", "", IF((INDEX(E$8:CE$57, MATCH(CZ49, C$8:C$57, 0), ($CZ$25-1)*5 + 1) &amp; "") = (INDEX(E$5:CE$5, 1, ($CZ$25-1)*5 + 1) &amp; ""), 1, IF((INDEX(E$8:CE$57, MATCH(CZ49, C$8:C$57, 0), ($CZ$25-1)*5 + 2) &amp; "") = (INDEX(E$5:CE$5, 1, ($CZ$25-1)*5 + 1) &amp; ""), 2, IF((INDEX(E$8:CE$57, MATCH(CZ49, C$8:C$57, 0), ($CZ$25-1)*5 + 3) &amp; "") = (INDEX(E$5:CE$5, 1, ($CZ$25-1)*5 + 1) &amp; ""), 3, ""))))</f>
        <v/>
      </c>
      <c r="DB49" s="537" t="str">
        <f>BASE01[[#This Row],[COD]]</f>
        <v>COD 42</v>
      </c>
      <c r="DC49" s="390" t="str">
        <f t="array" ref="DC49">IFERROR(IF(AND(INDEX($E$8:$CE$57, MATCH($C49, $C$8:$C$57, 0), (COLUMNS($DC49:DC49)-1)*5 + 1) = INDEX($E$5:$CE$5, 1, (COLUMNS($DC49:DC49)-1)*5 + 1), INDEX($E$8:$CE$57, MATCH($C49, $C$8:$C$57, 0), (COLUMNS($DC49:DC49)-1)*5 + 4) = "F"), INDEX($CZ$8:$CZ$23, COLUMNS($DC49:DC49)), "0"), "")</f>
        <v>0</v>
      </c>
      <c r="DD49" s="390" t="str">
        <f t="array" ref="DD49">IFERROR(IF(AND(INDEX($E$8:$CE$57, MATCH($C49, $C$8:$C$57, 0), (COLUMNS($DC49:DD49)-1)*5 + 1) = INDEX($E$5:$CE$5, 1, (COLUMNS($DC49:DD49)-1)*5 + 1), INDEX($E$8:$CE$57, MATCH($C49, $C$8:$C$57, 0), (COLUMNS($DC49:DD49)-1)*5 + 4) = "F"), INDEX($CZ$8:$CZ$23, COLUMNS($DC49:DD49)), "0"), "")</f>
        <v>0</v>
      </c>
      <c r="DE49" s="390" t="str">
        <f t="array" ref="DE49">IFERROR(IF(AND(INDEX($E$8:$CE$57, MATCH($C49, $C$8:$C$57, 0), (COLUMNS($DC49:DE49)-1)*5 + 1) = INDEX($E$5:$CE$5, 1, (COLUMNS($DC49:DE49)-1)*5 + 1), INDEX($E$8:$CE$57, MATCH($C49, $C$8:$C$57, 0), (COLUMNS($DC49:DE49)-1)*5 + 4) = "F"), INDEX($CZ$8:$CZ$23, COLUMNS($DC49:DE49)), "0"), "")</f>
        <v>0</v>
      </c>
      <c r="DF49" s="390" t="str">
        <f t="array" ref="DF49">IFERROR(IF(AND(INDEX($E$8:$CE$57, MATCH($C49, $C$8:$C$57, 0), (COLUMNS($DC49:DF49)-1)*5 + 1) = INDEX($E$5:$CE$5, 1, (COLUMNS($DC49:DF49)-1)*5 + 1), INDEX($E$8:$CE$57, MATCH($C49, $C$8:$C$57, 0), (COLUMNS($DC49:DF49)-1)*5 + 4) = "F"), INDEX($CZ$8:$CZ$23, COLUMNS($DC49:DF49)), "0"), "")</f>
        <v>0</v>
      </c>
      <c r="DG49" s="390" t="str">
        <f t="array" ref="DG49">IFERROR(IF(AND(INDEX($E$8:$CE$57, MATCH($C49, $C$8:$C$57, 0), (COLUMNS($DC49:DG49)-1)*5 + 1) = INDEX($E$5:$CE$5, 1, (COLUMNS($DC49:DG49)-1)*5 + 1), INDEX($E$8:$CE$57, MATCH($C49, $C$8:$C$57, 0), (COLUMNS($DC49:DG49)-1)*5 + 4) = "F"), INDEX($CZ$8:$CZ$23, COLUMNS($DC49:DG49)), "0"), "")</f>
        <v>0</v>
      </c>
      <c r="DH49" s="390" t="str">
        <f t="array" ref="DH49">IFERROR(IF(AND(INDEX($E$8:$CE$57, MATCH($C49, $C$8:$C$57, 0), (COLUMNS($DC49:DH49)-1)*5 + 1) = INDEX($E$5:$CE$5, 1, (COLUMNS($DC49:DH49)-1)*5 + 1), INDEX($E$8:$CE$57, MATCH($C49, $C$8:$C$57, 0), (COLUMNS($DC49:DH49)-1)*5 + 4) = "F"), INDEX($CZ$8:$CZ$23, COLUMNS($DC49:DH49)), "0"), "")</f>
        <v>0</v>
      </c>
      <c r="DI49" s="390" t="str">
        <f t="array" ref="DI49">IFERROR(IF(AND(INDEX($E$8:$CE$57, MATCH($C49, $C$8:$C$57, 0), (COLUMNS($DC49:DI49)-1)*5 + 1) = INDEX($E$5:$CE$5, 1, (COLUMNS($DC49:DI49)-1)*5 + 1), INDEX($E$8:$CE$57, MATCH($C49, $C$8:$C$57, 0), (COLUMNS($DC49:DI49)-1)*5 + 4) = "F"), INDEX($CZ$8:$CZ$23, COLUMNS($DC49:DI49)), "0"), "")</f>
        <v>0</v>
      </c>
      <c r="DJ49" s="390" t="str">
        <f t="array" ref="DJ49">IFERROR(IF(AND(INDEX($E$8:$CE$57, MATCH($C49, $C$8:$C$57, 0), (COLUMNS($DC49:DJ49)-1)*5 + 1) = INDEX($E$5:$CE$5, 1, (COLUMNS($DC49:DJ49)-1)*5 + 1), INDEX($E$8:$CE$57, MATCH($C49, $C$8:$C$57, 0), (COLUMNS($DC49:DJ49)-1)*5 + 4) = "F"), INDEX($CZ$8:$CZ$23, COLUMNS($DC49:DJ49)), "0"), "")</f>
        <v>0</v>
      </c>
      <c r="DK49" s="390" t="str">
        <f t="array" ref="DK49">IFERROR(IF(AND(INDEX($E$8:$CE$57, MATCH($C49, $C$8:$C$57, 0), (COLUMNS($DC49:DK49)-1)*5 + 1) = INDEX($E$5:$CE$5, 1, (COLUMNS($DC49:DK49)-1)*5 + 1), INDEX($E$8:$CE$57, MATCH($C49, $C$8:$C$57, 0), (COLUMNS($DC49:DK49)-1)*5 + 4) = "F"), INDEX($CZ$8:$CZ$23, COLUMNS($DC49:DK49)), "0"), "")</f>
        <v>0</v>
      </c>
      <c r="DL49" s="390" t="str">
        <f t="array" ref="DL49">IFERROR(IF(AND(INDEX($E$8:$CE$57, MATCH($C49, $C$8:$C$57, 0), (COLUMNS($DC49:DL49)-1)*5 + 1) = INDEX($E$5:$CE$5, 1, (COLUMNS($DC49:DL49)-1)*5 + 1), INDEX($E$8:$CE$57, MATCH($C49, $C$8:$C$57, 0), (COLUMNS($DC49:DL49)-1)*5 + 4) = "F"), INDEX($CZ$8:$CZ$23, COLUMNS($DC49:DL49)), "0"), "")</f>
        <v>0</v>
      </c>
      <c r="DM49" s="390" t="str">
        <f t="array" ref="DM49">IFERROR(IF(AND(INDEX($E$8:$CE$57, MATCH($C49, $C$8:$C$57, 0), (COLUMNS($DC49:DM49)-1)*5 + 1) = INDEX($E$5:$CE$5, 1, (COLUMNS($DC49:DM49)-1)*5 + 1), INDEX($E$8:$CE$57, MATCH($C49, $C$8:$C$57, 0), (COLUMNS($DC49:DM49)-1)*5 + 4) = "F"), INDEX($CZ$8:$CZ$23, COLUMNS($DC49:DM49)), "0"), "")</f>
        <v>0</v>
      </c>
      <c r="DN49" s="390" t="str">
        <f t="array" ref="DN49">IFERROR(IF(AND(INDEX($E$8:$CE$57, MATCH($C49, $C$8:$C$57, 0), (COLUMNS($DC49:DN49)-1)*5 + 1) = INDEX($E$5:$CE$5, 1, (COLUMNS($DC49:DN49)-1)*5 + 1), INDEX($E$8:$CE$57, MATCH($C49, $C$8:$C$57, 0), (COLUMNS($DC49:DN49)-1)*5 + 4) = "F"), INDEX($CZ$8:$CZ$23, COLUMNS($DC49:DN49)), "0"), "")</f>
        <v>0</v>
      </c>
      <c r="DO49" s="390" t="str">
        <f t="array" ref="DO49">IFERROR(IF(AND(INDEX($E$8:$CE$57, MATCH($C49, $C$8:$C$57, 0), (COLUMNS($DC49:DO49)-1)*5 + 1) = INDEX($E$5:$CE$5, 1, (COLUMNS($DC49:DO49)-1)*5 + 1), INDEX($E$8:$CE$57, MATCH($C49, $C$8:$C$57, 0), (COLUMNS($DC49:DO49)-1)*5 + 4) = "F"), INDEX($CZ$8:$CZ$23, COLUMNS($DC49:DO49)), "0"), "")</f>
        <v>0</v>
      </c>
      <c r="DP49" s="390" t="str">
        <f t="array" ref="DP49">IFERROR(IF(AND(INDEX($E$8:$CE$57, MATCH($C49, $C$8:$C$57, 0), (COLUMNS($DC49:DP49)-1)*5 + 1) = INDEX($E$5:$CE$5, 1, (COLUMNS($DC49:DP49)-1)*5 + 1), INDEX($E$8:$CE$57, MATCH($C49, $C$8:$C$57, 0), (COLUMNS($DC49:DP49)-1)*5 + 4) = "F"), INDEX($CZ$8:$CZ$23, COLUMNS($DC49:DP49)), "0"), "")</f>
        <v>0</v>
      </c>
      <c r="DQ49" s="390" t="str">
        <f t="array" ref="DQ49">IFERROR(IF(AND(INDEX($E$8:$CE$57, MATCH($C49, $C$8:$C$57, 0), (COLUMNS($DC49:DQ49)-1)*5 + 1) = INDEX($E$5:$CE$5, 1, (COLUMNS($DC49:DQ49)-1)*5 + 1), INDEX($E$8:$CE$57, MATCH($C49, $C$8:$C$57, 0), (COLUMNS($DC49:DQ49)-1)*5 + 4) = "F"), INDEX($CZ$8:$CZ$23, COLUMNS($DC49:DQ49)), "0"), "")</f>
        <v>0</v>
      </c>
      <c r="DR49" s="390" t="str">
        <f t="array" ref="DR49">IFERROR(IF(AND(INDEX($E$8:$CE$57, MATCH($C49, $C$8:$C$57, 0), (COLUMNS($DC49:DR49)-1)*5 + 1) = INDEX($E$5:$CE$5, 1, (COLUMNS($DC49:DR49)-1)*5 + 1), INDEX($E$8:$CE$57, MATCH($C49, $C$8:$C$57, 0), (COLUMNS($DC49:DR49)-1)*5 + 4) = "F"), INDEX($CZ$8:$CZ$23, COLUMNS($DC49:DR49)), "0"), "")</f>
        <v>0</v>
      </c>
      <c r="DT49" s="537" t="str">
        <f>BASE01[[#This Row],[COD]]</f>
        <v>COD 42</v>
      </c>
      <c r="DU49" s="390" t="str">
        <f t="array" ref="DU49">IFERROR(IF(AND(INDEX($E$8:$CE$57, MATCH($C49, $C$8:$C$57, 0), (COLUMNS($DU49:DU49)-1)*5 + 1) = INDEX($E$5:$CE$5, 1, (COLUMNS($DU49:DU49)-1)*5 + 1), INDEX($E$8:$CE$57, MATCH($C49, $C$8:$C$57, 0), (COLUMNS($DU49:DU49)-1)*5 + 4) = "SF"), INDEX($CZ$8:$CZ$23, COLUMNS($DU49:DU49)), "0"), "")</f>
        <v>0</v>
      </c>
      <c r="DV49" s="390" t="str">
        <f t="array" ref="DV49">IFERROR(IF(AND(INDEX($E$8:$CE$57, MATCH($C49, $C$8:$C$57, 0), (COLUMNS($DU49:DV49)-1)*5 + 1) = INDEX($E$5:$CE$5, 1, (COLUMNS($DU49:DV49)-1)*5 + 1), INDEX($E$8:$CE$57, MATCH($C49, $C$8:$C$57, 0), (COLUMNS($DU49:DV49)-1)*5 + 4) = "SF"), INDEX($CZ$8:$CZ$23, COLUMNS($DU49:DV49)), "0"), "")</f>
        <v>0</v>
      </c>
      <c r="DW49" s="390" t="str">
        <f t="array" ref="DW49">IFERROR(IF(AND(INDEX($E$8:$CE$57, MATCH($C49, $C$8:$C$57, 0), (COLUMNS($DU49:DW49)-1)*5 + 1) = INDEX($E$5:$CE$5, 1, (COLUMNS($DU49:DW49)-1)*5 + 1), INDEX($E$8:$CE$57, MATCH($C49, $C$8:$C$57, 0), (COLUMNS($DU49:DW49)-1)*5 + 4) = "SF"), INDEX($CZ$8:$CZ$23, COLUMNS($DU49:DW49)), "0"), "")</f>
        <v>0</v>
      </c>
      <c r="DX49" s="390" t="str">
        <f t="array" ref="DX49">IFERROR(IF(AND(INDEX($E$8:$CE$57, MATCH($C49, $C$8:$C$57, 0), (COLUMNS($DU49:DX49)-1)*5 + 1) = INDEX($E$5:$CE$5, 1, (COLUMNS($DU49:DX49)-1)*5 + 1), INDEX($E$8:$CE$57, MATCH($C49, $C$8:$C$57, 0), (COLUMNS($DU49:DX49)-1)*5 + 4) = "SF"), INDEX($CZ$8:$CZ$23, COLUMNS($DU49:DX49)), "0"), "")</f>
        <v>0</v>
      </c>
      <c r="DY49" s="390" t="str">
        <f t="array" ref="DY49">IFERROR(IF(AND(INDEX($E$8:$CE$57, MATCH($C49, $C$8:$C$57, 0), (COLUMNS($DU49:DY49)-1)*5 + 1) = INDEX($E$5:$CE$5, 1, (COLUMNS($DU49:DY49)-1)*5 + 1), INDEX($E$8:$CE$57, MATCH($C49, $C$8:$C$57, 0), (COLUMNS($DU49:DY49)-1)*5 + 4) = "SF"), INDEX($CZ$8:$CZ$23, COLUMNS($DU49:DY49)), "0"), "")</f>
        <v>0</v>
      </c>
      <c r="DZ49" s="390" t="str">
        <f t="array" ref="DZ49">IFERROR(IF(AND(INDEX($E$8:$CE$57, MATCH($C49, $C$8:$C$57, 0), (COLUMNS($DU49:DZ49)-1)*5 + 1) = INDEX($E$5:$CE$5, 1, (COLUMNS($DU49:DZ49)-1)*5 + 1), INDEX($E$8:$CE$57, MATCH($C49, $C$8:$C$57, 0), (COLUMNS($DU49:DZ49)-1)*5 + 4) = "SF"), INDEX($CZ$8:$CZ$23, COLUMNS($DU49:DZ49)), "0"), "")</f>
        <v>0</v>
      </c>
      <c r="EA49" s="390" t="str">
        <f t="array" ref="EA49">IFERROR(IF(AND(INDEX($E$8:$CE$57, MATCH($C49, $C$8:$C$57, 0), (COLUMNS($DU49:EA49)-1)*5 + 1) = INDEX($E$5:$CE$5, 1, (COLUMNS($DU49:EA49)-1)*5 + 1), INDEX($E$8:$CE$57, MATCH($C49, $C$8:$C$57, 0), (COLUMNS($DU49:EA49)-1)*5 + 4) = "SF"), INDEX($CZ$8:$CZ$23, COLUMNS($DU49:EA49)), "0"), "")</f>
        <v>0</v>
      </c>
      <c r="EB49" s="390" t="str">
        <f t="array" ref="EB49">IFERROR(IF(AND(INDEX($E$8:$CE$57, MATCH($C49, $C$8:$C$57, 0), (COLUMNS($DU49:EB49)-1)*5 + 1) = INDEX($E$5:$CE$5, 1, (COLUMNS($DU49:EB49)-1)*5 + 1), INDEX($E$8:$CE$57, MATCH($C49, $C$8:$C$57, 0), (COLUMNS($DU49:EB49)-1)*5 + 4) = "SF"), INDEX($CZ$8:$CZ$23, COLUMNS($DU49:EB49)), "0"), "")</f>
        <v>0</v>
      </c>
      <c r="EC49" s="390" t="str">
        <f t="array" ref="EC49">IFERROR(IF(AND(INDEX($E$8:$CE$57, MATCH($C49, $C$8:$C$57, 0), (COLUMNS($DU49:EC49)-1)*5 + 1) = INDEX($E$5:$CE$5, 1, (COLUMNS($DU49:EC49)-1)*5 + 1), INDEX($E$8:$CE$57, MATCH($C49, $C$8:$C$57, 0), (COLUMNS($DU49:EC49)-1)*5 + 4) = "SF"), INDEX($CZ$8:$CZ$23, COLUMNS($DU49:EC49)), "0"), "")</f>
        <v>0</v>
      </c>
      <c r="ED49" s="390" t="str">
        <f t="array" ref="ED49">IFERROR(IF(AND(INDEX($E$8:$CE$57, MATCH($C49, $C$8:$C$57, 0), (COLUMNS($DU49:ED49)-1)*5 + 1) = INDEX($E$5:$CE$5, 1, (COLUMNS($DU49:ED49)-1)*5 + 1), INDEX($E$8:$CE$57, MATCH($C49, $C$8:$C$57, 0), (COLUMNS($DU49:ED49)-1)*5 + 4) = "SF"), INDEX($CZ$8:$CZ$23, COLUMNS($DU49:ED49)), "0"), "")</f>
        <v>0</v>
      </c>
      <c r="EE49" s="390" t="str">
        <f t="array" ref="EE49">IFERROR(IF(AND(INDEX($E$8:$CE$57, MATCH($C49, $C$8:$C$57, 0), (COLUMNS($DU49:EE49)-1)*5 + 1) = INDEX($E$5:$CE$5, 1, (COLUMNS($DU49:EE49)-1)*5 + 1), INDEX($E$8:$CE$57, MATCH($C49, $C$8:$C$57, 0), (COLUMNS($DU49:EE49)-1)*5 + 4) = "SF"), INDEX($CZ$8:$CZ$23, COLUMNS($DU49:EE49)), "0"), "")</f>
        <v>0</v>
      </c>
      <c r="EF49" s="390" t="str">
        <f t="array" ref="EF49">IFERROR(IF(AND(INDEX($E$8:$CE$57, MATCH($C49, $C$8:$C$57, 0), (COLUMNS($DU49:EF49)-1)*5 + 1) = INDEX($E$5:$CE$5, 1, (COLUMNS($DU49:EF49)-1)*5 + 1), INDEX($E$8:$CE$57, MATCH($C49, $C$8:$C$57, 0), (COLUMNS($DU49:EF49)-1)*5 + 4) = "SF"), INDEX($CZ$8:$CZ$23, COLUMNS($DU49:EF49)), "0"), "")</f>
        <v>0</v>
      </c>
      <c r="EG49" s="390" t="str">
        <f t="array" ref="EG49">IFERROR(IF(AND(INDEX($E$8:$CE$57, MATCH($C49, $C$8:$C$57, 0), (COLUMNS($DU49:EG49)-1)*5 + 1) = INDEX($E$5:$CE$5, 1, (COLUMNS($DU49:EG49)-1)*5 + 1), INDEX($E$8:$CE$57, MATCH($C49, $C$8:$C$57, 0), (COLUMNS($DU49:EG49)-1)*5 + 4) = "SF"), INDEX($CZ$8:$CZ$23, COLUMNS($DU49:EG49)), "0"), "")</f>
        <v>0</v>
      </c>
      <c r="EH49" s="390" t="str">
        <f t="array" ref="EH49">IFERROR(IF(AND(INDEX($E$8:$CE$57, MATCH($C49, $C$8:$C$57, 0), (COLUMNS($DU49:EH49)-1)*5 + 1) = INDEX($E$5:$CE$5, 1, (COLUMNS($DU49:EH49)-1)*5 + 1), INDEX($E$8:$CE$57, MATCH($C49, $C$8:$C$57, 0), (COLUMNS($DU49:EH49)-1)*5 + 4) = "SF"), INDEX($CZ$8:$CZ$23, COLUMNS($DU49:EH49)), "0"), "")</f>
        <v>0</v>
      </c>
      <c r="EI49" s="390" t="str">
        <f t="array" ref="EI49">IFERROR(IF(AND(INDEX($E$8:$CE$57, MATCH($C49, $C$8:$C$57, 0), (COLUMNS($DU49:EI49)-1)*5 + 1) = INDEX($E$5:$CE$5, 1, (COLUMNS($DU49:EI49)-1)*5 + 1), INDEX($E$8:$CE$57, MATCH($C49, $C$8:$C$57, 0), (COLUMNS($DU49:EI49)-1)*5 + 4) = "SF"), INDEX($CZ$8:$CZ$23, COLUMNS($DU49:EI49)), "0"), "")</f>
        <v>0</v>
      </c>
      <c r="EJ49" s="390" t="str">
        <f t="array" ref="EJ49">IFERROR(IF(AND(INDEX($E$8:$CE$57, MATCH($C49, $C$8:$C$57, 0), (COLUMNS($DU49:EJ49)-1)*5 + 1) = INDEX($E$5:$CE$5, 1, (COLUMNS($DU49:EJ49)-1)*5 + 1), INDEX($E$8:$CE$57, MATCH($C49, $C$8:$C$57, 0), (COLUMNS($DU49:EJ49)-1)*5 + 4) = "SF"), INDEX($CZ$8:$CZ$23, COLUMNS($DU49:EJ49)), "0"), "")</f>
        <v>0</v>
      </c>
    </row>
    <row r="50" spans="1:140" ht="20.100000000000001" customHeight="1" outlineLevel="1" x14ac:dyDescent="0.35">
      <c r="A50" s="515"/>
      <c r="B50" s="91">
        <f>IF(BASE01[[#This Row],[COD]]&lt;&gt;"",B49+1,"")</f>
        <v>43</v>
      </c>
      <c r="C50" s="533" t="s">
        <v>114</v>
      </c>
      <c r="D50" s="92" t="str">
        <f t="array" ref="D50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NO ENVIÓ</v>
      </c>
      <c r="E50" s="143"/>
      <c r="F50" s="144"/>
      <c r="G50" s="144"/>
      <c r="H50" s="144"/>
      <c r="I50" s="534">
        <f t="shared" si="18"/>
        <v>0</v>
      </c>
      <c r="J50" s="143"/>
      <c r="K50" s="144"/>
      <c r="L50" s="144"/>
      <c r="M50" s="144"/>
      <c r="N50" s="534">
        <f t="shared" si="19"/>
        <v>0</v>
      </c>
      <c r="O50" s="143"/>
      <c r="P50" s="144"/>
      <c r="Q50" s="144"/>
      <c r="R50" s="144"/>
      <c r="S50" s="534">
        <f t="shared" si="20"/>
        <v>0</v>
      </c>
      <c r="T50" s="143"/>
      <c r="U50" s="144"/>
      <c r="V50" s="144"/>
      <c r="W50" s="144"/>
      <c r="X50" s="534">
        <f t="shared" si="21"/>
        <v>0</v>
      </c>
      <c r="Y50" s="143"/>
      <c r="Z50" s="144"/>
      <c r="AA50" s="144"/>
      <c r="AB50" s="144"/>
      <c r="AC50" s="534">
        <f t="shared" si="22"/>
        <v>0</v>
      </c>
      <c r="AD50" s="143"/>
      <c r="AE50" s="144"/>
      <c r="AF50" s="144"/>
      <c r="AG50" s="144"/>
      <c r="AH50" s="534">
        <f t="shared" si="23"/>
        <v>0</v>
      </c>
      <c r="AI50" s="143"/>
      <c r="AJ50" s="144"/>
      <c r="AK50" s="144"/>
      <c r="AL50" s="144"/>
      <c r="AM50" s="534">
        <f t="shared" si="24"/>
        <v>0</v>
      </c>
      <c r="AN50" s="143"/>
      <c r="AO50" s="144"/>
      <c r="AP50" s="144"/>
      <c r="AQ50" s="144"/>
      <c r="AR50" s="534">
        <f t="shared" si="25"/>
        <v>0</v>
      </c>
      <c r="AS50" s="143"/>
      <c r="AT50" s="144"/>
      <c r="AU50" s="144"/>
      <c r="AV50" s="144"/>
      <c r="AW50" s="534">
        <f t="shared" si="26"/>
        <v>0</v>
      </c>
      <c r="AX50" s="143"/>
      <c r="AY50" s="144"/>
      <c r="AZ50" s="144"/>
      <c r="BA50" s="144"/>
      <c r="BB50" s="534">
        <f t="shared" si="27"/>
        <v>0</v>
      </c>
      <c r="BC50" s="143"/>
      <c r="BD50" s="144"/>
      <c r="BE50" s="144"/>
      <c r="BF50" s="144"/>
      <c r="BG50" s="534">
        <f t="shared" si="28"/>
        <v>0</v>
      </c>
      <c r="BH50" s="143"/>
      <c r="BI50" s="144"/>
      <c r="BJ50" s="144"/>
      <c r="BK50" s="144"/>
      <c r="BL50" s="534">
        <f t="shared" si="29"/>
        <v>0</v>
      </c>
      <c r="BM50" s="143"/>
      <c r="BN50" s="144"/>
      <c r="BO50" s="144"/>
      <c r="BP50" s="144"/>
      <c r="BQ50" s="534">
        <f t="shared" si="30"/>
        <v>0</v>
      </c>
      <c r="BR50" s="143"/>
      <c r="BS50" s="144"/>
      <c r="BT50" s="144"/>
      <c r="BU50" s="144"/>
      <c r="BV50" s="534">
        <f t="shared" si="31"/>
        <v>0</v>
      </c>
      <c r="BW50" s="143"/>
      <c r="BX50" s="144"/>
      <c r="BY50" s="144"/>
      <c r="BZ50" s="144"/>
      <c r="CA50" s="534">
        <f t="shared" si="32"/>
        <v>0</v>
      </c>
      <c r="CB50" s="143"/>
      <c r="CC50" s="144"/>
      <c r="CD50" s="144"/>
      <c r="CE50" s="144"/>
      <c r="CF50" s="534">
        <f t="shared" si="33"/>
        <v>0</v>
      </c>
      <c r="CG50" s="162">
        <f>IF(BASE01[[#This Row],[1]]="",0,$B$4)</f>
        <v>0</v>
      </c>
      <c r="CH50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0</v>
      </c>
      <c r="CI50" s="185">
        <f>IF(BASE01[[#This Row],[Columna14]]=0,0,(CH50/CG50))</f>
        <v>0</v>
      </c>
      <c r="CJ50" s="163">
        <f>IF(BASE01[[#This Row],[1]]="",0,$B$4)</f>
        <v>0</v>
      </c>
      <c r="CK50" s="186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0</v>
      </c>
      <c r="CL50" s="185">
        <f>IF(BASE01[[#This Row],[Columna14]]=0,0,(CK50/CJ50))</f>
        <v>0</v>
      </c>
      <c r="CM50" s="162">
        <f>IF(BASE01[[#This Row],[1]]="",0,$B$4)</f>
        <v>0</v>
      </c>
      <c r="CN50" s="186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0</v>
      </c>
      <c r="CO50" s="185">
        <f>IF(BASE01[[#This Row],[Columna14]]=0,0,(CN50/CM50))</f>
        <v>0</v>
      </c>
      <c r="CP50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0</v>
      </c>
      <c r="CQ50" s="186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Row],[Columna25]],$AX$5,BA50,"SF")+COUNTIFS(BASE01[[#This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0</v>
      </c>
      <c r="CR50" s="185">
        <f>IF(BASE01[[#This Row],[Columna14]]=0,0,(CQ50/CP50))</f>
        <v>0</v>
      </c>
      <c r="CS50" s="539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0</v>
      </c>
      <c r="CT50" s="93"/>
      <c r="CU50" s="536">
        <f t="shared" si="34"/>
        <v>0</v>
      </c>
      <c r="CV50" s="94" t="str">
        <f>IF(BASE01[[#This Row],[TIPO]]="PREMIO",$O$3,"0,00")</f>
        <v>0,00</v>
      </c>
      <c r="CW50" s="515"/>
      <c r="CY50" s="538" t="str">
        <f t="shared" si="17"/>
        <v/>
      </c>
      <c r="CZ50" s="387"/>
      <c r="DA50" s="387" t="str">
        <f t="array" ref="DA50">IF(CZ50="", "", IF((INDEX(E$8:CE$57, MATCH(CZ50, C$8:C$57, 0), ($CZ$25-1)*5 + 1) &amp; "") = (INDEX(E$5:CE$5, 1, ($CZ$25-1)*5 + 1) &amp; ""), 1, IF((INDEX(E$8:CE$57, MATCH(CZ50, C$8:C$57, 0), ($CZ$25-1)*5 + 2) &amp; "") = (INDEX(E$5:CE$5, 1, ($CZ$25-1)*5 + 1) &amp; ""), 2, IF((INDEX(E$8:CE$57, MATCH(CZ50, C$8:C$57, 0), ($CZ$25-1)*5 + 3) &amp; "") = (INDEX(E$5:CE$5, 1, ($CZ$25-1)*5 + 1) &amp; ""), 3, ""))))</f>
        <v/>
      </c>
      <c r="DB50" s="537" t="str">
        <f>BASE01[[#This Row],[COD]]</f>
        <v>COD 43</v>
      </c>
      <c r="DC50" s="390" t="str">
        <f t="array" ref="DC50">IFERROR(IF(AND(INDEX($E$8:$CE$57, MATCH($C50, $C$8:$C$57, 0), (COLUMNS($DC50:DC50)-1)*5 + 1) = INDEX($E$5:$CE$5, 1, (COLUMNS($DC50:DC50)-1)*5 + 1), INDEX($E$8:$CE$57, MATCH($C50, $C$8:$C$57, 0), (COLUMNS($DC50:DC50)-1)*5 + 4) = "F"), INDEX($CZ$8:$CZ$23, COLUMNS($DC50:DC50)), "0"), "")</f>
        <v>0</v>
      </c>
      <c r="DD50" s="390" t="str">
        <f t="array" ref="DD50">IFERROR(IF(AND(INDEX($E$8:$CE$57, MATCH($C50, $C$8:$C$57, 0), (COLUMNS($DC50:DD50)-1)*5 + 1) = INDEX($E$5:$CE$5, 1, (COLUMNS($DC50:DD50)-1)*5 + 1), INDEX($E$8:$CE$57, MATCH($C50, $C$8:$C$57, 0), (COLUMNS($DC50:DD50)-1)*5 + 4) = "F"), INDEX($CZ$8:$CZ$23, COLUMNS($DC50:DD50)), "0"), "")</f>
        <v>0</v>
      </c>
      <c r="DE50" s="390" t="str">
        <f t="array" ref="DE50">IFERROR(IF(AND(INDEX($E$8:$CE$57, MATCH($C50, $C$8:$C$57, 0), (COLUMNS($DC50:DE50)-1)*5 + 1) = INDEX($E$5:$CE$5, 1, (COLUMNS($DC50:DE50)-1)*5 + 1), INDEX($E$8:$CE$57, MATCH($C50, $C$8:$C$57, 0), (COLUMNS($DC50:DE50)-1)*5 + 4) = "F"), INDEX($CZ$8:$CZ$23, COLUMNS($DC50:DE50)), "0"), "")</f>
        <v>0</v>
      </c>
      <c r="DF50" s="390" t="str">
        <f t="array" ref="DF50">IFERROR(IF(AND(INDEX($E$8:$CE$57, MATCH($C50, $C$8:$C$57, 0), (COLUMNS($DC50:DF50)-1)*5 + 1) = INDEX($E$5:$CE$5, 1, (COLUMNS($DC50:DF50)-1)*5 + 1), INDEX($E$8:$CE$57, MATCH($C50, $C$8:$C$57, 0), (COLUMNS($DC50:DF50)-1)*5 + 4) = "F"), INDEX($CZ$8:$CZ$23, COLUMNS($DC50:DF50)), "0"), "")</f>
        <v>0</v>
      </c>
      <c r="DG50" s="390" t="str">
        <f t="array" ref="DG50">IFERROR(IF(AND(INDEX($E$8:$CE$57, MATCH($C50, $C$8:$C$57, 0), (COLUMNS($DC50:DG50)-1)*5 + 1) = INDEX($E$5:$CE$5, 1, (COLUMNS($DC50:DG50)-1)*5 + 1), INDEX($E$8:$CE$57, MATCH($C50, $C$8:$C$57, 0), (COLUMNS($DC50:DG50)-1)*5 + 4) = "F"), INDEX($CZ$8:$CZ$23, COLUMNS($DC50:DG50)), "0"), "")</f>
        <v>0</v>
      </c>
      <c r="DH50" s="390" t="str">
        <f t="array" ref="DH50">IFERROR(IF(AND(INDEX($E$8:$CE$57, MATCH($C50, $C$8:$C$57, 0), (COLUMNS($DC50:DH50)-1)*5 + 1) = INDEX($E$5:$CE$5, 1, (COLUMNS($DC50:DH50)-1)*5 + 1), INDEX($E$8:$CE$57, MATCH($C50, $C$8:$C$57, 0), (COLUMNS($DC50:DH50)-1)*5 + 4) = "F"), INDEX($CZ$8:$CZ$23, COLUMNS($DC50:DH50)), "0"), "")</f>
        <v>0</v>
      </c>
      <c r="DI50" s="390" t="str">
        <f t="array" ref="DI50">IFERROR(IF(AND(INDEX($E$8:$CE$57, MATCH($C50, $C$8:$C$57, 0), (COLUMNS($DC50:DI50)-1)*5 + 1) = INDEX($E$5:$CE$5, 1, (COLUMNS($DC50:DI50)-1)*5 + 1), INDEX($E$8:$CE$57, MATCH($C50, $C$8:$C$57, 0), (COLUMNS($DC50:DI50)-1)*5 + 4) = "F"), INDEX($CZ$8:$CZ$23, COLUMNS($DC50:DI50)), "0"), "")</f>
        <v>0</v>
      </c>
      <c r="DJ50" s="390" t="str">
        <f t="array" ref="DJ50">IFERROR(IF(AND(INDEX($E$8:$CE$57, MATCH($C50, $C$8:$C$57, 0), (COLUMNS($DC50:DJ50)-1)*5 + 1) = INDEX($E$5:$CE$5, 1, (COLUMNS($DC50:DJ50)-1)*5 + 1), INDEX($E$8:$CE$57, MATCH($C50, $C$8:$C$57, 0), (COLUMNS($DC50:DJ50)-1)*5 + 4) = "F"), INDEX($CZ$8:$CZ$23, COLUMNS($DC50:DJ50)), "0"), "")</f>
        <v>0</v>
      </c>
      <c r="DK50" s="390" t="str">
        <f t="array" ref="DK50">IFERROR(IF(AND(INDEX($E$8:$CE$57, MATCH($C50, $C$8:$C$57, 0), (COLUMNS($DC50:DK50)-1)*5 + 1) = INDEX($E$5:$CE$5, 1, (COLUMNS($DC50:DK50)-1)*5 + 1), INDEX($E$8:$CE$57, MATCH($C50, $C$8:$C$57, 0), (COLUMNS($DC50:DK50)-1)*5 + 4) = "F"), INDEX($CZ$8:$CZ$23, COLUMNS($DC50:DK50)), "0"), "")</f>
        <v>0</v>
      </c>
      <c r="DL50" s="390" t="str">
        <f t="array" ref="DL50">IFERROR(IF(AND(INDEX($E$8:$CE$57, MATCH($C50, $C$8:$C$57, 0), (COLUMNS($DC50:DL50)-1)*5 + 1) = INDEX($E$5:$CE$5, 1, (COLUMNS($DC50:DL50)-1)*5 + 1), INDEX($E$8:$CE$57, MATCH($C50, $C$8:$C$57, 0), (COLUMNS($DC50:DL50)-1)*5 + 4) = "F"), INDEX($CZ$8:$CZ$23, COLUMNS($DC50:DL50)), "0"), "")</f>
        <v>0</v>
      </c>
      <c r="DM50" s="390" t="str">
        <f t="array" ref="DM50">IFERROR(IF(AND(INDEX($E$8:$CE$57, MATCH($C50, $C$8:$C$57, 0), (COLUMNS($DC50:DM50)-1)*5 + 1) = INDEX($E$5:$CE$5, 1, (COLUMNS($DC50:DM50)-1)*5 + 1), INDEX($E$8:$CE$57, MATCH($C50, $C$8:$C$57, 0), (COLUMNS($DC50:DM50)-1)*5 + 4) = "F"), INDEX($CZ$8:$CZ$23, COLUMNS($DC50:DM50)), "0"), "")</f>
        <v>0</v>
      </c>
      <c r="DN50" s="390" t="str">
        <f t="array" ref="DN50">IFERROR(IF(AND(INDEX($E$8:$CE$57, MATCH($C50, $C$8:$C$57, 0), (COLUMNS($DC50:DN50)-1)*5 + 1) = INDEX($E$5:$CE$5, 1, (COLUMNS($DC50:DN50)-1)*5 + 1), INDEX($E$8:$CE$57, MATCH($C50, $C$8:$C$57, 0), (COLUMNS($DC50:DN50)-1)*5 + 4) = "F"), INDEX($CZ$8:$CZ$23, COLUMNS($DC50:DN50)), "0"), "")</f>
        <v>0</v>
      </c>
      <c r="DO50" s="390" t="str">
        <f t="array" ref="DO50">IFERROR(IF(AND(INDEX($E$8:$CE$57, MATCH($C50, $C$8:$C$57, 0), (COLUMNS($DC50:DO50)-1)*5 + 1) = INDEX($E$5:$CE$5, 1, (COLUMNS($DC50:DO50)-1)*5 + 1), INDEX($E$8:$CE$57, MATCH($C50, $C$8:$C$57, 0), (COLUMNS($DC50:DO50)-1)*5 + 4) = "F"), INDEX($CZ$8:$CZ$23, COLUMNS($DC50:DO50)), "0"), "")</f>
        <v>0</v>
      </c>
      <c r="DP50" s="390" t="str">
        <f t="array" ref="DP50">IFERROR(IF(AND(INDEX($E$8:$CE$57, MATCH($C50, $C$8:$C$57, 0), (COLUMNS($DC50:DP50)-1)*5 + 1) = INDEX($E$5:$CE$5, 1, (COLUMNS($DC50:DP50)-1)*5 + 1), INDEX($E$8:$CE$57, MATCH($C50, $C$8:$C$57, 0), (COLUMNS($DC50:DP50)-1)*5 + 4) = "F"), INDEX($CZ$8:$CZ$23, COLUMNS($DC50:DP50)), "0"), "")</f>
        <v>0</v>
      </c>
      <c r="DQ50" s="390" t="str">
        <f t="array" ref="DQ50">IFERROR(IF(AND(INDEX($E$8:$CE$57, MATCH($C50, $C$8:$C$57, 0), (COLUMNS($DC50:DQ50)-1)*5 + 1) = INDEX($E$5:$CE$5, 1, (COLUMNS($DC50:DQ50)-1)*5 + 1), INDEX($E$8:$CE$57, MATCH($C50, $C$8:$C$57, 0), (COLUMNS($DC50:DQ50)-1)*5 + 4) = "F"), INDEX($CZ$8:$CZ$23, COLUMNS($DC50:DQ50)), "0"), "")</f>
        <v>0</v>
      </c>
      <c r="DR50" s="390" t="str">
        <f t="array" ref="DR50">IFERROR(IF(AND(INDEX($E$8:$CE$57, MATCH($C50, $C$8:$C$57, 0), (COLUMNS($DC50:DR50)-1)*5 + 1) = INDEX($E$5:$CE$5, 1, (COLUMNS($DC50:DR50)-1)*5 + 1), INDEX($E$8:$CE$57, MATCH($C50, $C$8:$C$57, 0), (COLUMNS($DC50:DR50)-1)*5 + 4) = "F"), INDEX($CZ$8:$CZ$23, COLUMNS($DC50:DR50)), "0"), "")</f>
        <v>0</v>
      </c>
      <c r="DT50" s="537" t="str">
        <f>BASE01[[#This Row],[COD]]</f>
        <v>COD 43</v>
      </c>
      <c r="DU50" s="390" t="str">
        <f t="array" ref="DU50">IFERROR(IF(AND(INDEX($E$8:$CE$57, MATCH($C50, $C$8:$C$57, 0), (COLUMNS($DU50:DU50)-1)*5 + 1) = INDEX($E$5:$CE$5, 1, (COLUMNS($DU50:DU50)-1)*5 + 1), INDEX($E$8:$CE$57, MATCH($C50, $C$8:$C$57, 0), (COLUMNS($DU50:DU50)-1)*5 + 4) = "SF"), INDEX($CZ$8:$CZ$23, COLUMNS($DU50:DU50)), "0"), "")</f>
        <v>0</v>
      </c>
      <c r="DV50" s="390" t="str">
        <f t="array" ref="DV50">IFERROR(IF(AND(INDEX($E$8:$CE$57, MATCH($C50, $C$8:$C$57, 0), (COLUMNS($DU50:DV50)-1)*5 + 1) = INDEX($E$5:$CE$5, 1, (COLUMNS($DU50:DV50)-1)*5 + 1), INDEX($E$8:$CE$57, MATCH($C50, $C$8:$C$57, 0), (COLUMNS($DU50:DV50)-1)*5 + 4) = "SF"), INDEX($CZ$8:$CZ$23, COLUMNS($DU50:DV50)), "0"), "")</f>
        <v>0</v>
      </c>
      <c r="DW50" s="390" t="str">
        <f t="array" ref="DW50">IFERROR(IF(AND(INDEX($E$8:$CE$57, MATCH($C50, $C$8:$C$57, 0), (COLUMNS($DU50:DW50)-1)*5 + 1) = INDEX($E$5:$CE$5, 1, (COLUMNS($DU50:DW50)-1)*5 + 1), INDEX($E$8:$CE$57, MATCH($C50, $C$8:$C$57, 0), (COLUMNS($DU50:DW50)-1)*5 + 4) = "SF"), INDEX($CZ$8:$CZ$23, COLUMNS($DU50:DW50)), "0"), "")</f>
        <v>0</v>
      </c>
      <c r="DX50" s="390" t="str">
        <f t="array" ref="DX50">IFERROR(IF(AND(INDEX($E$8:$CE$57, MATCH($C50, $C$8:$C$57, 0), (COLUMNS($DU50:DX50)-1)*5 + 1) = INDEX($E$5:$CE$5, 1, (COLUMNS($DU50:DX50)-1)*5 + 1), INDEX($E$8:$CE$57, MATCH($C50, $C$8:$C$57, 0), (COLUMNS($DU50:DX50)-1)*5 + 4) = "SF"), INDEX($CZ$8:$CZ$23, COLUMNS($DU50:DX50)), "0"), "")</f>
        <v>0</v>
      </c>
      <c r="DY50" s="390" t="str">
        <f t="array" ref="DY50">IFERROR(IF(AND(INDEX($E$8:$CE$57, MATCH($C50, $C$8:$C$57, 0), (COLUMNS($DU50:DY50)-1)*5 + 1) = INDEX($E$5:$CE$5, 1, (COLUMNS($DU50:DY50)-1)*5 + 1), INDEX($E$8:$CE$57, MATCH($C50, $C$8:$C$57, 0), (COLUMNS($DU50:DY50)-1)*5 + 4) = "SF"), INDEX($CZ$8:$CZ$23, COLUMNS($DU50:DY50)), "0"), "")</f>
        <v>0</v>
      </c>
      <c r="DZ50" s="390" t="str">
        <f t="array" ref="DZ50">IFERROR(IF(AND(INDEX($E$8:$CE$57, MATCH($C50, $C$8:$C$57, 0), (COLUMNS($DU50:DZ50)-1)*5 + 1) = INDEX($E$5:$CE$5, 1, (COLUMNS($DU50:DZ50)-1)*5 + 1), INDEX($E$8:$CE$57, MATCH($C50, $C$8:$C$57, 0), (COLUMNS($DU50:DZ50)-1)*5 + 4) = "SF"), INDEX($CZ$8:$CZ$23, COLUMNS($DU50:DZ50)), "0"), "")</f>
        <v>0</v>
      </c>
      <c r="EA50" s="390" t="str">
        <f t="array" ref="EA50">IFERROR(IF(AND(INDEX($E$8:$CE$57, MATCH($C50, $C$8:$C$57, 0), (COLUMNS($DU50:EA50)-1)*5 + 1) = INDEX($E$5:$CE$5, 1, (COLUMNS($DU50:EA50)-1)*5 + 1), INDEX($E$8:$CE$57, MATCH($C50, $C$8:$C$57, 0), (COLUMNS($DU50:EA50)-1)*5 + 4) = "SF"), INDEX($CZ$8:$CZ$23, COLUMNS($DU50:EA50)), "0"), "")</f>
        <v>0</v>
      </c>
      <c r="EB50" s="390" t="str">
        <f t="array" ref="EB50">IFERROR(IF(AND(INDEX($E$8:$CE$57, MATCH($C50, $C$8:$C$57, 0), (COLUMNS($DU50:EB50)-1)*5 + 1) = INDEX($E$5:$CE$5, 1, (COLUMNS($DU50:EB50)-1)*5 + 1), INDEX($E$8:$CE$57, MATCH($C50, $C$8:$C$57, 0), (COLUMNS($DU50:EB50)-1)*5 + 4) = "SF"), INDEX($CZ$8:$CZ$23, COLUMNS($DU50:EB50)), "0"), "")</f>
        <v>0</v>
      </c>
      <c r="EC50" s="390" t="str">
        <f t="array" ref="EC50">IFERROR(IF(AND(INDEX($E$8:$CE$57, MATCH($C50, $C$8:$C$57, 0), (COLUMNS($DU50:EC50)-1)*5 + 1) = INDEX($E$5:$CE$5, 1, (COLUMNS($DU50:EC50)-1)*5 + 1), INDEX($E$8:$CE$57, MATCH($C50, $C$8:$C$57, 0), (COLUMNS($DU50:EC50)-1)*5 + 4) = "SF"), INDEX($CZ$8:$CZ$23, COLUMNS($DU50:EC50)), "0"), "")</f>
        <v>0</v>
      </c>
      <c r="ED50" s="390" t="str">
        <f t="array" ref="ED50">IFERROR(IF(AND(INDEX($E$8:$CE$57, MATCH($C50, $C$8:$C$57, 0), (COLUMNS($DU50:ED50)-1)*5 + 1) = INDEX($E$5:$CE$5, 1, (COLUMNS($DU50:ED50)-1)*5 + 1), INDEX($E$8:$CE$57, MATCH($C50, $C$8:$C$57, 0), (COLUMNS($DU50:ED50)-1)*5 + 4) = "SF"), INDEX($CZ$8:$CZ$23, COLUMNS($DU50:ED50)), "0"), "")</f>
        <v>0</v>
      </c>
      <c r="EE50" s="390" t="str">
        <f t="array" ref="EE50">IFERROR(IF(AND(INDEX($E$8:$CE$57, MATCH($C50, $C$8:$C$57, 0), (COLUMNS($DU50:EE50)-1)*5 + 1) = INDEX($E$5:$CE$5, 1, (COLUMNS($DU50:EE50)-1)*5 + 1), INDEX($E$8:$CE$57, MATCH($C50, $C$8:$C$57, 0), (COLUMNS($DU50:EE50)-1)*5 + 4) = "SF"), INDEX($CZ$8:$CZ$23, COLUMNS($DU50:EE50)), "0"), "")</f>
        <v>0</v>
      </c>
      <c r="EF50" s="390" t="str">
        <f t="array" ref="EF50">IFERROR(IF(AND(INDEX($E$8:$CE$57, MATCH($C50, $C$8:$C$57, 0), (COLUMNS($DU50:EF50)-1)*5 + 1) = INDEX($E$5:$CE$5, 1, (COLUMNS($DU50:EF50)-1)*5 + 1), INDEX($E$8:$CE$57, MATCH($C50, $C$8:$C$57, 0), (COLUMNS($DU50:EF50)-1)*5 + 4) = "SF"), INDEX($CZ$8:$CZ$23, COLUMNS($DU50:EF50)), "0"), "")</f>
        <v>0</v>
      </c>
      <c r="EG50" s="390" t="str">
        <f t="array" ref="EG50">IFERROR(IF(AND(INDEX($E$8:$CE$57, MATCH($C50, $C$8:$C$57, 0), (COLUMNS($DU50:EG50)-1)*5 + 1) = INDEX($E$5:$CE$5, 1, (COLUMNS($DU50:EG50)-1)*5 + 1), INDEX($E$8:$CE$57, MATCH($C50, $C$8:$C$57, 0), (COLUMNS($DU50:EG50)-1)*5 + 4) = "SF"), INDEX($CZ$8:$CZ$23, COLUMNS($DU50:EG50)), "0"), "")</f>
        <v>0</v>
      </c>
      <c r="EH50" s="390" t="str">
        <f t="array" ref="EH50">IFERROR(IF(AND(INDEX($E$8:$CE$57, MATCH($C50, $C$8:$C$57, 0), (COLUMNS($DU50:EH50)-1)*5 + 1) = INDEX($E$5:$CE$5, 1, (COLUMNS($DU50:EH50)-1)*5 + 1), INDEX($E$8:$CE$57, MATCH($C50, $C$8:$C$57, 0), (COLUMNS($DU50:EH50)-1)*5 + 4) = "SF"), INDEX($CZ$8:$CZ$23, COLUMNS($DU50:EH50)), "0"), "")</f>
        <v>0</v>
      </c>
      <c r="EI50" s="390" t="str">
        <f t="array" ref="EI50">IFERROR(IF(AND(INDEX($E$8:$CE$57, MATCH($C50, $C$8:$C$57, 0), (COLUMNS($DU50:EI50)-1)*5 + 1) = INDEX($E$5:$CE$5, 1, (COLUMNS($DU50:EI50)-1)*5 + 1), INDEX($E$8:$CE$57, MATCH($C50, $C$8:$C$57, 0), (COLUMNS($DU50:EI50)-1)*5 + 4) = "SF"), INDEX($CZ$8:$CZ$23, COLUMNS($DU50:EI50)), "0"), "")</f>
        <v>0</v>
      </c>
      <c r="EJ50" s="390" t="str">
        <f t="array" ref="EJ50">IFERROR(IF(AND(INDEX($E$8:$CE$57, MATCH($C50, $C$8:$C$57, 0), (COLUMNS($DU50:EJ50)-1)*5 + 1) = INDEX($E$5:$CE$5, 1, (COLUMNS($DU50:EJ50)-1)*5 + 1), INDEX($E$8:$CE$57, MATCH($C50, $C$8:$C$57, 0), (COLUMNS($DU50:EJ50)-1)*5 + 4) = "SF"), INDEX($CZ$8:$CZ$23, COLUMNS($DU50:EJ50)), "0"), "")</f>
        <v>0</v>
      </c>
    </row>
    <row r="51" spans="1:140" ht="20.100000000000001" customHeight="1" outlineLevel="1" x14ac:dyDescent="0.35">
      <c r="A51" s="515"/>
      <c r="B51" s="91">
        <f>IF(BASE01[[#This Row],[COD]]&lt;&gt;"",B50+1,"")</f>
        <v>44</v>
      </c>
      <c r="C51" s="533" t="s">
        <v>115</v>
      </c>
      <c r="D51" s="92" t="str">
        <f t="array" ref="D51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NO ENVIÓ</v>
      </c>
      <c r="E51" s="143"/>
      <c r="F51" s="144"/>
      <c r="G51" s="144"/>
      <c r="H51" s="144"/>
      <c r="I51" s="534">
        <f t="shared" si="18"/>
        <v>0</v>
      </c>
      <c r="J51" s="143"/>
      <c r="K51" s="144"/>
      <c r="L51" s="144"/>
      <c r="M51" s="144"/>
      <c r="N51" s="534">
        <f t="shared" si="19"/>
        <v>0</v>
      </c>
      <c r="O51" s="143"/>
      <c r="P51" s="144"/>
      <c r="Q51" s="144"/>
      <c r="R51" s="144"/>
      <c r="S51" s="534">
        <f t="shared" si="20"/>
        <v>0</v>
      </c>
      <c r="T51" s="143"/>
      <c r="U51" s="144"/>
      <c r="V51" s="144"/>
      <c r="W51" s="144"/>
      <c r="X51" s="534">
        <f t="shared" si="21"/>
        <v>0</v>
      </c>
      <c r="Y51" s="143"/>
      <c r="Z51" s="144"/>
      <c r="AA51" s="144"/>
      <c r="AB51" s="144"/>
      <c r="AC51" s="534">
        <f t="shared" si="22"/>
        <v>0</v>
      </c>
      <c r="AD51" s="143"/>
      <c r="AE51" s="144"/>
      <c r="AF51" s="144"/>
      <c r="AG51" s="144"/>
      <c r="AH51" s="534">
        <f t="shared" si="23"/>
        <v>0</v>
      </c>
      <c r="AI51" s="143"/>
      <c r="AJ51" s="144"/>
      <c r="AK51" s="144"/>
      <c r="AL51" s="144"/>
      <c r="AM51" s="534">
        <f t="shared" si="24"/>
        <v>0</v>
      </c>
      <c r="AN51" s="143"/>
      <c r="AO51" s="144"/>
      <c r="AP51" s="144"/>
      <c r="AQ51" s="144"/>
      <c r="AR51" s="534">
        <f t="shared" si="25"/>
        <v>0</v>
      </c>
      <c r="AS51" s="143"/>
      <c r="AT51" s="144"/>
      <c r="AU51" s="144"/>
      <c r="AV51" s="144"/>
      <c r="AW51" s="534">
        <f t="shared" si="26"/>
        <v>0</v>
      </c>
      <c r="AX51" s="143"/>
      <c r="AY51" s="144"/>
      <c r="AZ51" s="144"/>
      <c r="BA51" s="144"/>
      <c r="BB51" s="534">
        <f t="shared" si="27"/>
        <v>0</v>
      </c>
      <c r="BC51" s="143"/>
      <c r="BD51" s="144"/>
      <c r="BE51" s="144"/>
      <c r="BF51" s="144"/>
      <c r="BG51" s="534">
        <f t="shared" si="28"/>
        <v>0</v>
      </c>
      <c r="BH51" s="143"/>
      <c r="BI51" s="144"/>
      <c r="BJ51" s="144"/>
      <c r="BK51" s="144"/>
      <c r="BL51" s="534">
        <f t="shared" si="29"/>
        <v>0</v>
      </c>
      <c r="BM51" s="143"/>
      <c r="BN51" s="144"/>
      <c r="BO51" s="144"/>
      <c r="BP51" s="144"/>
      <c r="BQ51" s="534">
        <f t="shared" si="30"/>
        <v>0</v>
      </c>
      <c r="BR51" s="143"/>
      <c r="BS51" s="144"/>
      <c r="BT51" s="144"/>
      <c r="BU51" s="144"/>
      <c r="BV51" s="534">
        <f t="shared" si="31"/>
        <v>0</v>
      </c>
      <c r="BW51" s="143"/>
      <c r="BX51" s="144"/>
      <c r="BY51" s="144"/>
      <c r="BZ51" s="144"/>
      <c r="CA51" s="534">
        <f t="shared" si="32"/>
        <v>0</v>
      </c>
      <c r="CB51" s="143"/>
      <c r="CC51" s="144"/>
      <c r="CD51" s="144"/>
      <c r="CE51" s="144"/>
      <c r="CF51" s="534">
        <f t="shared" si="33"/>
        <v>0</v>
      </c>
      <c r="CG51" s="162">
        <f>IF(BASE01[[#This Row],[1]]="",0,$B$4)</f>
        <v>0</v>
      </c>
      <c r="CH51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0</v>
      </c>
      <c r="CI51" s="185">
        <f>IF(BASE01[[#This Row],[Columna14]]=0,0,(CH51/CG51))</f>
        <v>0</v>
      </c>
      <c r="CJ51" s="163">
        <f>IF(BASE01[[#This Row],[1]]="",0,$B$4)</f>
        <v>0</v>
      </c>
      <c r="CK51" s="186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0</v>
      </c>
      <c r="CL51" s="185">
        <f>IF(BASE01[[#This Row],[Columna14]]=0,0,(CK51/CJ51))</f>
        <v>0</v>
      </c>
      <c r="CM51" s="162">
        <f>IF(BASE01[[#This Row],[1]]="",0,$B$4)</f>
        <v>0</v>
      </c>
      <c r="CN51" s="186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0</v>
      </c>
      <c r="CO51" s="185">
        <f>IF(BASE01[[#This Row],[Columna14]]=0,0,(CN51/CM51))</f>
        <v>0</v>
      </c>
      <c r="CP51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0</v>
      </c>
      <c r="CQ51" s="186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Row],[Columna25]],$AX$5,BA51,"SF")+COUNTIFS(BASE01[[#This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0</v>
      </c>
      <c r="CR51" s="185">
        <f>IF(BASE01[[#This Row],[Columna14]]=0,0,(CQ51/CP51))</f>
        <v>0</v>
      </c>
      <c r="CS51" s="539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0</v>
      </c>
      <c r="CT51" s="93"/>
      <c r="CU51" s="536">
        <f t="shared" si="34"/>
        <v>0</v>
      </c>
      <c r="CV51" s="94" t="str">
        <f>IF(BASE01[[#This Row],[TIPO]]="PREMIO",$O$3,"0,00")</f>
        <v>0,00</v>
      </c>
      <c r="CW51" s="515"/>
      <c r="CY51" s="538" t="str">
        <f t="shared" si="17"/>
        <v/>
      </c>
      <c r="CZ51" s="387"/>
      <c r="DA51" s="387" t="str">
        <f t="array" ref="DA51">IF(CZ51="", "", IF((INDEX(E$8:CE$57, MATCH(CZ51, C$8:C$57, 0), ($CZ$25-1)*5 + 1) &amp; "") = (INDEX(E$5:CE$5, 1, ($CZ$25-1)*5 + 1) &amp; ""), 1, IF((INDEX(E$8:CE$57, MATCH(CZ51, C$8:C$57, 0), ($CZ$25-1)*5 + 2) &amp; "") = (INDEX(E$5:CE$5, 1, ($CZ$25-1)*5 + 1) &amp; ""), 2, IF((INDEX(E$8:CE$57, MATCH(CZ51, C$8:C$57, 0), ($CZ$25-1)*5 + 3) &amp; "") = (INDEX(E$5:CE$5, 1, ($CZ$25-1)*5 + 1) &amp; ""), 3, ""))))</f>
        <v/>
      </c>
      <c r="DB51" s="537" t="str">
        <f>BASE01[[#This Row],[COD]]</f>
        <v>COD 44</v>
      </c>
      <c r="DC51" s="390" t="str">
        <f t="array" ref="DC51">IFERROR(IF(AND(INDEX($E$8:$CE$57, MATCH($C51, $C$8:$C$57, 0), (COLUMNS($DC51:DC51)-1)*5 + 1) = INDEX($E$5:$CE$5, 1, (COLUMNS($DC51:DC51)-1)*5 + 1), INDEX($E$8:$CE$57, MATCH($C51, $C$8:$C$57, 0), (COLUMNS($DC51:DC51)-1)*5 + 4) = "F"), INDEX($CZ$8:$CZ$23, COLUMNS($DC51:DC51)), "0"), "")</f>
        <v>0</v>
      </c>
      <c r="DD51" s="390" t="str">
        <f t="array" ref="DD51">IFERROR(IF(AND(INDEX($E$8:$CE$57, MATCH($C51, $C$8:$C$57, 0), (COLUMNS($DC51:DD51)-1)*5 + 1) = INDEX($E$5:$CE$5, 1, (COLUMNS($DC51:DD51)-1)*5 + 1), INDEX($E$8:$CE$57, MATCH($C51, $C$8:$C$57, 0), (COLUMNS($DC51:DD51)-1)*5 + 4) = "F"), INDEX($CZ$8:$CZ$23, COLUMNS($DC51:DD51)), "0"), "")</f>
        <v>0</v>
      </c>
      <c r="DE51" s="390" t="str">
        <f t="array" ref="DE51">IFERROR(IF(AND(INDEX($E$8:$CE$57, MATCH($C51, $C$8:$C$57, 0), (COLUMNS($DC51:DE51)-1)*5 + 1) = INDEX($E$5:$CE$5, 1, (COLUMNS($DC51:DE51)-1)*5 + 1), INDEX($E$8:$CE$57, MATCH($C51, $C$8:$C$57, 0), (COLUMNS($DC51:DE51)-1)*5 + 4) = "F"), INDEX($CZ$8:$CZ$23, COLUMNS($DC51:DE51)), "0"), "")</f>
        <v>0</v>
      </c>
      <c r="DF51" s="390" t="str">
        <f t="array" ref="DF51">IFERROR(IF(AND(INDEX($E$8:$CE$57, MATCH($C51, $C$8:$C$57, 0), (COLUMNS($DC51:DF51)-1)*5 + 1) = INDEX($E$5:$CE$5, 1, (COLUMNS($DC51:DF51)-1)*5 + 1), INDEX($E$8:$CE$57, MATCH($C51, $C$8:$C$57, 0), (COLUMNS($DC51:DF51)-1)*5 + 4) = "F"), INDEX($CZ$8:$CZ$23, COLUMNS($DC51:DF51)), "0"), "")</f>
        <v>0</v>
      </c>
      <c r="DG51" s="390" t="str">
        <f t="array" ref="DG51">IFERROR(IF(AND(INDEX($E$8:$CE$57, MATCH($C51, $C$8:$C$57, 0), (COLUMNS($DC51:DG51)-1)*5 + 1) = INDEX($E$5:$CE$5, 1, (COLUMNS($DC51:DG51)-1)*5 + 1), INDEX($E$8:$CE$57, MATCH($C51, $C$8:$C$57, 0), (COLUMNS($DC51:DG51)-1)*5 + 4) = "F"), INDEX($CZ$8:$CZ$23, COLUMNS($DC51:DG51)), "0"), "")</f>
        <v>0</v>
      </c>
      <c r="DH51" s="390" t="str">
        <f t="array" ref="DH51">IFERROR(IF(AND(INDEX($E$8:$CE$57, MATCH($C51, $C$8:$C$57, 0), (COLUMNS($DC51:DH51)-1)*5 + 1) = INDEX($E$5:$CE$5, 1, (COLUMNS($DC51:DH51)-1)*5 + 1), INDEX($E$8:$CE$57, MATCH($C51, $C$8:$C$57, 0), (COLUMNS($DC51:DH51)-1)*5 + 4) = "F"), INDEX($CZ$8:$CZ$23, COLUMNS($DC51:DH51)), "0"), "")</f>
        <v>0</v>
      </c>
      <c r="DI51" s="390" t="str">
        <f t="array" ref="DI51">IFERROR(IF(AND(INDEX($E$8:$CE$57, MATCH($C51, $C$8:$C$57, 0), (COLUMNS($DC51:DI51)-1)*5 + 1) = INDEX($E$5:$CE$5, 1, (COLUMNS($DC51:DI51)-1)*5 + 1), INDEX($E$8:$CE$57, MATCH($C51, $C$8:$C$57, 0), (COLUMNS($DC51:DI51)-1)*5 + 4) = "F"), INDEX($CZ$8:$CZ$23, COLUMNS($DC51:DI51)), "0"), "")</f>
        <v>0</v>
      </c>
      <c r="DJ51" s="390" t="str">
        <f t="array" ref="DJ51">IFERROR(IF(AND(INDEX($E$8:$CE$57, MATCH($C51, $C$8:$C$57, 0), (COLUMNS($DC51:DJ51)-1)*5 + 1) = INDEX($E$5:$CE$5, 1, (COLUMNS($DC51:DJ51)-1)*5 + 1), INDEX($E$8:$CE$57, MATCH($C51, $C$8:$C$57, 0), (COLUMNS($DC51:DJ51)-1)*5 + 4) = "F"), INDEX($CZ$8:$CZ$23, COLUMNS($DC51:DJ51)), "0"), "")</f>
        <v>0</v>
      </c>
      <c r="DK51" s="390" t="str">
        <f t="array" ref="DK51">IFERROR(IF(AND(INDEX($E$8:$CE$57, MATCH($C51, $C$8:$C$57, 0), (COLUMNS($DC51:DK51)-1)*5 + 1) = INDEX($E$5:$CE$5, 1, (COLUMNS($DC51:DK51)-1)*5 + 1), INDEX($E$8:$CE$57, MATCH($C51, $C$8:$C$57, 0), (COLUMNS($DC51:DK51)-1)*5 + 4) = "F"), INDEX($CZ$8:$CZ$23, COLUMNS($DC51:DK51)), "0"), "")</f>
        <v>0</v>
      </c>
      <c r="DL51" s="390" t="str">
        <f t="array" ref="DL51">IFERROR(IF(AND(INDEX($E$8:$CE$57, MATCH($C51, $C$8:$C$57, 0), (COLUMNS($DC51:DL51)-1)*5 + 1) = INDEX($E$5:$CE$5, 1, (COLUMNS($DC51:DL51)-1)*5 + 1), INDEX($E$8:$CE$57, MATCH($C51, $C$8:$C$57, 0), (COLUMNS($DC51:DL51)-1)*5 + 4) = "F"), INDEX($CZ$8:$CZ$23, COLUMNS($DC51:DL51)), "0"), "")</f>
        <v>0</v>
      </c>
      <c r="DM51" s="390" t="str">
        <f t="array" ref="DM51">IFERROR(IF(AND(INDEX($E$8:$CE$57, MATCH($C51, $C$8:$C$57, 0), (COLUMNS($DC51:DM51)-1)*5 + 1) = INDEX($E$5:$CE$5, 1, (COLUMNS($DC51:DM51)-1)*5 + 1), INDEX($E$8:$CE$57, MATCH($C51, $C$8:$C$57, 0), (COLUMNS($DC51:DM51)-1)*5 + 4) = "F"), INDEX($CZ$8:$CZ$23, COLUMNS($DC51:DM51)), "0"), "")</f>
        <v>0</v>
      </c>
      <c r="DN51" s="390" t="str">
        <f t="array" ref="DN51">IFERROR(IF(AND(INDEX($E$8:$CE$57, MATCH($C51, $C$8:$C$57, 0), (COLUMNS($DC51:DN51)-1)*5 + 1) = INDEX($E$5:$CE$5, 1, (COLUMNS($DC51:DN51)-1)*5 + 1), INDEX($E$8:$CE$57, MATCH($C51, $C$8:$C$57, 0), (COLUMNS($DC51:DN51)-1)*5 + 4) = "F"), INDEX($CZ$8:$CZ$23, COLUMNS($DC51:DN51)), "0"), "")</f>
        <v>0</v>
      </c>
      <c r="DO51" s="390" t="str">
        <f t="array" ref="DO51">IFERROR(IF(AND(INDEX($E$8:$CE$57, MATCH($C51, $C$8:$C$57, 0), (COLUMNS($DC51:DO51)-1)*5 + 1) = INDEX($E$5:$CE$5, 1, (COLUMNS($DC51:DO51)-1)*5 + 1), INDEX($E$8:$CE$57, MATCH($C51, $C$8:$C$57, 0), (COLUMNS($DC51:DO51)-1)*5 + 4) = "F"), INDEX($CZ$8:$CZ$23, COLUMNS($DC51:DO51)), "0"), "")</f>
        <v>0</v>
      </c>
      <c r="DP51" s="390" t="str">
        <f t="array" ref="DP51">IFERROR(IF(AND(INDEX($E$8:$CE$57, MATCH($C51, $C$8:$C$57, 0), (COLUMNS($DC51:DP51)-1)*5 + 1) = INDEX($E$5:$CE$5, 1, (COLUMNS($DC51:DP51)-1)*5 + 1), INDEX($E$8:$CE$57, MATCH($C51, $C$8:$C$57, 0), (COLUMNS($DC51:DP51)-1)*5 + 4) = "F"), INDEX($CZ$8:$CZ$23, COLUMNS($DC51:DP51)), "0"), "")</f>
        <v>0</v>
      </c>
      <c r="DQ51" s="390" t="str">
        <f t="array" ref="DQ51">IFERROR(IF(AND(INDEX($E$8:$CE$57, MATCH($C51, $C$8:$C$57, 0), (COLUMNS($DC51:DQ51)-1)*5 + 1) = INDEX($E$5:$CE$5, 1, (COLUMNS($DC51:DQ51)-1)*5 + 1), INDEX($E$8:$CE$57, MATCH($C51, $C$8:$C$57, 0), (COLUMNS($DC51:DQ51)-1)*5 + 4) = "F"), INDEX($CZ$8:$CZ$23, COLUMNS($DC51:DQ51)), "0"), "")</f>
        <v>0</v>
      </c>
      <c r="DR51" s="390" t="str">
        <f t="array" ref="DR51">IFERROR(IF(AND(INDEX($E$8:$CE$57, MATCH($C51, $C$8:$C$57, 0), (COLUMNS($DC51:DR51)-1)*5 + 1) = INDEX($E$5:$CE$5, 1, (COLUMNS($DC51:DR51)-1)*5 + 1), INDEX($E$8:$CE$57, MATCH($C51, $C$8:$C$57, 0), (COLUMNS($DC51:DR51)-1)*5 + 4) = "F"), INDEX($CZ$8:$CZ$23, COLUMNS($DC51:DR51)), "0"), "")</f>
        <v>0</v>
      </c>
      <c r="DT51" s="537" t="str">
        <f>BASE01[[#This Row],[COD]]</f>
        <v>COD 44</v>
      </c>
      <c r="DU51" s="390" t="str">
        <f t="array" ref="DU51">IFERROR(IF(AND(INDEX($E$8:$CE$57, MATCH($C51, $C$8:$C$57, 0), (COLUMNS($DU51:DU51)-1)*5 + 1) = INDEX($E$5:$CE$5, 1, (COLUMNS($DU51:DU51)-1)*5 + 1), INDEX($E$8:$CE$57, MATCH($C51, $C$8:$C$57, 0), (COLUMNS($DU51:DU51)-1)*5 + 4) = "SF"), INDEX($CZ$8:$CZ$23, COLUMNS($DU51:DU51)), "0"), "")</f>
        <v>0</v>
      </c>
      <c r="DV51" s="390" t="str">
        <f t="array" ref="DV51">IFERROR(IF(AND(INDEX($E$8:$CE$57, MATCH($C51, $C$8:$C$57, 0), (COLUMNS($DU51:DV51)-1)*5 + 1) = INDEX($E$5:$CE$5, 1, (COLUMNS($DU51:DV51)-1)*5 + 1), INDEX($E$8:$CE$57, MATCH($C51, $C$8:$C$57, 0), (COLUMNS($DU51:DV51)-1)*5 + 4) = "SF"), INDEX($CZ$8:$CZ$23, COLUMNS($DU51:DV51)), "0"), "")</f>
        <v>0</v>
      </c>
      <c r="DW51" s="390" t="str">
        <f t="array" ref="DW51">IFERROR(IF(AND(INDEX($E$8:$CE$57, MATCH($C51, $C$8:$C$57, 0), (COLUMNS($DU51:DW51)-1)*5 + 1) = INDEX($E$5:$CE$5, 1, (COLUMNS($DU51:DW51)-1)*5 + 1), INDEX($E$8:$CE$57, MATCH($C51, $C$8:$C$57, 0), (COLUMNS($DU51:DW51)-1)*5 + 4) = "SF"), INDEX($CZ$8:$CZ$23, COLUMNS($DU51:DW51)), "0"), "")</f>
        <v>0</v>
      </c>
      <c r="DX51" s="390" t="str">
        <f t="array" ref="DX51">IFERROR(IF(AND(INDEX($E$8:$CE$57, MATCH($C51, $C$8:$C$57, 0), (COLUMNS($DU51:DX51)-1)*5 + 1) = INDEX($E$5:$CE$5, 1, (COLUMNS($DU51:DX51)-1)*5 + 1), INDEX($E$8:$CE$57, MATCH($C51, $C$8:$C$57, 0), (COLUMNS($DU51:DX51)-1)*5 + 4) = "SF"), INDEX($CZ$8:$CZ$23, COLUMNS($DU51:DX51)), "0"), "")</f>
        <v>0</v>
      </c>
      <c r="DY51" s="390" t="str">
        <f t="array" ref="DY51">IFERROR(IF(AND(INDEX($E$8:$CE$57, MATCH($C51, $C$8:$C$57, 0), (COLUMNS($DU51:DY51)-1)*5 + 1) = INDEX($E$5:$CE$5, 1, (COLUMNS($DU51:DY51)-1)*5 + 1), INDEX($E$8:$CE$57, MATCH($C51, $C$8:$C$57, 0), (COLUMNS($DU51:DY51)-1)*5 + 4) = "SF"), INDEX($CZ$8:$CZ$23, COLUMNS($DU51:DY51)), "0"), "")</f>
        <v>0</v>
      </c>
      <c r="DZ51" s="390" t="str">
        <f t="array" ref="DZ51">IFERROR(IF(AND(INDEX($E$8:$CE$57, MATCH($C51, $C$8:$C$57, 0), (COLUMNS($DU51:DZ51)-1)*5 + 1) = INDEX($E$5:$CE$5, 1, (COLUMNS($DU51:DZ51)-1)*5 + 1), INDEX($E$8:$CE$57, MATCH($C51, $C$8:$C$57, 0), (COLUMNS($DU51:DZ51)-1)*5 + 4) = "SF"), INDEX($CZ$8:$CZ$23, COLUMNS($DU51:DZ51)), "0"), "")</f>
        <v>0</v>
      </c>
      <c r="EA51" s="390" t="str">
        <f t="array" ref="EA51">IFERROR(IF(AND(INDEX($E$8:$CE$57, MATCH($C51, $C$8:$C$57, 0), (COLUMNS($DU51:EA51)-1)*5 + 1) = INDEX($E$5:$CE$5, 1, (COLUMNS($DU51:EA51)-1)*5 + 1), INDEX($E$8:$CE$57, MATCH($C51, $C$8:$C$57, 0), (COLUMNS($DU51:EA51)-1)*5 + 4) = "SF"), INDEX($CZ$8:$CZ$23, COLUMNS($DU51:EA51)), "0"), "")</f>
        <v>0</v>
      </c>
      <c r="EB51" s="390" t="str">
        <f t="array" ref="EB51">IFERROR(IF(AND(INDEX($E$8:$CE$57, MATCH($C51, $C$8:$C$57, 0), (COLUMNS($DU51:EB51)-1)*5 + 1) = INDEX($E$5:$CE$5, 1, (COLUMNS($DU51:EB51)-1)*5 + 1), INDEX($E$8:$CE$57, MATCH($C51, $C$8:$C$57, 0), (COLUMNS($DU51:EB51)-1)*5 + 4) = "SF"), INDEX($CZ$8:$CZ$23, COLUMNS($DU51:EB51)), "0"), "")</f>
        <v>0</v>
      </c>
      <c r="EC51" s="390" t="str">
        <f t="array" ref="EC51">IFERROR(IF(AND(INDEX($E$8:$CE$57, MATCH($C51, $C$8:$C$57, 0), (COLUMNS($DU51:EC51)-1)*5 + 1) = INDEX($E$5:$CE$5, 1, (COLUMNS($DU51:EC51)-1)*5 + 1), INDEX($E$8:$CE$57, MATCH($C51, $C$8:$C$57, 0), (COLUMNS($DU51:EC51)-1)*5 + 4) = "SF"), INDEX($CZ$8:$CZ$23, COLUMNS($DU51:EC51)), "0"), "")</f>
        <v>0</v>
      </c>
      <c r="ED51" s="390" t="str">
        <f t="array" ref="ED51">IFERROR(IF(AND(INDEX($E$8:$CE$57, MATCH($C51, $C$8:$C$57, 0), (COLUMNS($DU51:ED51)-1)*5 + 1) = INDEX($E$5:$CE$5, 1, (COLUMNS($DU51:ED51)-1)*5 + 1), INDEX($E$8:$CE$57, MATCH($C51, $C$8:$C$57, 0), (COLUMNS($DU51:ED51)-1)*5 + 4) = "SF"), INDEX($CZ$8:$CZ$23, COLUMNS($DU51:ED51)), "0"), "")</f>
        <v>0</v>
      </c>
      <c r="EE51" s="390" t="str">
        <f t="array" ref="EE51">IFERROR(IF(AND(INDEX($E$8:$CE$57, MATCH($C51, $C$8:$C$57, 0), (COLUMNS($DU51:EE51)-1)*5 + 1) = INDEX($E$5:$CE$5, 1, (COLUMNS($DU51:EE51)-1)*5 + 1), INDEX($E$8:$CE$57, MATCH($C51, $C$8:$C$57, 0), (COLUMNS($DU51:EE51)-1)*5 + 4) = "SF"), INDEX($CZ$8:$CZ$23, COLUMNS($DU51:EE51)), "0"), "")</f>
        <v>0</v>
      </c>
      <c r="EF51" s="390" t="str">
        <f t="array" ref="EF51">IFERROR(IF(AND(INDEX($E$8:$CE$57, MATCH($C51, $C$8:$C$57, 0), (COLUMNS($DU51:EF51)-1)*5 + 1) = INDEX($E$5:$CE$5, 1, (COLUMNS($DU51:EF51)-1)*5 + 1), INDEX($E$8:$CE$57, MATCH($C51, $C$8:$C$57, 0), (COLUMNS($DU51:EF51)-1)*5 + 4) = "SF"), INDEX($CZ$8:$CZ$23, COLUMNS($DU51:EF51)), "0"), "")</f>
        <v>0</v>
      </c>
      <c r="EG51" s="390" t="str">
        <f t="array" ref="EG51">IFERROR(IF(AND(INDEX($E$8:$CE$57, MATCH($C51, $C$8:$C$57, 0), (COLUMNS($DU51:EG51)-1)*5 + 1) = INDEX($E$5:$CE$5, 1, (COLUMNS($DU51:EG51)-1)*5 + 1), INDEX($E$8:$CE$57, MATCH($C51, $C$8:$C$57, 0), (COLUMNS($DU51:EG51)-1)*5 + 4) = "SF"), INDEX($CZ$8:$CZ$23, COLUMNS($DU51:EG51)), "0"), "")</f>
        <v>0</v>
      </c>
      <c r="EH51" s="390" t="str">
        <f t="array" ref="EH51">IFERROR(IF(AND(INDEX($E$8:$CE$57, MATCH($C51, $C$8:$C$57, 0), (COLUMNS($DU51:EH51)-1)*5 + 1) = INDEX($E$5:$CE$5, 1, (COLUMNS($DU51:EH51)-1)*5 + 1), INDEX($E$8:$CE$57, MATCH($C51, $C$8:$C$57, 0), (COLUMNS($DU51:EH51)-1)*5 + 4) = "SF"), INDEX($CZ$8:$CZ$23, COLUMNS($DU51:EH51)), "0"), "")</f>
        <v>0</v>
      </c>
      <c r="EI51" s="390" t="str">
        <f t="array" ref="EI51">IFERROR(IF(AND(INDEX($E$8:$CE$57, MATCH($C51, $C$8:$C$57, 0), (COLUMNS($DU51:EI51)-1)*5 + 1) = INDEX($E$5:$CE$5, 1, (COLUMNS($DU51:EI51)-1)*5 + 1), INDEX($E$8:$CE$57, MATCH($C51, $C$8:$C$57, 0), (COLUMNS($DU51:EI51)-1)*5 + 4) = "SF"), INDEX($CZ$8:$CZ$23, COLUMNS($DU51:EI51)), "0"), "")</f>
        <v>0</v>
      </c>
      <c r="EJ51" s="390" t="str">
        <f t="array" ref="EJ51">IFERROR(IF(AND(INDEX($E$8:$CE$57, MATCH($C51, $C$8:$C$57, 0), (COLUMNS($DU51:EJ51)-1)*5 + 1) = INDEX($E$5:$CE$5, 1, (COLUMNS($DU51:EJ51)-1)*5 + 1), INDEX($E$8:$CE$57, MATCH($C51, $C$8:$C$57, 0), (COLUMNS($DU51:EJ51)-1)*5 + 4) = "SF"), INDEX($CZ$8:$CZ$23, COLUMNS($DU51:EJ51)), "0"), "")</f>
        <v>0</v>
      </c>
    </row>
    <row r="52" spans="1:140" ht="20.100000000000001" customHeight="1" outlineLevel="1" x14ac:dyDescent="0.35">
      <c r="A52" s="515"/>
      <c r="B52" s="91">
        <f>IF(BASE01[[#This Row],[COD]]&lt;&gt;"",B51+1,"")</f>
        <v>45</v>
      </c>
      <c r="C52" s="533" t="s">
        <v>116</v>
      </c>
      <c r="D52" s="92" t="str">
        <f t="array" ref="D52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PREMIO</v>
      </c>
      <c r="E52" s="143"/>
      <c r="F52" s="144"/>
      <c r="G52" s="144"/>
      <c r="H52" s="144"/>
      <c r="I52" s="534">
        <f t="shared" si="18"/>
        <v>0</v>
      </c>
      <c r="J52" s="143"/>
      <c r="K52" s="144"/>
      <c r="L52" s="144"/>
      <c r="M52" s="144"/>
      <c r="N52" s="534">
        <f t="shared" si="19"/>
        <v>0</v>
      </c>
      <c r="O52" s="143"/>
      <c r="P52" s="144"/>
      <c r="Q52" s="144"/>
      <c r="R52" s="144"/>
      <c r="S52" s="534">
        <f t="shared" si="20"/>
        <v>0</v>
      </c>
      <c r="T52" s="143"/>
      <c r="U52" s="144"/>
      <c r="V52" s="144"/>
      <c r="W52" s="144"/>
      <c r="X52" s="534">
        <f t="shared" si="21"/>
        <v>0</v>
      </c>
      <c r="Y52" s="143"/>
      <c r="Z52" s="144"/>
      <c r="AA52" s="144"/>
      <c r="AB52" s="144"/>
      <c r="AC52" s="534">
        <f t="shared" si="22"/>
        <v>0</v>
      </c>
      <c r="AD52" s="143"/>
      <c r="AE52" s="144"/>
      <c r="AF52" s="144"/>
      <c r="AG52" s="144"/>
      <c r="AH52" s="534">
        <f t="shared" si="23"/>
        <v>0</v>
      </c>
      <c r="AI52" s="143"/>
      <c r="AJ52" s="144"/>
      <c r="AK52" s="144"/>
      <c r="AL52" s="144"/>
      <c r="AM52" s="534">
        <f t="shared" si="24"/>
        <v>0</v>
      </c>
      <c r="AN52" s="143"/>
      <c r="AO52" s="144"/>
      <c r="AP52" s="144"/>
      <c r="AQ52" s="144"/>
      <c r="AR52" s="534">
        <f t="shared" si="25"/>
        <v>0</v>
      </c>
      <c r="AS52" s="143"/>
      <c r="AT52" s="144"/>
      <c r="AU52" s="144"/>
      <c r="AV52" s="144"/>
      <c r="AW52" s="534">
        <f t="shared" si="26"/>
        <v>0</v>
      </c>
      <c r="AX52" s="143"/>
      <c r="AY52" s="144"/>
      <c r="AZ52" s="144"/>
      <c r="BA52" s="144"/>
      <c r="BB52" s="534">
        <f t="shared" si="27"/>
        <v>0</v>
      </c>
      <c r="BC52" s="143"/>
      <c r="BD52" s="144"/>
      <c r="BE52" s="144"/>
      <c r="BF52" s="144"/>
      <c r="BG52" s="534">
        <f t="shared" si="28"/>
        <v>0</v>
      </c>
      <c r="BH52" s="143"/>
      <c r="BI52" s="144"/>
      <c r="BJ52" s="144"/>
      <c r="BK52" s="144"/>
      <c r="BL52" s="534">
        <f t="shared" si="29"/>
        <v>0</v>
      </c>
      <c r="BM52" s="143"/>
      <c r="BN52" s="144"/>
      <c r="BO52" s="144"/>
      <c r="BP52" s="144"/>
      <c r="BQ52" s="534">
        <f t="shared" si="30"/>
        <v>0</v>
      </c>
      <c r="BR52" s="143"/>
      <c r="BS52" s="144"/>
      <c r="BT52" s="144"/>
      <c r="BU52" s="144"/>
      <c r="BV52" s="534">
        <f t="shared" si="31"/>
        <v>0</v>
      </c>
      <c r="BW52" s="143"/>
      <c r="BX52" s="144"/>
      <c r="BY52" s="144"/>
      <c r="BZ52" s="144"/>
      <c r="CA52" s="534">
        <f t="shared" si="32"/>
        <v>0</v>
      </c>
      <c r="CB52" s="143"/>
      <c r="CC52" s="144"/>
      <c r="CD52" s="144"/>
      <c r="CE52" s="144"/>
      <c r="CF52" s="534">
        <f t="shared" si="33"/>
        <v>0</v>
      </c>
      <c r="CG52" s="162">
        <f>IF(BASE01[[#This Row],[1]]="",0,$B$4)</f>
        <v>0</v>
      </c>
      <c r="CH52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0</v>
      </c>
      <c r="CI52" s="185">
        <f>IF(BASE01[[#This Row],[Columna14]]=0,0,(CH52/CG52))</f>
        <v>0</v>
      </c>
      <c r="CJ52" s="163">
        <f>IF(BASE01[[#This Row],[1]]="",0,$B$4)</f>
        <v>0</v>
      </c>
      <c r="CK52" s="186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0</v>
      </c>
      <c r="CL52" s="185">
        <f>IF(BASE01[[#This Row],[Columna14]]=0,0,(CK52/CJ52))</f>
        <v>0</v>
      </c>
      <c r="CM52" s="162">
        <f>IF(BASE01[[#This Row],[1]]="",0,$B$4)</f>
        <v>0</v>
      </c>
      <c r="CN52" s="186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0</v>
      </c>
      <c r="CO52" s="185">
        <f>IF(BASE01[[#This Row],[Columna14]]=0,0,(CN52/CM52))</f>
        <v>0</v>
      </c>
      <c r="CP52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0</v>
      </c>
      <c r="CQ52" s="186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Row],[Columna25]],$AX$5,BA52,"SF")+COUNTIFS(BASE01[[#This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0</v>
      </c>
      <c r="CR52" s="185">
        <f>IF(BASE01[[#This Row],[Columna14]]=0,0,(CQ52/CP52))</f>
        <v>0</v>
      </c>
      <c r="CS52" s="539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0</v>
      </c>
      <c r="CT52" s="93"/>
      <c r="CU52" s="536">
        <f t="shared" si="34"/>
        <v>0</v>
      </c>
      <c r="CV52" s="94">
        <f>IF(BASE01[[#This Row],[TIPO]]="PREMIO",$O$3,"0,00")</f>
        <v>1000</v>
      </c>
      <c r="CW52" s="515"/>
      <c r="CY52" s="538" t="str">
        <f t="shared" si="17"/>
        <v/>
      </c>
      <c r="CZ52" s="387"/>
      <c r="DA52" s="387" t="str">
        <f t="array" ref="DA52">IF(CZ52="", "", IF((INDEX(E$8:CE$57, MATCH(CZ52, C$8:C$57, 0), ($CZ$25-1)*5 + 1) &amp; "") = (INDEX(E$5:CE$5, 1, ($CZ$25-1)*5 + 1) &amp; ""), 1, IF((INDEX(E$8:CE$57, MATCH(CZ52, C$8:C$57, 0), ($CZ$25-1)*5 + 2) &amp; "") = (INDEX(E$5:CE$5, 1, ($CZ$25-1)*5 + 1) &amp; ""), 2, IF((INDEX(E$8:CE$57, MATCH(CZ52, C$8:C$57, 0), ($CZ$25-1)*5 + 3) &amp; "") = (INDEX(E$5:CE$5, 1, ($CZ$25-1)*5 + 1) &amp; ""), 3, ""))))</f>
        <v/>
      </c>
      <c r="DB52" s="537" t="str">
        <f>BASE01[[#This Row],[COD]]</f>
        <v>COD 45</v>
      </c>
      <c r="DC52" s="390" t="str">
        <f t="array" ref="DC52">IFERROR(IF(AND(INDEX($E$8:$CE$57, MATCH($C52, $C$8:$C$57, 0), (COLUMNS($DC52:DC52)-1)*5 + 1) = INDEX($E$5:$CE$5, 1, (COLUMNS($DC52:DC52)-1)*5 + 1), INDEX($E$8:$CE$57, MATCH($C52, $C$8:$C$57, 0), (COLUMNS($DC52:DC52)-1)*5 + 4) = "F"), INDEX($CZ$8:$CZ$23, COLUMNS($DC52:DC52)), "0"), "")</f>
        <v>0</v>
      </c>
      <c r="DD52" s="390" t="str">
        <f t="array" ref="DD52">IFERROR(IF(AND(INDEX($E$8:$CE$57, MATCH($C52, $C$8:$C$57, 0), (COLUMNS($DC52:DD52)-1)*5 + 1) = INDEX($E$5:$CE$5, 1, (COLUMNS($DC52:DD52)-1)*5 + 1), INDEX($E$8:$CE$57, MATCH($C52, $C$8:$C$57, 0), (COLUMNS($DC52:DD52)-1)*5 + 4) = "F"), INDEX($CZ$8:$CZ$23, COLUMNS($DC52:DD52)), "0"), "")</f>
        <v>0</v>
      </c>
      <c r="DE52" s="390" t="str">
        <f t="array" ref="DE52">IFERROR(IF(AND(INDEX($E$8:$CE$57, MATCH($C52, $C$8:$C$57, 0), (COLUMNS($DC52:DE52)-1)*5 + 1) = INDEX($E$5:$CE$5, 1, (COLUMNS($DC52:DE52)-1)*5 + 1), INDEX($E$8:$CE$57, MATCH($C52, $C$8:$C$57, 0), (COLUMNS($DC52:DE52)-1)*5 + 4) = "F"), INDEX($CZ$8:$CZ$23, COLUMNS($DC52:DE52)), "0"), "")</f>
        <v>0</v>
      </c>
      <c r="DF52" s="390" t="str">
        <f t="array" ref="DF52">IFERROR(IF(AND(INDEX($E$8:$CE$57, MATCH($C52, $C$8:$C$57, 0), (COLUMNS($DC52:DF52)-1)*5 + 1) = INDEX($E$5:$CE$5, 1, (COLUMNS($DC52:DF52)-1)*5 + 1), INDEX($E$8:$CE$57, MATCH($C52, $C$8:$C$57, 0), (COLUMNS($DC52:DF52)-1)*5 + 4) = "F"), INDEX($CZ$8:$CZ$23, COLUMNS($DC52:DF52)), "0"), "")</f>
        <v>0</v>
      </c>
      <c r="DG52" s="390" t="str">
        <f t="array" ref="DG52">IFERROR(IF(AND(INDEX($E$8:$CE$57, MATCH($C52, $C$8:$C$57, 0), (COLUMNS($DC52:DG52)-1)*5 + 1) = INDEX($E$5:$CE$5, 1, (COLUMNS($DC52:DG52)-1)*5 + 1), INDEX($E$8:$CE$57, MATCH($C52, $C$8:$C$57, 0), (COLUMNS($DC52:DG52)-1)*5 + 4) = "F"), INDEX($CZ$8:$CZ$23, COLUMNS($DC52:DG52)), "0"), "")</f>
        <v>0</v>
      </c>
      <c r="DH52" s="390" t="str">
        <f t="array" ref="DH52">IFERROR(IF(AND(INDEX($E$8:$CE$57, MATCH($C52, $C$8:$C$57, 0), (COLUMNS($DC52:DH52)-1)*5 + 1) = INDEX($E$5:$CE$5, 1, (COLUMNS($DC52:DH52)-1)*5 + 1), INDEX($E$8:$CE$57, MATCH($C52, $C$8:$C$57, 0), (COLUMNS($DC52:DH52)-1)*5 + 4) = "F"), INDEX($CZ$8:$CZ$23, COLUMNS($DC52:DH52)), "0"), "")</f>
        <v>0</v>
      </c>
      <c r="DI52" s="390" t="str">
        <f t="array" ref="DI52">IFERROR(IF(AND(INDEX($E$8:$CE$57, MATCH($C52, $C$8:$C$57, 0), (COLUMNS($DC52:DI52)-1)*5 + 1) = INDEX($E$5:$CE$5, 1, (COLUMNS($DC52:DI52)-1)*5 + 1), INDEX($E$8:$CE$57, MATCH($C52, $C$8:$C$57, 0), (COLUMNS($DC52:DI52)-1)*5 + 4) = "F"), INDEX($CZ$8:$CZ$23, COLUMNS($DC52:DI52)), "0"), "")</f>
        <v>0</v>
      </c>
      <c r="DJ52" s="390" t="str">
        <f t="array" ref="DJ52">IFERROR(IF(AND(INDEX($E$8:$CE$57, MATCH($C52, $C$8:$C$57, 0), (COLUMNS($DC52:DJ52)-1)*5 + 1) = INDEX($E$5:$CE$5, 1, (COLUMNS($DC52:DJ52)-1)*5 + 1), INDEX($E$8:$CE$57, MATCH($C52, $C$8:$C$57, 0), (COLUMNS($DC52:DJ52)-1)*5 + 4) = "F"), INDEX($CZ$8:$CZ$23, COLUMNS($DC52:DJ52)), "0"), "")</f>
        <v>0</v>
      </c>
      <c r="DK52" s="390" t="str">
        <f t="array" ref="DK52">IFERROR(IF(AND(INDEX($E$8:$CE$57, MATCH($C52, $C$8:$C$57, 0), (COLUMNS($DC52:DK52)-1)*5 + 1) = INDEX($E$5:$CE$5, 1, (COLUMNS($DC52:DK52)-1)*5 + 1), INDEX($E$8:$CE$57, MATCH($C52, $C$8:$C$57, 0), (COLUMNS($DC52:DK52)-1)*5 + 4) = "F"), INDEX($CZ$8:$CZ$23, COLUMNS($DC52:DK52)), "0"), "")</f>
        <v>0</v>
      </c>
      <c r="DL52" s="390" t="str">
        <f t="array" ref="DL52">IFERROR(IF(AND(INDEX($E$8:$CE$57, MATCH($C52, $C$8:$C$57, 0), (COLUMNS($DC52:DL52)-1)*5 + 1) = INDEX($E$5:$CE$5, 1, (COLUMNS($DC52:DL52)-1)*5 + 1), INDEX($E$8:$CE$57, MATCH($C52, $C$8:$C$57, 0), (COLUMNS($DC52:DL52)-1)*5 + 4) = "F"), INDEX($CZ$8:$CZ$23, COLUMNS($DC52:DL52)), "0"), "")</f>
        <v>0</v>
      </c>
      <c r="DM52" s="390" t="str">
        <f t="array" ref="DM52">IFERROR(IF(AND(INDEX($E$8:$CE$57, MATCH($C52, $C$8:$C$57, 0), (COLUMNS($DC52:DM52)-1)*5 + 1) = INDEX($E$5:$CE$5, 1, (COLUMNS($DC52:DM52)-1)*5 + 1), INDEX($E$8:$CE$57, MATCH($C52, $C$8:$C$57, 0), (COLUMNS($DC52:DM52)-1)*5 + 4) = "F"), INDEX($CZ$8:$CZ$23, COLUMNS($DC52:DM52)), "0"), "")</f>
        <v>0</v>
      </c>
      <c r="DN52" s="390" t="str">
        <f t="array" ref="DN52">IFERROR(IF(AND(INDEX($E$8:$CE$57, MATCH($C52, $C$8:$C$57, 0), (COLUMNS($DC52:DN52)-1)*5 + 1) = INDEX($E$5:$CE$5, 1, (COLUMNS($DC52:DN52)-1)*5 + 1), INDEX($E$8:$CE$57, MATCH($C52, $C$8:$C$57, 0), (COLUMNS($DC52:DN52)-1)*5 + 4) = "F"), INDEX($CZ$8:$CZ$23, COLUMNS($DC52:DN52)), "0"), "")</f>
        <v>0</v>
      </c>
      <c r="DO52" s="390" t="str">
        <f t="array" ref="DO52">IFERROR(IF(AND(INDEX($E$8:$CE$57, MATCH($C52, $C$8:$C$57, 0), (COLUMNS($DC52:DO52)-1)*5 + 1) = INDEX($E$5:$CE$5, 1, (COLUMNS($DC52:DO52)-1)*5 + 1), INDEX($E$8:$CE$57, MATCH($C52, $C$8:$C$57, 0), (COLUMNS($DC52:DO52)-1)*5 + 4) = "F"), INDEX($CZ$8:$CZ$23, COLUMNS($DC52:DO52)), "0"), "")</f>
        <v>0</v>
      </c>
      <c r="DP52" s="390" t="str">
        <f t="array" ref="DP52">IFERROR(IF(AND(INDEX($E$8:$CE$57, MATCH($C52, $C$8:$C$57, 0), (COLUMNS($DC52:DP52)-1)*5 + 1) = INDEX($E$5:$CE$5, 1, (COLUMNS($DC52:DP52)-1)*5 + 1), INDEX($E$8:$CE$57, MATCH($C52, $C$8:$C$57, 0), (COLUMNS($DC52:DP52)-1)*5 + 4) = "F"), INDEX($CZ$8:$CZ$23, COLUMNS($DC52:DP52)), "0"), "")</f>
        <v>0</v>
      </c>
      <c r="DQ52" s="390" t="str">
        <f t="array" ref="DQ52">IFERROR(IF(AND(INDEX($E$8:$CE$57, MATCH($C52, $C$8:$C$57, 0), (COLUMNS($DC52:DQ52)-1)*5 + 1) = INDEX($E$5:$CE$5, 1, (COLUMNS($DC52:DQ52)-1)*5 + 1), INDEX($E$8:$CE$57, MATCH($C52, $C$8:$C$57, 0), (COLUMNS($DC52:DQ52)-1)*5 + 4) = "F"), INDEX($CZ$8:$CZ$23, COLUMNS($DC52:DQ52)), "0"), "")</f>
        <v>0</v>
      </c>
      <c r="DR52" s="390" t="str">
        <f t="array" ref="DR52">IFERROR(IF(AND(INDEX($E$8:$CE$57, MATCH($C52, $C$8:$C$57, 0), (COLUMNS($DC52:DR52)-1)*5 + 1) = INDEX($E$5:$CE$5, 1, (COLUMNS($DC52:DR52)-1)*5 + 1), INDEX($E$8:$CE$57, MATCH($C52, $C$8:$C$57, 0), (COLUMNS($DC52:DR52)-1)*5 + 4) = "F"), INDEX($CZ$8:$CZ$23, COLUMNS($DC52:DR52)), "0"), "")</f>
        <v>0</v>
      </c>
      <c r="DT52" s="537" t="str">
        <f>BASE01[[#This Row],[COD]]</f>
        <v>COD 45</v>
      </c>
      <c r="DU52" s="390" t="str">
        <f t="array" ref="DU52">IFERROR(IF(AND(INDEX($E$8:$CE$57, MATCH($C52, $C$8:$C$57, 0), (COLUMNS($DU52:DU52)-1)*5 + 1) = INDEX($E$5:$CE$5, 1, (COLUMNS($DU52:DU52)-1)*5 + 1), INDEX($E$8:$CE$57, MATCH($C52, $C$8:$C$57, 0), (COLUMNS($DU52:DU52)-1)*5 + 4) = "SF"), INDEX($CZ$8:$CZ$23, COLUMNS($DU52:DU52)), "0"), "")</f>
        <v>0</v>
      </c>
      <c r="DV52" s="390" t="str">
        <f t="array" ref="DV52">IFERROR(IF(AND(INDEX($E$8:$CE$57, MATCH($C52, $C$8:$C$57, 0), (COLUMNS($DU52:DV52)-1)*5 + 1) = INDEX($E$5:$CE$5, 1, (COLUMNS($DU52:DV52)-1)*5 + 1), INDEX($E$8:$CE$57, MATCH($C52, $C$8:$C$57, 0), (COLUMNS($DU52:DV52)-1)*5 + 4) = "SF"), INDEX($CZ$8:$CZ$23, COLUMNS($DU52:DV52)), "0"), "")</f>
        <v>0</v>
      </c>
      <c r="DW52" s="390" t="str">
        <f t="array" ref="DW52">IFERROR(IF(AND(INDEX($E$8:$CE$57, MATCH($C52, $C$8:$C$57, 0), (COLUMNS($DU52:DW52)-1)*5 + 1) = INDEX($E$5:$CE$5, 1, (COLUMNS($DU52:DW52)-1)*5 + 1), INDEX($E$8:$CE$57, MATCH($C52, $C$8:$C$57, 0), (COLUMNS($DU52:DW52)-1)*5 + 4) = "SF"), INDEX($CZ$8:$CZ$23, COLUMNS($DU52:DW52)), "0"), "")</f>
        <v>0</v>
      </c>
      <c r="DX52" s="390" t="str">
        <f t="array" ref="DX52">IFERROR(IF(AND(INDEX($E$8:$CE$57, MATCH($C52, $C$8:$C$57, 0), (COLUMNS($DU52:DX52)-1)*5 + 1) = INDEX($E$5:$CE$5, 1, (COLUMNS($DU52:DX52)-1)*5 + 1), INDEX($E$8:$CE$57, MATCH($C52, $C$8:$C$57, 0), (COLUMNS($DU52:DX52)-1)*5 + 4) = "SF"), INDEX($CZ$8:$CZ$23, COLUMNS($DU52:DX52)), "0"), "")</f>
        <v>0</v>
      </c>
      <c r="DY52" s="390" t="str">
        <f t="array" ref="DY52">IFERROR(IF(AND(INDEX($E$8:$CE$57, MATCH($C52, $C$8:$C$57, 0), (COLUMNS($DU52:DY52)-1)*5 + 1) = INDEX($E$5:$CE$5, 1, (COLUMNS($DU52:DY52)-1)*5 + 1), INDEX($E$8:$CE$57, MATCH($C52, $C$8:$C$57, 0), (COLUMNS($DU52:DY52)-1)*5 + 4) = "SF"), INDEX($CZ$8:$CZ$23, COLUMNS($DU52:DY52)), "0"), "")</f>
        <v>0</v>
      </c>
      <c r="DZ52" s="390" t="str">
        <f t="array" ref="DZ52">IFERROR(IF(AND(INDEX($E$8:$CE$57, MATCH($C52, $C$8:$C$57, 0), (COLUMNS($DU52:DZ52)-1)*5 + 1) = INDEX($E$5:$CE$5, 1, (COLUMNS($DU52:DZ52)-1)*5 + 1), INDEX($E$8:$CE$57, MATCH($C52, $C$8:$C$57, 0), (COLUMNS($DU52:DZ52)-1)*5 + 4) = "SF"), INDEX($CZ$8:$CZ$23, COLUMNS($DU52:DZ52)), "0"), "")</f>
        <v>0</v>
      </c>
      <c r="EA52" s="390" t="str">
        <f t="array" ref="EA52">IFERROR(IF(AND(INDEX($E$8:$CE$57, MATCH($C52, $C$8:$C$57, 0), (COLUMNS($DU52:EA52)-1)*5 + 1) = INDEX($E$5:$CE$5, 1, (COLUMNS($DU52:EA52)-1)*5 + 1), INDEX($E$8:$CE$57, MATCH($C52, $C$8:$C$57, 0), (COLUMNS($DU52:EA52)-1)*5 + 4) = "SF"), INDEX($CZ$8:$CZ$23, COLUMNS($DU52:EA52)), "0"), "")</f>
        <v>0</v>
      </c>
      <c r="EB52" s="390" t="str">
        <f t="array" ref="EB52">IFERROR(IF(AND(INDEX($E$8:$CE$57, MATCH($C52, $C$8:$C$57, 0), (COLUMNS($DU52:EB52)-1)*5 + 1) = INDEX($E$5:$CE$5, 1, (COLUMNS($DU52:EB52)-1)*5 + 1), INDEX($E$8:$CE$57, MATCH($C52, $C$8:$C$57, 0), (COLUMNS($DU52:EB52)-1)*5 + 4) = "SF"), INDEX($CZ$8:$CZ$23, COLUMNS($DU52:EB52)), "0"), "")</f>
        <v>0</v>
      </c>
      <c r="EC52" s="390" t="str">
        <f t="array" ref="EC52">IFERROR(IF(AND(INDEX($E$8:$CE$57, MATCH($C52, $C$8:$C$57, 0), (COLUMNS($DU52:EC52)-1)*5 + 1) = INDEX($E$5:$CE$5, 1, (COLUMNS($DU52:EC52)-1)*5 + 1), INDEX($E$8:$CE$57, MATCH($C52, $C$8:$C$57, 0), (COLUMNS($DU52:EC52)-1)*5 + 4) = "SF"), INDEX($CZ$8:$CZ$23, COLUMNS($DU52:EC52)), "0"), "")</f>
        <v>0</v>
      </c>
      <c r="ED52" s="390" t="str">
        <f t="array" ref="ED52">IFERROR(IF(AND(INDEX($E$8:$CE$57, MATCH($C52, $C$8:$C$57, 0), (COLUMNS($DU52:ED52)-1)*5 + 1) = INDEX($E$5:$CE$5, 1, (COLUMNS($DU52:ED52)-1)*5 + 1), INDEX($E$8:$CE$57, MATCH($C52, $C$8:$C$57, 0), (COLUMNS($DU52:ED52)-1)*5 + 4) = "SF"), INDEX($CZ$8:$CZ$23, COLUMNS($DU52:ED52)), "0"), "")</f>
        <v>0</v>
      </c>
      <c r="EE52" s="390" t="str">
        <f t="array" ref="EE52">IFERROR(IF(AND(INDEX($E$8:$CE$57, MATCH($C52, $C$8:$C$57, 0), (COLUMNS($DU52:EE52)-1)*5 + 1) = INDEX($E$5:$CE$5, 1, (COLUMNS($DU52:EE52)-1)*5 + 1), INDEX($E$8:$CE$57, MATCH($C52, $C$8:$C$57, 0), (COLUMNS($DU52:EE52)-1)*5 + 4) = "SF"), INDEX($CZ$8:$CZ$23, COLUMNS($DU52:EE52)), "0"), "")</f>
        <v>0</v>
      </c>
      <c r="EF52" s="390" t="str">
        <f t="array" ref="EF52">IFERROR(IF(AND(INDEX($E$8:$CE$57, MATCH($C52, $C$8:$C$57, 0), (COLUMNS($DU52:EF52)-1)*5 + 1) = INDEX($E$5:$CE$5, 1, (COLUMNS($DU52:EF52)-1)*5 + 1), INDEX($E$8:$CE$57, MATCH($C52, $C$8:$C$57, 0), (COLUMNS($DU52:EF52)-1)*5 + 4) = "SF"), INDEX($CZ$8:$CZ$23, COLUMNS($DU52:EF52)), "0"), "")</f>
        <v>0</v>
      </c>
      <c r="EG52" s="390" t="str">
        <f t="array" ref="EG52">IFERROR(IF(AND(INDEX($E$8:$CE$57, MATCH($C52, $C$8:$C$57, 0), (COLUMNS($DU52:EG52)-1)*5 + 1) = INDEX($E$5:$CE$5, 1, (COLUMNS($DU52:EG52)-1)*5 + 1), INDEX($E$8:$CE$57, MATCH($C52, $C$8:$C$57, 0), (COLUMNS($DU52:EG52)-1)*5 + 4) = "SF"), INDEX($CZ$8:$CZ$23, COLUMNS($DU52:EG52)), "0"), "")</f>
        <v>0</v>
      </c>
      <c r="EH52" s="390" t="str">
        <f t="array" ref="EH52">IFERROR(IF(AND(INDEX($E$8:$CE$57, MATCH($C52, $C$8:$C$57, 0), (COLUMNS($DU52:EH52)-1)*5 + 1) = INDEX($E$5:$CE$5, 1, (COLUMNS($DU52:EH52)-1)*5 + 1), INDEX($E$8:$CE$57, MATCH($C52, $C$8:$C$57, 0), (COLUMNS($DU52:EH52)-1)*5 + 4) = "SF"), INDEX($CZ$8:$CZ$23, COLUMNS($DU52:EH52)), "0"), "")</f>
        <v>0</v>
      </c>
      <c r="EI52" s="390" t="str">
        <f t="array" ref="EI52">IFERROR(IF(AND(INDEX($E$8:$CE$57, MATCH($C52, $C$8:$C$57, 0), (COLUMNS($DU52:EI52)-1)*5 + 1) = INDEX($E$5:$CE$5, 1, (COLUMNS($DU52:EI52)-1)*5 + 1), INDEX($E$8:$CE$57, MATCH($C52, $C$8:$C$57, 0), (COLUMNS($DU52:EI52)-1)*5 + 4) = "SF"), INDEX($CZ$8:$CZ$23, COLUMNS($DU52:EI52)), "0"), "")</f>
        <v>0</v>
      </c>
      <c r="EJ52" s="390" t="str">
        <f t="array" ref="EJ52">IFERROR(IF(AND(INDEX($E$8:$CE$57, MATCH($C52, $C$8:$C$57, 0), (COLUMNS($DU52:EJ52)-1)*5 + 1) = INDEX($E$5:$CE$5, 1, (COLUMNS($DU52:EJ52)-1)*5 + 1), INDEX($E$8:$CE$57, MATCH($C52, $C$8:$C$57, 0), (COLUMNS($DU52:EJ52)-1)*5 + 4) = "SF"), INDEX($CZ$8:$CZ$23, COLUMNS($DU52:EJ52)), "0"), "")</f>
        <v>0</v>
      </c>
    </row>
    <row r="53" spans="1:140" ht="20.100000000000001" customHeight="1" outlineLevel="1" x14ac:dyDescent="0.35">
      <c r="A53" s="515"/>
      <c r="B53" s="91">
        <f>IF(BASE01[[#This Row],[COD]]&lt;&gt;"",B52+1,"")</f>
        <v>46</v>
      </c>
      <c r="C53" s="533" t="s">
        <v>118</v>
      </c>
      <c r="D53" s="92" t="str">
        <f t="array" ref="D53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NO ENVIÓ</v>
      </c>
      <c r="E53" s="143"/>
      <c r="F53" s="144"/>
      <c r="G53" s="144"/>
      <c r="H53" s="144"/>
      <c r="I53" s="534">
        <f t="shared" si="18"/>
        <v>0</v>
      </c>
      <c r="J53" s="143"/>
      <c r="K53" s="144"/>
      <c r="L53" s="144"/>
      <c r="M53" s="144"/>
      <c r="N53" s="534">
        <f t="shared" si="19"/>
        <v>0</v>
      </c>
      <c r="O53" s="143"/>
      <c r="P53" s="144"/>
      <c r="Q53" s="144"/>
      <c r="R53" s="144"/>
      <c r="S53" s="534">
        <f t="shared" si="20"/>
        <v>0</v>
      </c>
      <c r="T53" s="143"/>
      <c r="U53" s="144"/>
      <c r="V53" s="144"/>
      <c r="W53" s="144"/>
      <c r="X53" s="534">
        <f t="shared" si="21"/>
        <v>0</v>
      </c>
      <c r="Y53" s="143"/>
      <c r="Z53" s="144"/>
      <c r="AA53" s="144"/>
      <c r="AB53" s="144"/>
      <c r="AC53" s="534">
        <f t="shared" si="22"/>
        <v>0</v>
      </c>
      <c r="AD53" s="143"/>
      <c r="AE53" s="144"/>
      <c r="AF53" s="144"/>
      <c r="AG53" s="144"/>
      <c r="AH53" s="534">
        <f t="shared" si="23"/>
        <v>0</v>
      </c>
      <c r="AI53" s="143"/>
      <c r="AJ53" s="144"/>
      <c r="AK53" s="144"/>
      <c r="AL53" s="144"/>
      <c r="AM53" s="534">
        <f t="shared" si="24"/>
        <v>0</v>
      </c>
      <c r="AN53" s="143"/>
      <c r="AO53" s="144"/>
      <c r="AP53" s="144"/>
      <c r="AQ53" s="144"/>
      <c r="AR53" s="534">
        <f t="shared" si="25"/>
        <v>0</v>
      </c>
      <c r="AS53" s="143"/>
      <c r="AT53" s="144"/>
      <c r="AU53" s="144"/>
      <c r="AV53" s="144"/>
      <c r="AW53" s="534">
        <f t="shared" si="26"/>
        <v>0</v>
      </c>
      <c r="AX53" s="143"/>
      <c r="AY53" s="144"/>
      <c r="AZ53" s="144"/>
      <c r="BA53" s="144"/>
      <c r="BB53" s="534">
        <f t="shared" si="27"/>
        <v>0</v>
      </c>
      <c r="BC53" s="143"/>
      <c r="BD53" s="144"/>
      <c r="BE53" s="144"/>
      <c r="BF53" s="144"/>
      <c r="BG53" s="534">
        <f t="shared" si="28"/>
        <v>0</v>
      </c>
      <c r="BH53" s="143"/>
      <c r="BI53" s="144"/>
      <c r="BJ53" s="144"/>
      <c r="BK53" s="144"/>
      <c r="BL53" s="534">
        <f t="shared" si="29"/>
        <v>0</v>
      </c>
      <c r="BM53" s="143"/>
      <c r="BN53" s="144"/>
      <c r="BO53" s="144"/>
      <c r="BP53" s="144"/>
      <c r="BQ53" s="534">
        <f t="shared" si="30"/>
        <v>0</v>
      </c>
      <c r="BR53" s="143"/>
      <c r="BS53" s="144"/>
      <c r="BT53" s="144"/>
      <c r="BU53" s="144"/>
      <c r="BV53" s="534">
        <f t="shared" si="31"/>
        <v>0</v>
      </c>
      <c r="BW53" s="143"/>
      <c r="BX53" s="144"/>
      <c r="BY53" s="144"/>
      <c r="BZ53" s="144"/>
      <c r="CA53" s="534">
        <f t="shared" si="32"/>
        <v>0</v>
      </c>
      <c r="CB53" s="143"/>
      <c r="CC53" s="144"/>
      <c r="CD53" s="144"/>
      <c r="CE53" s="144"/>
      <c r="CF53" s="534">
        <f t="shared" si="33"/>
        <v>0</v>
      </c>
      <c r="CG53" s="162">
        <f>IF(BASE01[[#This Row],[1]]="",0,$B$4)</f>
        <v>0</v>
      </c>
      <c r="CH53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0</v>
      </c>
      <c r="CI53" s="185">
        <f>IF(BASE01[[#This Row],[Columna14]]=0,0,(CH53/CG53))</f>
        <v>0</v>
      </c>
      <c r="CJ53" s="163">
        <f>IF(BASE01[[#This Row],[1]]="",0,$B$4)</f>
        <v>0</v>
      </c>
      <c r="CK53" s="186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0</v>
      </c>
      <c r="CL53" s="185">
        <f>IF(BASE01[[#This Row],[Columna14]]=0,0,(CK53/CJ53))</f>
        <v>0</v>
      </c>
      <c r="CM53" s="162">
        <f>IF(BASE01[[#This Row],[1]]="",0,$B$4)</f>
        <v>0</v>
      </c>
      <c r="CN53" s="186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0</v>
      </c>
      <c r="CO53" s="185">
        <f>IF(BASE01[[#This Row],[Columna14]]=0,0,(CN53/CM53))</f>
        <v>0</v>
      </c>
      <c r="CP53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0</v>
      </c>
      <c r="CQ53" s="186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Row],[Columna25]],$AX$5,BA53,"SF")+COUNTIFS(BASE01[[#This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0</v>
      </c>
      <c r="CR53" s="185">
        <f>IF(BASE01[[#This Row],[Columna14]]=0,0,(CQ53/CP53))</f>
        <v>0</v>
      </c>
      <c r="CS53" s="539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0</v>
      </c>
      <c r="CT53" s="93"/>
      <c r="CU53" s="536">
        <f t="shared" si="34"/>
        <v>0</v>
      </c>
      <c r="CV53" s="94" t="str">
        <f>IF(BASE01[[#This Row],[TIPO]]="PREMIO",$O$3,"0,00")</f>
        <v>0,00</v>
      </c>
      <c r="CW53" s="515"/>
      <c r="CY53" s="538" t="str">
        <f t="shared" si="17"/>
        <v/>
      </c>
      <c r="CZ53" s="387"/>
      <c r="DA53" s="387" t="str">
        <f t="array" ref="DA53">IF(CZ53="", "", IF((INDEX(E$8:CE$57, MATCH(CZ53, C$8:C$57, 0), ($CZ$25-1)*5 + 1) &amp; "") = (INDEX(E$5:CE$5, 1, ($CZ$25-1)*5 + 1) &amp; ""), 1, IF((INDEX(E$8:CE$57, MATCH(CZ53, C$8:C$57, 0), ($CZ$25-1)*5 + 2) &amp; "") = (INDEX(E$5:CE$5, 1, ($CZ$25-1)*5 + 1) &amp; ""), 2, IF((INDEX(E$8:CE$57, MATCH(CZ53, C$8:C$57, 0), ($CZ$25-1)*5 + 3) &amp; "") = (INDEX(E$5:CE$5, 1, ($CZ$25-1)*5 + 1) &amp; ""), 3, ""))))</f>
        <v/>
      </c>
      <c r="DB53" s="537" t="str">
        <f>BASE01[[#This Row],[COD]]</f>
        <v>COD 46</v>
      </c>
      <c r="DC53" s="390" t="str">
        <f t="array" ref="DC53">IFERROR(IF(AND(INDEX($E$8:$CE$57, MATCH($C53, $C$8:$C$57, 0), (COLUMNS($DC53:DC53)-1)*5 + 1) = INDEX($E$5:$CE$5, 1, (COLUMNS($DC53:DC53)-1)*5 + 1), INDEX($E$8:$CE$57, MATCH($C53, $C$8:$C$57, 0), (COLUMNS($DC53:DC53)-1)*5 + 4) = "F"), INDEX($CZ$8:$CZ$23, COLUMNS($DC53:DC53)), "0"), "")</f>
        <v>0</v>
      </c>
      <c r="DD53" s="390" t="str">
        <f t="array" ref="DD53">IFERROR(IF(AND(INDEX($E$8:$CE$57, MATCH($C53, $C$8:$C$57, 0), (COLUMNS($DC53:DD53)-1)*5 + 1) = INDEX($E$5:$CE$5, 1, (COLUMNS($DC53:DD53)-1)*5 + 1), INDEX($E$8:$CE$57, MATCH($C53, $C$8:$C$57, 0), (COLUMNS($DC53:DD53)-1)*5 + 4) = "F"), INDEX($CZ$8:$CZ$23, COLUMNS($DC53:DD53)), "0"), "")</f>
        <v>0</v>
      </c>
      <c r="DE53" s="390" t="str">
        <f t="array" ref="DE53">IFERROR(IF(AND(INDEX($E$8:$CE$57, MATCH($C53, $C$8:$C$57, 0), (COLUMNS($DC53:DE53)-1)*5 + 1) = INDEX($E$5:$CE$5, 1, (COLUMNS($DC53:DE53)-1)*5 + 1), INDEX($E$8:$CE$57, MATCH($C53, $C$8:$C$57, 0), (COLUMNS($DC53:DE53)-1)*5 + 4) = "F"), INDEX($CZ$8:$CZ$23, COLUMNS($DC53:DE53)), "0"), "")</f>
        <v>0</v>
      </c>
      <c r="DF53" s="390" t="str">
        <f t="array" ref="DF53">IFERROR(IF(AND(INDEX($E$8:$CE$57, MATCH($C53, $C$8:$C$57, 0), (COLUMNS($DC53:DF53)-1)*5 + 1) = INDEX($E$5:$CE$5, 1, (COLUMNS($DC53:DF53)-1)*5 + 1), INDEX($E$8:$CE$57, MATCH($C53, $C$8:$C$57, 0), (COLUMNS($DC53:DF53)-1)*5 + 4) = "F"), INDEX($CZ$8:$CZ$23, COLUMNS($DC53:DF53)), "0"), "")</f>
        <v>0</v>
      </c>
      <c r="DG53" s="390" t="str">
        <f t="array" ref="DG53">IFERROR(IF(AND(INDEX($E$8:$CE$57, MATCH($C53, $C$8:$C$57, 0), (COLUMNS($DC53:DG53)-1)*5 + 1) = INDEX($E$5:$CE$5, 1, (COLUMNS($DC53:DG53)-1)*5 + 1), INDEX($E$8:$CE$57, MATCH($C53, $C$8:$C$57, 0), (COLUMNS($DC53:DG53)-1)*5 + 4) = "F"), INDEX($CZ$8:$CZ$23, COLUMNS($DC53:DG53)), "0"), "")</f>
        <v>0</v>
      </c>
      <c r="DH53" s="390" t="str">
        <f t="array" ref="DH53">IFERROR(IF(AND(INDEX($E$8:$CE$57, MATCH($C53, $C$8:$C$57, 0), (COLUMNS($DC53:DH53)-1)*5 + 1) = INDEX($E$5:$CE$5, 1, (COLUMNS($DC53:DH53)-1)*5 + 1), INDEX($E$8:$CE$57, MATCH($C53, $C$8:$C$57, 0), (COLUMNS($DC53:DH53)-1)*5 + 4) = "F"), INDEX($CZ$8:$CZ$23, COLUMNS($DC53:DH53)), "0"), "")</f>
        <v>0</v>
      </c>
      <c r="DI53" s="390" t="str">
        <f t="array" ref="DI53">IFERROR(IF(AND(INDEX($E$8:$CE$57, MATCH($C53, $C$8:$C$57, 0), (COLUMNS($DC53:DI53)-1)*5 + 1) = INDEX($E$5:$CE$5, 1, (COLUMNS($DC53:DI53)-1)*5 + 1), INDEX($E$8:$CE$57, MATCH($C53, $C$8:$C$57, 0), (COLUMNS($DC53:DI53)-1)*5 + 4) = "F"), INDEX($CZ$8:$CZ$23, COLUMNS($DC53:DI53)), "0"), "")</f>
        <v>0</v>
      </c>
      <c r="DJ53" s="390" t="str">
        <f t="array" ref="DJ53">IFERROR(IF(AND(INDEX($E$8:$CE$57, MATCH($C53, $C$8:$C$57, 0), (COLUMNS($DC53:DJ53)-1)*5 + 1) = INDEX($E$5:$CE$5, 1, (COLUMNS($DC53:DJ53)-1)*5 + 1), INDEX($E$8:$CE$57, MATCH($C53, $C$8:$C$57, 0), (COLUMNS($DC53:DJ53)-1)*5 + 4) = "F"), INDEX($CZ$8:$CZ$23, COLUMNS($DC53:DJ53)), "0"), "")</f>
        <v>0</v>
      </c>
      <c r="DK53" s="390" t="str">
        <f t="array" ref="DK53">IFERROR(IF(AND(INDEX($E$8:$CE$57, MATCH($C53, $C$8:$C$57, 0), (COLUMNS($DC53:DK53)-1)*5 + 1) = INDEX($E$5:$CE$5, 1, (COLUMNS($DC53:DK53)-1)*5 + 1), INDEX($E$8:$CE$57, MATCH($C53, $C$8:$C$57, 0), (COLUMNS($DC53:DK53)-1)*5 + 4) = "F"), INDEX($CZ$8:$CZ$23, COLUMNS($DC53:DK53)), "0"), "")</f>
        <v>0</v>
      </c>
      <c r="DL53" s="390" t="str">
        <f t="array" ref="DL53">IFERROR(IF(AND(INDEX($E$8:$CE$57, MATCH($C53, $C$8:$C$57, 0), (COLUMNS($DC53:DL53)-1)*5 + 1) = INDEX($E$5:$CE$5, 1, (COLUMNS($DC53:DL53)-1)*5 + 1), INDEX($E$8:$CE$57, MATCH($C53, $C$8:$C$57, 0), (COLUMNS($DC53:DL53)-1)*5 + 4) = "F"), INDEX($CZ$8:$CZ$23, COLUMNS($DC53:DL53)), "0"), "")</f>
        <v>0</v>
      </c>
      <c r="DM53" s="390" t="str">
        <f t="array" ref="DM53">IFERROR(IF(AND(INDEX($E$8:$CE$57, MATCH($C53, $C$8:$C$57, 0), (COLUMNS($DC53:DM53)-1)*5 + 1) = INDEX($E$5:$CE$5, 1, (COLUMNS($DC53:DM53)-1)*5 + 1), INDEX($E$8:$CE$57, MATCH($C53, $C$8:$C$57, 0), (COLUMNS($DC53:DM53)-1)*5 + 4) = "F"), INDEX($CZ$8:$CZ$23, COLUMNS($DC53:DM53)), "0"), "")</f>
        <v>0</v>
      </c>
      <c r="DN53" s="390" t="str">
        <f t="array" ref="DN53">IFERROR(IF(AND(INDEX($E$8:$CE$57, MATCH($C53, $C$8:$C$57, 0), (COLUMNS($DC53:DN53)-1)*5 + 1) = INDEX($E$5:$CE$5, 1, (COLUMNS($DC53:DN53)-1)*5 + 1), INDEX($E$8:$CE$57, MATCH($C53, $C$8:$C$57, 0), (COLUMNS($DC53:DN53)-1)*5 + 4) = "F"), INDEX($CZ$8:$CZ$23, COLUMNS($DC53:DN53)), "0"), "")</f>
        <v>0</v>
      </c>
      <c r="DO53" s="390" t="str">
        <f t="array" ref="DO53">IFERROR(IF(AND(INDEX($E$8:$CE$57, MATCH($C53, $C$8:$C$57, 0), (COLUMNS($DC53:DO53)-1)*5 + 1) = INDEX($E$5:$CE$5, 1, (COLUMNS($DC53:DO53)-1)*5 + 1), INDEX($E$8:$CE$57, MATCH($C53, $C$8:$C$57, 0), (COLUMNS($DC53:DO53)-1)*5 + 4) = "F"), INDEX($CZ$8:$CZ$23, COLUMNS($DC53:DO53)), "0"), "")</f>
        <v>0</v>
      </c>
      <c r="DP53" s="390" t="str">
        <f t="array" ref="DP53">IFERROR(IF(AND(INDEX($E$8:$CE$57, MATCH($C53, $C$8:$C$57, 0), (COLUMNS($DC53:DP53)-1)*5 + 1) = INDEX($E$5:$CE$5, 1, (COLUMNS($DC53:DP53)-1)*5 + 1), INDEX($E$8:$CE$57, MATCH($C53, $C$8:$C$57, 0), (COLUMNS($DC53:DP53)-1)*5 + 4) = "F"), INDEX($CZ$8:$CZ$23, COLUMNS($DC53:DP53)), "0"), "")</f>
        <v>0</v>
      </c>
      <c r="DQ53" s="390" t="str">
        <f t="array" ref="DQ53">IFERROR(IF(AND(INDEX($E$8:$CE$57, MATCH($C53, $C$8:$C$57, 0), (COLUMNS($DC53:DQ53)-1)*5 + 1) = INDEX($E$5:$CE$5, 1, (COLUMNS($DC53:DQ53)-1)*5 + 1), INDEX($E$8:$CE$57, MATCH($C53, $C$8:$C$57, 0), (COLUMNS($DC53:DQ53)-1)*5 + 4) = "F"), INDEX($CZ$8:$CZ$23, COLUMNS($DC53:DQ53)), "0"), "")</f>
        <v>0</v>
      </c>
      <c r="DR53" s="390" t="str">
        <f t="array" ref="DR53">IFERROR(IF(AND(INDEX($E$8:$CE$57, MATCH($C53, $C$8:$C$57, 0), (COLUMNS($DC53:DR53)-1)*5 + 1) = INDEX($E$5:$CE$5, 1, (COLUMNS($DC53:DR53)-1)*5 + 1), INDEX($E$8:$CE$57, MATCH($C53, $C$8:$C$57, 0), (COLUMNS($DC53:DR53)-1)*5 + 4) = "F"), INDEX($CZ$8:$CZ$23, COLUMNS($DC53:DR53)), "0"), "")</f>
        <v>0</v>
      </c>
      <c r="DT53" s="537" t="str">
        <f>BASE01[[#This Row],[COD]]</f>
        <v>COD 46</v>
      </c>
      <c r="DU53" s="390" t="str">
        <f t="array" ref="DU53">IFERROR(IF(AND(INDEX($E$8:$CE$57, MATCH($C53, $C$8:$C$57, 0), (COLUMNS($DU53:DU53)-1)*5 + 1) = INDEX($E$5:$CE$5, 1, (COLUMNS($DU53:DU53)-1)*5 + 1), INDEX($E$8:$CE$57, MATCH($C53, $C$8:$C$57, 0), (COLUMNS($DU53:DU53)-1)*5 + 4) = "SF"), INDEX($CZ$8:$CZ$23, COLUMNS($DU53:DU53)), "0"), "")</f>
        <v>0</v>
      </c>
      <c r="DV53" s="390" t="str">
        <f t="array" ref="DV53">IFERROR(IF(AND(INDEX($E$8:$CE$57, MATCH($C53, $C$8:$C$57, 0), (COLUMNS($DU53:DV53)-1)*5 + 1) = INDEX($E$5:$CE$5, 1, (COLUMNS($DU53:DV53)-1)*5 + 1), INDEX($E$8:$CE$57, MATCH($C53, $C$8:$C$57, 0), (COLUMNS($DU53:DV53)-1)*5 + 4) = "SF"), INDEX($CZ$8:$CZ$23, COLUMNS($DU53:DV53)), "0"), "")</f>
        <v>0</v>
      </c>
      <c r="DW53" s="390" t="str">
        <f t="array" ref="DW53">IFERROR(IF(AND(INDEX($E$8:$CE$57, MATCH($C53, $C$8:$C$57, 0), (COLUMNS($DU53:DW53)-1)*5 + 1) = INDEX($E$5:$CE$5, 1, (COLUMNS($DU53:DW53)-1)*5 + 1), INDEX($E$8:$CE$57, MATCH($C53, $C$8:$C$57, 0), (COLUMNS($DU53:DW53)-1)*5 + 4) = "SF"), INDEX($CZ$8:$CZ$23, COLUMNS($DU53:DW53)), "0"), "")</f>
        <v>0</v>
      </c>
      <c r="DX53" s="390" t="str">
        <f t="array" ref="DX53">IFERROR(IF(AND(INDEX($E$8:$CE$57, MATCH($C53, $C$8:$C$57, 0), (COLUMNS($DU53:DX53)-1)*5 + 1) = INDEX($E$5:$CE$5, 1, (COLUMNS($DU53:DX53)-1)*5 + 1), INDEX($E$8:$CE$57, MATCH($C53, $C$8:$C$57, 0), (COLUMNS($DU53:DX53)-1)*5 + 4) = "SF"), INDEX($CZ$8:$CZ$23, COLUMNS($DU53:DX53)), "0"), "")</f>
        <v>0</v>
      </c>
      <c r="DY53" s="390" t="str">
        <f t="array" ref="DY53">IFERROR(IF(AND(INDEX($E$8:$CE$57, MATCH($C53, $C$8:$C$57, 0), (COLUMNS($DU53:DY53)-1)*5 + 1) = INDEX($E$5:$CE$5, 1, (COLUMNS($DU53:DY53)-1)*5 + 1), INDEX($E$8:$CE$57, MATCH($C53, $C$8:$C$57, 0), (COLUMNS($DU53:DY53)-1)*5 + 4) = "SF"), INDEX($CZ$8:$CZ$23, COLUMNS($DU53:DY53)), "0"), "")</f>
        <v>0</v>
      </c>
      <c r="DZ53" s="390" t="str">
        <f t="array" ref="DZ53">IFERROR(IF(AND(INDEX($E$8:$CE$57, MATCH($C53, $C$8:$C$57, 0), (COLUMNS($DU53:DZ53)-1)*5 + 1) = INDEX($E$5:$CE$5, 1, (COLUMNS($DU53:DZ53)-1)*5 + 1), INDEX($E$8:$CE$57, MATCH($C53, $C$8:$C$57, 0), (COLUMNS($DU53:DZ53)-1)*5 + 4) = "SF"), INDEX($CZ$8:$CZ$23, COLUMNS($DU53:DZ53)), "0"), "")</f>
        <v>0</v>
      </c>
      <c r="EA53" s="390" t="str">
        <f t="array" ref="EA53">IFERROR(IF(AND(INDEX($E$8:$CE$57, MATCH($C53, $C$8:$C$57, 0), (COLUMNS($DU53:EA53)-1)*5 + 1) = INDEX($E$5:$CE$5, 1, (COLUMNS($DU53:EA53)-1)*5 + 1), INDEX($E$8:$CE$57, MATCH($C53, $C$8:$C$57, 0), (COLUMNS($DU53:EA53)-1)*5 + 4) = "SF"), INDEX($CZ$8:$CZ$23, COLUMNS($DU53:EA53)), "0"), "")</f>
        <v>0</v>
      </c>
      <c r="EB53" s="390" t="str">
        <f t="array" ref="EB53">IFERROR(IF(AND(INDEX($E$8:$CE$57, MATCH($C53, $C$8:$C$57, 0), (COLUMNS($DU53:EB53)-1)*5 + 1) = INDEX($E$5:$CE$5, 1, (COLUMNS($DU53:EB53)-1)*5 + 1), INDEX($E$8:$CE$57, MATCH($C53, $C$8:$C$57, 0), (COLUMNS($DU53:EB53)-1)*5 + 4) = "SF"), INDEX($CZ$8:$CZ$23, COLUMNS($DU53:EB53)), "0"), "")</f>
        <v>0</v>
      </c>
      <c r="EC53" s="390" t="str">
        <f t="array" ref="EC53">IFERROR(IF(AND(INDEX($E$8:$CE$57, MATCH($C53, $C$8:$C$57, 0), (COLUMNS($DU53:EC53)-1)*5 + 1) = INDEX($E$5:$CE$5, 1, (COLUMNS($DU53:EC53)-1)*5 + 1), INDEX($E$8:$CE$57, MATCH($C53, $C$8:$C$57, 0), (COLUMNS($DU53:EC53)-1)*5 + 4) = "SF"), INDEX($CZ$8:$CZ$23, COLUMNS($DU53:EC53)), "0"), "")</f>
        <v>0</v>
      </c>
      <c r="ED53" s="390" t="str">
        <f t="array" ref="ED53">IFERROR(IF(AND(INDEX($E$8:$CE$57, MATCH($C53, $C$8:$C$57, 0), (COLUMNS($DU53:ED53)-1)*5 + 1) = INDEX($E$5:$CE$5, 1, (COLUMNS($DU53:ED53)-1)*5 + 1), INDEX($E$8:$CE$57, MATCH($C53, $C$8:$C$57, 0), (COLUMNS($DU53:ED53)-1)*5 + 4) = "SF"), INDEX($CZ$8:$CZ$23, COLUMNS($DU53:ED53)), "0"), "")</f>
        <v>0</v>
      </c>
      <c r="EE53" s="390" t="str">
        <f t="array" ref="EE53">IFERROR(IF(AND(INDEX($E$8:$CE$57, MATCH($C53, $C$8:$C$57, 0), (COLUMNS($DU53:EE53)-1)*5 + 1) = INDEX($E$5:$CE$5, 1, (COLUMNS($DU53:EE53)-1)*5 + 1), INDEX($E$8:$CE$57, MATCH($C53, $C$8:$C$57, 0), (COLUMNS($DU53:EE53)-1)*5 + 4) = "SF"), INDEX($CZ$8:$CZ$23, COLUMNS($DU53:EE53)), "0"), "")</f>
        <v>0</v>
      </c>
      <c r="EF53" s="390" t="str">
        <f t="array" ref="EF53">IFERROR(IF(AND(INDEX($E$8:$CE$57, MATCH($C53, $C$8:$C$57, 0), (COLUMNS($DU53:EF53)-1)*5 + 1) = INDEX($E$5:$CE$5, 1, (COLUMNS($DU53:EF53)-1)*5 + 1), INDEX($E$8:$CE$57, MATCH($C53, $C$8:$C$57, 0), (COLUMNS($DU53:EF53)-1)*5 + 4) = "SF"), INDEX($CZ$8:$CZ$23, COLUMNS($DU53:EF53)), "0"), "")</f>
        <v>0</v>
      </c>
      <c r="EG53" s="390" t="str">
        <f t="array" ref="EG53">IFERROR(IF(AND(INDEX($E$8:$CE$57, MATCH($C53, $C$8:$C$57, 0), (COLUMNS($DU53:EG53)-1)*5 + 1) = INDEX($E$5:$CE$5, 1, (COLUMNS($DU53:EG53)-1)*5 + 1), INDEX($E$8:$CE$57, MATCH($C53, $C$8:$C$57, 0), (COLUMNS($DU53:EG53)-1)*5 + 4) = "SF"), INDEX($CZ$8:$CZ$23, COLUMNS($DU53:EG53)), "0"), "")</f>
        <v>0</v>
      </c>
      <c r="EH53" s="390" t="str">
        <f t="array" ref="EH53">IFERROR(IF(AND(INDEX($E$8:$CE$57, MATCH($C53, $C$8:$C$57, 0), (COLUMNS($DU53:EH53)-1)*5 + 1) = INDEX($E$5:$CE$5, 1, (COLUMNS($DU53:EH53)-1)*5 + 1), INDEX($E$8:$CE$57, MATCH($C53, $C$8:$C$57, 0), (COLUMNS($DU53:EH53)-1)*5 + 4) = "SF"), INDEX($CZ$8:$CZ$23, COLUMNS($DU53:EH53)), "0"), "")</f>
        <v>0</v>
      </c>
      <c r="EI53" s="390" t="str">
        <f t="array" ref="EI53">IFERROR(IF(AND(INDEX($E$8:$CE$57, MATCH($C53, $C$8:$C$57, 0), (COLUMNS($DU53:EI53)-1)*5 + 1) = INDEX($E$5:$CE$5, 1, (COLUMNS($DU53:EI53)-1)*5 + 1), INDEX($E$8:$CE$57, MATCH($C53, $C$8:$C$57, 0), (COLUMNS($DU53:EI53)-1)*5 + 4) = "SF"), INDEX($CZ$8:$CZ$23, COLUMNS($DU53:EI53)), "0"), "")</f>
        <v>0</v>
      </c>
      <c r="EJ53" s="390" t="str">
        <f t="array" ref="EJ53">IFERROR(IF(AND(INDEX($E$8:$CE$57, MATCH($C53, $C$8:$C$57, 0), (COLUMNS($DU53:EJ53)-1)*5 + 1) = INDEX($E$5:$CE$5, 1, (COLUMNS($DU53:EJ53)-1)*5 + 1), INDEX($E$8:$CE$57, MATCH($C53, $C$8:$C$57, 0), (COLUMNS($DU53:EJ53)-1)*5 + 4) = "SF"), INDEX($CZ$8:$CZ$23, COLUMNS($DU53:EJ53)), "0"), "")</f>
        <v>0</v>
      </c>
    </row>
    <row r="54" spans="1:140" ht="20.100000000000001" customHeight="1" outlineLevel="1" x14ac:dyDescent="0.35">
      <c r="A54" s="515"/>
      <c r="B54" s="91">
        <f>IF(BASE01[[#This Row],[COD]]&lt;&gt;"",B53+1,"")</f>
        <v>47</v>
      </c>
      <c r="C54" s="533" t="s">
        <v>119</v>
      </c>
      <c r="D54" s="92" t="str">
        <f t="array" ref="D54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NO ENVIÓ</v>
      </c>
      <c r="E54" s="143"/>
      <c r="F54" s="144"/>
      <c r="G54" s="144"/>
      <c r="H54" s="144"/>
      <c r="I54" s="534">
        <f t="shared" si="18"/>
        <v>0</v>
      </c>
      <c r="J54" s="143"/>
      <c r="K54" s="144"/>
      <c r="L54" s="144"/>
      <c r="M54" s="144"/>
      <c r="N54" s="534">
        <f t="shared" si="19"/>
        <v>0</v>
      </c>
      <c r="O54" s="143"/>
      <c r="P54" s="144"/>
      <c r="Q54" s="144"/>
      <c r="R54" s="144"/>
      <c r="S54" s="534">
        <f t="shared" si="20"/>
        <v>0</v>
      </c>
      <c r="T54" s="143"/>
      <c r="U54" s="144"/>
      <c r="V54" s="144"/>
      <c r="W54" s="144"/>
      <c r="X54" s="534">
        <f t="shared" si="21"/>
        <v>0</v>
      </c>
      <c r="Y54" s="143"/>
      <c r="Z54" s="144"/>
      <c r="AA54" s="144"/>
      <c r="AB54" s="144"/>
      <c r="AC54" s="534">
        <f t="shared" si="22"/>
        <v>0</v>
      </c>
      <c r="AD54" s="143"/>
      <c r="AE54" s="144"/>
      <c r="AF54" s="144"/>
      <c r="AG54" s="144"/>
      <c r="AH54" s="534">
        <f t="shared" si="23"/>
        <v>0</v>
      </c>
      <c r="AI54" s="143"/>
      <c r="AJ54" s="144"/>
      <c r="AK54" s="144"/>
      <c r="AL54" s="144"/>
      <c r="AM54" s="534">
        <f t="shared" si="24"/>
        <v>0</v>
      </c>
      <c r="AN54" s="143"/>
      <c r="AO54" s="144"/>
      <c r="AP54" s="144"/>
      <c r="AQ54" s="144"/>
      <c r="AR54" s="534">
        <f t="shared" si="25"/>
        <v>0</v>
      </c>
      <c r="AS54" s="143"/>
      <c r="AT54" s="144"/>
      <c r="AU54" s="144"/>
      <c r="AV54" s="144"/>
      <c r="AW54" s="534">
        <f t="shared" si="26"/>
        <v>0</v>
      </c>
      <c r="AX54" s="143"/>
      <c r="AY54" s="144"/>
      <c r="AZ54" s="144"/>
      <c r="BA54" s="144"/>
      <c r="BB54" s="534">
        <f t="shared" si="27"/>
        <v>0</v>
      </c>
      <c r="BC54" s="143"/>
      <c r="BD54" s="144"/>
      <c r="BE54" s="144"/>
      <c r="BF54" s="144"/>
      <c r="BG54" s="534">
        <f t="shared" si="28"/>
        <v>0</v>
      </c>
      <c r="BH54" s="143"/>
      <c r="BI54" s="144"/>
      <c r="BJ54" s="144"/>
      <c r="BK54" s="144"/>
      <c r="BL54" s="534">
        <f t="shared" si="29"/>
        <v>0</v>
      </c>
      <c r="BM54" s="143"/>
      <c r="BN54" s="144"/>
      <c r="BO54" s="144"/>
      <c r="BP54" s="144"/>
      <c r="BQ54" s="534">
        <f t="shared" si="30"/>
        <v>0</v>
      </c>
      <c r="BR54" s="143"/>
      <c r="BS54" s="144"/>
      <c r="BT54" s="144"/>
      <c r="BU54" s="144"/>
      <c r="BV54" s="534">
        <f t="shared" si="31"/>
        <v>0</v>
      </c>
      <c r="BW54" s="143"/>
      <c r="BX54" s="144"/>
      <c r="BY54" s="144"/>
      <c r="BZ54" s="144"/>
      <c r="CA54" s="534">
        <f t="shared" si="32"/>
        <v>0</v>
      </c>
      <c r="CB54" s="143"/>
      <c r="CC54" s="144"/>
      <c r="CD54" s="144"/>
      <c r="CE54" s="144"/>
      <c r="CF54" s="534">
        <f t="shared" si="33"/>
        <v>0</v>
      </c>
      <c r="CG54" s="162">
        <f>IF(BASE01[[#This Row],[1]]="",0,$B$4)</f>
        <v>0</v>
      </c>
      <c r="CH54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0</v>
      </c>
      <c r="CI54" s="185">
        <f>IF(BASE01[[#This Row],[Columna14]]=0,0,(CH54/CG54))</f>
        <v>0</v>
      </c>
      <c r="CJ54" s="163">
        <f>IF(BASE01[[#This Row],[1]]="",0,$B$4)</f>
        <v>0</v>
      </c>
      <c r="CK54" s="186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0</v>
      </c>
      <c r="CL54" s="185">
        <f>IF(BASE01[[#This Row],[Columna14]]=0,0,(CK54/CJ54))</f>
        <v>0</v>
      </c>
      <c r="CM54" s="162">
        <f>IF(BASE01[[#This Row],[1]]="",0,$B$4)</f>
        <v>0</v>
      </c>
      <c r="CN54" s="186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0</v>
      </c>
      <c r="CO54" s="185">
        <f>IF(BASE01[[#This Row],[Columna14]]=0,0,(CN54/CM54))</f>
        <v>0</v>
      </c>
      <c r="CP54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0</v>
      </c>
      <c r="CQ54" s="186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Row],[Columna25]],$AX$5,BA54,"SF")+COUNTIFS(BASE01[[#This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0</v>
      </c>
      <c r="CR54" s="185">
        <f>IF(BASE01[[#This Row],[Columna14]]=0,0,(CQ54/CP54))</f>
        <v>0</v>
      </c>
      <c r="CS54" s="539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0</v>
      </c>
      <c r="CT54" s="93"/>
      <c r="CU54" s="536">
        <f t="shared" si="34"/>
        <v>0</v>
      </c>
      <c r="CV54" s="94" t="str">
        <f>IF(BASE01[[#This Row],[TIPO]]="PREMIO",$O$3,"0,00")</f>
        <v>0,00</v>
      </c>
      <c r="CW54" s="515"/>
      <c r="CY54" s="538" t="str">
        <f t="shared" si="17"/>
        <v/>
      </c>
      <c r="CZ54" s="387"/>
      <c r="DA54" s="387" t="str">
        <f t="array" ref="DA54">IF(CZ54="", "", IF((INDEX(E$8:CE$57, MATCH(CZ54, C$8:C$57, 0), ($CZ$25-1)*5 + 1) &amp; "") = (INDEX(E$5:CE$5, 1, ($CZ$25-1)*5 + 1) &amp; ""), 1, IF((INDEX(E$8:CE$57, MATCH(CZ54, C$8:C$57, 0), ($CZ$25-1)*5 + 2) &amp; "") = (INDEX(E$5:CE$5, 1, ($CZ$25-1)*5 + 1) &amp; ""), 2, IF((INDEX(E$8:CE$57, MATCH(CZ54, C$8:C$57, 0), ($CZ$25-1)*5 + 3) &amp; "") = (INDEX(E$5:CE$5, 1, ($CZ$25-1)*5 + 1) &amp; ""), 3, ""))))</f>
        <v/>
      </c>
      <c r="DB54" s="537" t="str">
        <f>BASE01[[#This Row],[COD]]</f>
        <v>COD 47</v>
      </c>
      <c r="DC54" s="390" t="str">
        <f t="array" ref="DC54">IFERROR(IF(AND(INDEX($E$8:$CE$57, MATCH($C54, $C$8:$C$57, 0), (COLUMNS($DC54:DC54)-1)*5 + 1) = INDEX($E$5:$CE$5, 1, (COLUMNS($DC54:DC54)-1)*5 + 1), INDEX($E$8:$CE$57, MATCH($C54, $C$8:$C$57, 0), (COLUMNS($DC54:DC54)-1)*5 + 4) = "F"), INDEX($CZ$8:$CZ$23, COLUMNS($DC54:DC54)), "0"), "")</f>
        <v>0</v>
      </c>
      <c r="DD54" s="390" t="str">
        <f t="array" ref="DD54">IFERROR(IF(AND(INDEX($E$8:$CE$57, MATCH($C54, $C$8:$C$57, 0), (COLUMNS($DC54:DD54)-1)*5 + 1) = INDEX($E$5:$CE$5, 1, (COLUMNS($DC54:DD54)-1)*5 + 1), INDEX($E$8:$CE$57, MATCH($C54, $C$8:$C$57, 0), (COLUMNS($DC54:DD54)-1)*5 + 4) = "F"), INDEX($CZ$8:$CZ$23, COLUMNS($DC54:DD54)), "0"), "")</f>
        <v>0</v>
      </c>
      <c r="DE54" s="390" t="str">
        <f t="array" ref="DE54">IFERROR(IF(AND(INDEX($E$8:$CE$57, MATCH($C54, $C$8:$C$57, 0), (COLUMNS($DC54:DE54)-1)*5 + 1) = INDEX($E$5:$CE$5, 1, (COLUMNS($DC54:DE54)-1)*5 + 1), INDEX($E$8:$CE$57, MATCH($C54, $C$8:$C$57, 0), (COLUMNS($DC54:DE54)-1)*5 + 4) = "F"), INDEX($CZ$8:$CZ$23, COLUMNS($DC54:DE54)), "0"), "")</f>
        <v>0</v>
      </c>
      <c r="DF54" s="390" t="str">
        <f t="array" ref="DF54">IFERROR(IF(AND(INDEX($E$8:$CE$57, MATCH($C54, $C$8:$C$57, 0), (COLUMNS($DC54:DF54)-1)*5 + 1) = INDEX($E$5:$CE$5, 1, (COLUMNS($DC54:DF54)-1)*5 + 1), INDEX($E$8:$CE$57, MATCH($C54, $C$8:$C$57, 0), (COLUMNS($DC54:DF54)-1)*5 + 4) = "F"), INDEX($CZ$8:$CZ$23, COLUMNS($DC54:DF54)), "0"), "")</f>
        <v>0</v>
      </c>
      <c r="DG54" s="390" t="str">
        <f t="array" ref="DG54">IFERROR(IF(AND(INDEX($E$8:$CE$57, MATCH($C54, $C$8:$C$57, 0), (COLUMNS($DC54:DG54)-1)*5 + 1) = INDEX($E$5:$CE$5, 1, (COLUMNS($DC54:DG54)-1)*5 + 1), INDEX($E$8:$CE$57, MATCH($C54, $C$8:$C$57, 0), (COLUMNS($DC54:DG54)-1)*5 + 4) = "F"), INDEX($CZ$8:$CZ$23, COLUMNS($DC54:DG54)), "0"), "")</f>
        <v>0</v>
      </c>
      <c r="DH54" s="390" t="str">
        <f t="array" ref="DH54">IFERROR(IF(AND(INDEX($E$8:$CE$57, MATCH($C54, $C$8:$C$57, 0), (COLUMNS($DC54:DH54)-1)*5 + 1) = INDEX($E$5:$CE$5, 1, (COLUMNS($DC54:DH54)-1)*5 + 1), INDEX($E$8:$CE$57, MATCH($C54, $C$8:$C$57, 0), (COLUMNS($DC54:DH54)-1)*5 + 4) = "F"), INDEX($CZ$8:$CZ$23, COLUMNS($DC54:DH54)), "0"), "")</f>
        <v>0</v>
      </c>
      <c r="DI54" s="390" t="str">
        <f t="array" ref="DI54">IFERROR(IF(AND(INDEX($E$8:$CE$57, MATCH($C54, $C$8:$C$57, 0), (COLUMNS($DC54:DI54)-1)*5 + 1) = INDEX($E$5:$CE$5, 1, (COLUMNS($DC54:DI54)-1)*5 + 1), INDEX($E$8:$CE$57, MATCH($C54, $C$8:$C$57, 0), (COLUMNS($DC54:DI54)-1)*5 + 4) = "F"), INDEX($CZ$8:$CZ$23, COLUMNS($DC54:DI54)), "0"), "")</f>
        <v>0</v>
      </c>
      <c r="DJ54" s="390" t="str">
        <f t="array" ref="DJ54">IFERROR(IF(AND(INDEX($E$8:$CE$57, MATCH($C54, $C$8:$C$57, 0), (COLUMNS($DC54:DJ54)-1)*5 + 1) = INDEX($E$5:$CE$5, 1, (COLUMNS($DC54:DJ54)-1)*5 + 1), INDEX($E$8:$CE$57, MATCH($C54, $C$8:$C$57, 0), (COLUMNS($DC54:DJ54)-1)*5 + 4) = "F"), INDEX($CZ$8:$CZ$23, COLUMNS($DC54:DJ54)), "0"), "")</f>
        <v>0</v>
      </c>
      <c r="DK54" s="390" t="str">
        <f t="array" ref="DK54">IFERROR(IF(AND(INDEX($E$8:$CE$57, MATCH($C54, $C$8:$C$57, 0), (COLUMNS($DC54:DK54)-1)*5 + 1) = INDEX($E$5:$CE$5, 1, (COLUMNS($DC54:DK54)-1)*5 + 1), INDEX($E$8:$CE$57, MATCH($C54, $C$8:$C$57, 0), (COLUMNS($DC54:DK54)-1)*5 + 4) = "F"), INDEX($CZ$8:$CZ$23, COLUMNS($DC54:DK54)), "0"), "")</f>
        <v>0</v>
      </c>
      <c r="DL54" s="390" t="str">
        <f t="array" ref="DL54">IFERROR(IF(AND(INDEX($E$8:$CE$57, MATCH($C54, $C$8:$C$57, 0), (COLUMNS($DC54:DL54)-1)*5 + 1) = INDEX($E$5:$CE$5, 1, (COLUMNS($DC54:DL54)-1)*5 + 1), INDEX($E$8:$CE$57, MATCH($C54, $C$8:$C$57, 0), (COLUMNS($DC54:DL54)-1)*5 + 4) = "F"), INDEX($CZ$8:$CZ$23, COLUMNS($DC54:DL54)), "0"), "")</f>
        <v>0</v>
      </c>
      <c r="DM54" s="390" t="str">
        <f t="array" ref="DM54">IFERROR(IF(AND(INDEX($E$8:$CE$57, MATCH($C54, $C$8:$C$57, 0), (COLUMNS($DC54:DM54)-1)*5 + 1) = INDEX($E$5:$CE$5, 1, (COLUMNS($DC54:DM54)-1)*5 + 1), INDEX($E$8:$CE$57, MATCH($C54, $C$8:$C$57, 0), (COLUMNS($DC54:DM54)-1)*5 + 4) = "F"), INDEX($CZ$8:$CZ$23, COLUMNS($DC54:DM54)), "0"), "")</f>
        <v>0</v>
      </c>
      <c r="DN54" s="390" t="str">
        <f t="array" ref="DN54">IFERROR(IF(AND(INDEX($E$8:$CE$57, MATCH($C54, $C$8:$C$57, 0), (COLUMNS($DC54:DN54)-1)*5 + 1) = INDEX($E$5:$CE$5, 1, (COLUMNS($DC54:DN54)-1)*5 + 1), INDEX($E$8:$CE$57, MATCH($C54, $C$8:$C$57, 0), (COLUMNS($DC54:DN54)-1)*5 + 4) = "F"), INDEX($CZ$8:$CZ$23, COLUMNS($DC54:DN54)), "0"), "")</f>
        <v>0</v>
      </c>
      <c r="DO54" s="390" t="str">
        <f t="array" ref="DO54">IFERROR(IF(AND(INDEX($E$8:$CE$57, MATCH($C54, $C$8:$C$57, 0), (COLUMNS($DC54:DO54)-1)*5 + 1) = INDEX($E$5:$CE$5, 1, (COLUMNS($DC54:DO54)-1)*5 + 1), INDEX($E$8:$CE$57, MATCH($C54, $C$8:$C$57, 0), (COLUMNS($DC54:DO54)-1)*5 + 4) = "F"), INDEX($CZ$8:$CZ$23, COLUMNS($DC54:DO54)), "0"), "")</f>
        <v>0</v>
      </c>
      <c r="DP54" s="390" t="str">
        <f t="array" ref="DP54">IFERROR(IF(AND(INDEX($E$8:$CE$57, MATCH($C54, $C$8:$C$57, 0), (COLUMNS($DC54:DP54)-1)*5 + 1) = INDEX($E$5:$CE$5, 1, (COLUMNS($DC54:DP54)-1)*5 + 1), INDEX($E$8:$CE$57, MATCH($C54, $C$8:$C$57, 0), (COLUMNS($DC54:DP54)-1)*5 + 4) = "F"), INDEX($CZ$8:$CZ$23, COLUMNS($DC54:DP54)), "0"), "")</f>
        <v>0</v>
      </c>
      <c r="DQ54" s="390" t="str">
        <f t="array" ref="DQ54">IFERROR(IF(AND(INDEX($E$8:$CE$57, MATCH($C54, $C$8:$C$57, 0), (COLUMNS($DC54:DQ54)-1)*5 + 1) = INDEX($E$5:$CE$5, 1, (COLUMNS($DC54:DQ54)-1)*5 + 1), INDEX($E$8:$CE$57, MATCH($C54, $C$8:$C$57, 0), (COLUMNS($DC54:DQ54)-1)*5 + 4) = "F"), INDEX($CZ$8:$CZ$23, COLUMNS($DC54:DQ54)), "0"), "")</f>
        <v>0</v>
      </c>
      <c r="DR54" s="390" t="str">
        <f t="array" ref="DR54">IFERROR(IF(AND(INDEX($E$8:$CE$57, MATCH($C54, $C$8:$C$57, 0), (COLUMNS($DC54:DR54)-1)*5 + 1) = INDEX($E$5:$CE$5, 1, (COLUMNS($DC54:DR54)-1)*5 + 1), INDEX($E$8:$CE$57, MATCH($C54, $C$8:$C$57, 0), (COLUMNS($DC54:DR54)-1)*5 + 4) = "F"), INDEX($CZ$8:$CZ$23, COLUMNS($DC54:DR54)), "0"), "")</f>
        <v>0</v>
      </c>
      <c r="DT54" s="537" t="str">
        <f>BASE01[[#This Row],[COD]]</f>
        <v>COD 47</v>
      </c>
      <c r="DU54" s="390" t="str">
        <f t="array" ref="DU54">IFERROR(IF(AND(INDEX($E$8:$CE$57, MATCH($C54, $C$8:$C$57, 0), (COLUMNS($DU54:DU54)-1)*5 + 1) = INDEX($E$5:$CE$5, 1, (COLUMNS($DU54:DU54)-1)*5 + 1), INDEX($E$8:$CE$57, MATCH($C54, $C$8:$C$57, 0), (COLUMNS($DU54:DU54)-1)*5 + 4) = "SF"), INDEX($CZ$8:$CZ$23, COLUMNS($DU54:DU54)), "0"), "")</f>
        <v>0</v>
      </c>
      <c r="DV54" s="390" t="str">
        <f t="array" ref="DV54">IFERROR(IF(AND(INDEX($E$8:$CE$57, MATCH($C54, $C$8:$C$57, 0), (COLUMNS($DU54:DV54)-1)*5 + 1) = INDEX($E$5:$CE$5, 1, (COLUMNS($DU54:DV54)-1)*5 + 1), INDEX($E$8:$CE$57, MATCH($C54, $C$8:$C$57, 0), (COLUMNS($DU54:DV54)-1)*5 + 4) = "SF"), INDEX($CZ$8:$CZ$23, COLUMNS($DU54:DV54)), "0"), "")</f>
        <v>0</v>
      </c>
      <c r="DW54" s="390" t="str">
        <f t="array" ref="DW54">IFERROR(IF(AND(INDEX($E$8:$CE$57, MATCH($C54, $C$8:$C$57, 0), (COLUMNS($DU54:DW54)-1)*5 + 1) = INDEX($E$5:$CE$5, 1, (COLUMNS($DU54:DW54)-1)*5 + 1), INDEX($E$8:$CE$57, MATCH($C54, $C$8:$C$57, 0), (COLUMNS($DU54:DW54)-1)*5 + 4) = "SF"), INDEX($CZ$8:$CZ$23, COLUMNS($DU54:DW54)), "0"), "")</f>
        <v>0</v>
      </c>
      <c r="DX54" s="390" t="str">
        <f t="array" ref="DX54">IFERROR(IF(AND(INDEX($E$8:$CE$57, MATCH($C54, $C$8:$C$57, 0), (COLUMNS($DU54:DX54)-1)*5 + 1) = INDEX($E$5:$CE$5, 1, (COLUMNS($DU54:DX54)-1)*5 + 1), INDEX($E$8:$CE$57, MATCH($C54, $C$8:$C$57, 0), (COLUMNS($DU54:DX54)-1)*5 + 4) = "SF"), INDEX($CZ$8:$CZ$23, COLUMNS($DU54:DX54)), "0"), "")</f>
        <v>0</v>
      </c>
      <c r="DY54" s="390" t="str">
        <f t="array" ref="DY54">IFERROR(IF(AND(INDEX($E$8:$CE$57, MATCH($C54, $C$8:$C$57, 0), (COLUMNS($DU54:DY54)-1)*5 + 1) = INDEX($E$5:$CE$5, 1, (COLUMNS($DU54:DY54)-1)*5 + 1), INDEX($E$8:$CE$57, MATCH($C54, $C$8:$C$57, 0), (COLUMNS($DU54:DY54)-1)*5 + 4) = "SF"), INDEX($CZ$8:$CZ$23, COLUMNS($DU54:DY54)), "0"), "")</f>
        <v>0</v>
      </c>
      <c r="DZ54" s="390" t="str">
        <f t="array" ref="DZ54">IFERROR(IF(AND(INDEX($E$8:$CE$57, MATCH($C54, $C$8:$C$57, 0), (COLUMNS($DU54:DZ54)-1)*5 + 1) = INDEX($E$5:$CE$5, 1, (COLUMNS($DU54:DZ54)-1)*5 + 1), INDEX($E$8:$CE$57, MATCH($C54, $C$8:$C$57, 0), (COLUMNS($DU54:DZ54)-1)*5 + 4) = "SF"), INDEX($CZ$8:$CZ$23, COLUMNS($DU54:DZ54)), "0"), "")</f>
        <v>0</v>
      </c>
      <c r="EA54" s="390" t="str">
        <f t="array" ref="EA54">IFERROR(IF(AND(INDEX($E$8:$CE$57, MATCH($C54, $C$8:$C$57, 0), (COLUMNS($DU54:EA54)-1)*5 + 1) = INDEX($E$5:$CE$5, 1, (COLUMNS($DU54:EA54)-1)*5 + 1), INDEX($E$8:$CE$57, MATCH($C54, $C$8:$C$57, 0), (COLUMNS($DU54:EA54)-1)*5 + 4) = "SF"), INDEX($CZ$8:$CZ$23, COLUMNS($DU54:EA54)), "0"), "")</f>
        <v>0</v>
      </c>
      <c r="EB54" s="390" t="str">
        <f t="array" ref="EB54">IFERROR(IF(AND(INDEX($E$8:$CE$57, MATCH($C54, $C$8:$C$57, 0), (COLUMNS($DU54:EB54)-1)*5 + 1) = INDEX($E$5:$CE$5, 1, (COLUMNS($DU54:EB54)-1)*5 + 1), INDEX($E$8:$CE$57, MATCH($C54, $C$8:$C$57, 0), (COLUMNS($DU54:EB54)-1)*5 + 4) = "SF"), INDEX($CZ$8:$CZ$23, COLUMNS($DU54:EB54)), "0"), "")</f>
        <v>0</v>
      </c>
      <c r="EC54" s="390" t="str">
        <f t="array" ref="EC54">IFERROR(IF(AND(INDEX($E$8:$CE$57, MATCH($C54, $C$8:$C$57, 0), (COLUMNS($DU54:EC54)-1)*5 + 1) = INDEX($E$5:$CE$5, 1, (COLUMNS($DU54:EC54)-1)*5 + 1), INDEX($E$8:$CE$57, MATCH($C54, $C$8:$C$57, 0), (COLUMNS($DU54:EC54)-1)*5 + 4) = "SF"), INDEX($CZ$8:$CZ$23, COLUMNS($DU54:EC54)), "0"), "")</f>
        <v>0</v>
      </c>
      <c r="ED54" s="390" t="str">
        <f t="array" ref="ED54">IFERROR(IF(AND(INDEX($E$8:$CE$57, MATCH($C54, $C$8:$C$57, 0), (COLUMNS($DU54:ED54)-1)*5 + 1) = INDEX($E$5:$CE$5, 1, (COLUMNS($DU54:ED54)-1)*5 + 1), INDEX($E$8:$CE$57, MATCH($C54, $C$8:$C$57, 0), (COLUMNS($DU54:ED54)-1)*5 + 4) = "SF"), INDEX($CZ$8:$CZ$23, COLUMNS($DU54:ED54)), "0"), "")</f>
        <v>0</v>
      </c>
      <c r="EE54" s="390" t="str">
        <f t="array" ref="EE54">IFERROR(IF(AND(INDEX($E$8:$CE$57, MATCH($C54, $C$8:$C$57, 0), (COLUMNS($DU54:EE54)-1)*5 + 1) = INDEX($E$5:$CE$5, 1, (COLUMNS($DU54:EE54)-1)*5 + 1), INDEX($E$8:$CE$57, MATCH($C54, $C$8:$C$57, 0), (COLUMNS($DU54:EE54)-1)*5 + 4) = "SF"), INDEX($CZ$8:$CZ$23, COLUMNS($DU54:EE54)), "0"), "")</f>
        <v>0</v>
      </c>
      <c r="EF54" s="390" t="str">
        <f t="array" ref="EF54">IFERROR(IF(AND(INDEX($E$8:$CE$57, MATCH($C54, $C$8:$C$57, 0), (COLUMNS($DU54:EF54)-1)*5 + 1) = INDEX($E$5:$CE$5, 1, (COLUMNS($DU54:EF54)-1)*5 + 1), INDEX($E$8:$CE$57, MATCH($C54, $C$8:$C$57, 0), (COLUMNS($DU54:EF54)-1)*5 + 4) = "SF"), INDEX($CZ$8:$CZ$23, COLUMNS($DU54:EF54)), "0"), "")</f>
        <v>0</v>
      </c>
      <c r="EG54" s="390" t="str">
        <f t="array" ref="EG54">IFERROR(IF(AND(INDEX($E$8:$CE$57, MATCH($C54, $C$8:$C$57, 0), (COLUMNS($DU54:EG54)-1)*5 + 1) = INDEX($E$5:$CE$5, 1, (COLUMNS($DU54:EG54)-1)*5 + 1), INDEX($E$8:$CE$57, MATCH($C54, $C$8:$C$57, 0), (COLUMNS($DU54:EG54)-1)*5 + 4) = "SF"), INDEX($CZ$8:$CZ$23, COLUMNS($DU54:EG54)), "0"), "")</f>
        <v>0</v>
      </c>
      <c r="EH54" s="390" t="str">
        <f t="array" ref="EH54">IFERROR(IF(AND(INDEX($E$8:$CE$57, MATCH($C54, $C$8:$C$57, 0), (COLUMNS($DU54:EH54)-1)*5 + 1) = INDEX($E$5:$CE$5, 1, (COLUMNS($DU54:EH54)-1)*5 + 1), INDEX($E$8:$CE$57, MATCH($C54, $C$8:$C$57, 0), (COLUMNS($DU54:EH54)-1)*5 + 4) = "SF"), INDEX($CZ$8:$CZ$23, COLUMNS($DU54:EH54)), "0"), "")</f>
        <v>0</v>
      </c>
      <c r="EI54" s="390" t="str">
        <f t="array" ref="EI54">IFERROR(IF(AND(INDEX($E$8:$CE$57, MATCH($C54, $C$8:$C$57, 0), (COLUMNS($DU54:EI54)-1)*5 + 1) = INDEX($E$5:$CE$5, 1, (COLUMNS($DU54:EI54)-1)*5 + 1), INDEX($E$8:$CE$57, MATCH($C54, $C$8:$C$57, 0), (COLUMNS($DU54:EI54)-1)*5 + 4) = "SF"), INDEX($CZ$8:$CZ$23, COLUMNS($DU54:EI54)), "0"), "")</f>
        <v>0</v>
      </c>
      <c r="EJ54" s="390" t="str">
        <f t="array" ref="EJ54">IFERROR(IF(AND(INDEX($E$8:$CE$57, MATCH($C54, $C$8:$C$57, 0), (COLUMNS($DU54:EJ54)-1)*5 + 1) = INDEX($E$5:$CE$5, 1, (COLUMNS($DU54:EJ54)-1)*5 + 1), INDEX($E$8:$CE$57, MATCH($C54, $C$8:$C$57, 0), (COLUMNS($DU54:EJ54)-1)*5 + 4) = "SF"), INDEX($CZ$8:$CZ$23, COLUMNS($DU54:EJ54)), "0"), "")</f>
        <v>0</v>
      </c>
    </row>
    <row r="55" spans="1:140" ht="20.100000000000001" customHeight="1" outlineLevel="1" x14ac:dyDescent="0.35">
      <c r="A55" s="515"/>
      <c r="B55" s="91">
        <f>IF(BASE01[[#This Row],[COD]]&lt;&gt;"",B54+1,"")</f>
        <v>48</v>
      </c>
      <c r="C55" s="533" t="s">
        <v>120</v>
      </c>
      <c r="D55" s="92" t="str">
        <f t="array" ref="D55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NO ENVIÓ</v>
      </c>
      <c r="E55" s="143"/>
      <c r="F55" s="144"/>
      <c r="G55" s="144"/>
      <c r="H55" s="144"/>
      <c r="I55" s="534">
        <f t="shared" si="18"/>
        <v>0</v>
      </c>
      <c r="J55" s="143"/>
      <c r="K55" s="144"/>
      <c r="L55" s="144"/>
      <c r="M55" s="144"/>
      <c r="N55" s="534">
        <f t="shared" si="19"/>
        <v>0</v>
      </c>
      <c r="O55" s="143"/>
      <c r="P55" s="144"/>
      <c r="Q55" s="144"/>
      <c r="R55" s="144"/>
      <c r="S55" s="534">
        <f t="shared" si="20"/>
        <v>0</v>
      </c>
      <c r="T55" s="143"/>
      <c r="U55" s="144"/>
      <c r="V55" s="144"/>
      <c r="W55" s="144"/>
      <c r="X55" s="534">
        <f t="shared" si="21"/>
        <v>0</v>
      </c>
      <c r="Y55" s="143"/>
      <c r="Z55" s="144"/>
      <c r="AA55" s="144"/>
      <c r="AB55" s="144"/>
      <c r="AC55" s="534">
        <f t="shared" si="22"/>
        <v>0</v>
      </c>
      <c r="AD55" s="143"/>
      <c r="AE55" s="144"/>
      <c r="AF55" s="144"/>
      <c r="AG55" s="144"/>
      <c r="AH55" s="534">
        <f t="shared" si="23"/>
        <v>0</v>
      </c>
      <c r="AI55" s="143"/>
      <c r="AJ55" s="144"/>
      <c r="AK55" s="144"/>
      <c r="AL55" s="144"/>
      <c r="AM55" s="534">
        <f t="shared" si="24"/>
        <v>0</v>
      </c>
      <c r="AN55" s="143"/>
      <c r="AO55" s="144"/>
      <c r="AP55" s="144"/>
      <c r="AQ55" s="144"/>
      <c r="AR55" s="534">
        <f t="shared" si="25"/>
        <v>0</v>
      </c>
      <c r="AS55" s="143"/>
      <c r="AT55" s="144"/>
      <c r="AU55" s="144"/>
      <c r="AV55" s="144"/>
      <c r="AW55" s="534">
        <f t="shared" si="26"/>
        <v>0</v>
      </c>
      <c r="AX55" s="143"/>
      <c r="AY55" s="144"/>
      <c r="AZ55" s="144"/>
      <c r="BA55" s="144"/>
      <c r="BB55" s="534">
        <f t="shared" si="27"/>
        <v>0</v>
      </c>
      <c r="BC55" s="143"/>
      <c r="BD55" s="144"/>
      <c r="BE55" s="144"/>
      <c r="BF55" s="144"/>
      <c r="BG55" s="534">
        <f t="shared" si="28"/>
        <v>0</v>
      </c>
      <c r="BH55" s="143"/>
      <c r="BI55" s="144"/>
      <c r="BJ55" s="144"/>
      <c r="BK55" s="144"/>
      <c r="BL55" s="534">
        <f t="shared" si="29"/>
        <v>0</v>
      </c>
      <c r="BM55" s="143"/>
      <c r="BN55" s="144"/>
      <c r="BO55" s="144"/>
      <c r="BP55" s="144"/>
      <c r="BQ55" s="534">
        <f t="shared" si="30"/>
        <v>0</v>
      </c>
      <c r="BR55" s="143"/>
      <c r="BS55" s="144"/>
      <c r="BT55" s="144"/>
      <c r="BU55" s="144"/>
      <c r="BV55" s="534">
        <f t="shared" si="31"/>
        <v>0</v>
      </c>
      <c r="BW55" s="143"/>
      <c r="BX55" s="144"/>
      <c r="BY55" s="144"/>
      <c r="BZ55" s="144"/>
      <c r="CA55" s="534">
        <f t="shared" si="32"/>
        <v>0</v>
      </c>
      <c r="CB55" s="143"/>
      <c r="CC55" s="144"/>
      <c r="CD55" s="144"/>
      <c r="CE55" s="144"/>
      <c r="CF55" s="534">
        <f t="shared" si="33"/>
        <v>0</v>
      </c>
      <c r="CG55" s="162">
        <f>IF(BASE01[[#This Row],[1]]="",0,$B$4)</f>
        <v>0</v>
      </c>
      <c r="CH55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0</v>
      </c>
      <c r="CI55" s="185">
        <f>IF(BASE01[[#This Row],[Columna14]]=0,0,(CH55/CG55))</f>
        <v>0</v>
      </c>
      <c r="CJ55" s="163">
        <f>IF(BASE01[[#This Row],[1]]="",0,$B$4)</f>
        <v>0</v>
      </c>
      <c r="CK55" s="186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0</v>
      </c>
      <c r="CL55" s="185">
        <f>IF(BASE01[[#This Row],[Columna14]]=0,0,(CK55/CJ55))</f>
        <v>0</v>
      </c>
      <c r="CM55" s="162">
        <f>IF(BASE01[[#This Row],[1]]="",0,$B$4)</f>
        <v>0</v>
      </c>
      <c r="CN55" s="186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0</v>
      </c>
      <c r="CO55" s="185">
        <f>IF(BASE01[[#This Row],[Columna14]]=0,0,(CN55/CM55))</f>
        <v>0</v>
      </c>
      <c r="CP55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0</v>
      </c>
      <c r="CQ55" s="186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Row],[Columna25]],$AX$5,BA55,"SF")+COUNTIFS(BASE01[[#This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0</v>
      </c>
      <c r="CR55" s="185">
        <f>IF(BASE01[[#This Row],[Columna14]]=0,0,(CQ55/CP55))</f>
        <v>0</v>
      </c>
      <c r="CS55" s="539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0</v>
      </c>
      <c r="CT55" s="93"/>
      <c r="CU55" s="536">
        <f t="shared" si="34"/>
        <v>0</v>
      </c>
      <c r="CV55" s="94" t="str">
        <f>IF(BASE01[[#This Row],[TIPO]]="PREMIO",$O$3,"0,00")</f>
        <v>0,00</v>
      </c>
      <c r="CW55" s="515"/>
      <c r="CY55" s="538" t="str">
        <f t="shared" si="17"/>
        <v/>
      </c>
      <c r="CZ55" s="387"/>
      <c r="DA55" s="387" t="str">
        <f t="array" ref="DA55">IF(CZ55="", "", IF((INDEX(E$8:CE$57, MATCH(CZ55, C$8:C$57, 0), ($CZ$25-1)*5 + 1) &amp; "") = (INDEX(E$5:CE$5, 1, ($CZ$25-1)*5 + 1) &amp; ""), 1, IF((INDEX(E$8:CE$57, MATCH(CZ55, C$8:C$57, 0), ($CZ$25-1)*5 + 2) &amp; "") = (INDEX(E$5:CE$5, 1, ($CZ$25-1)*5 + 1) &amp; ""), 2, IF((INDEX(E$8:CE$57, MATCH(CZ55, C$8:C$57, 0), ($CZ$25-1)*5 + 3) &amp; "") = (INDEX(E$5:CE$5, 1, ($CZ$25-1)*5 + 1) &amp; ""), 3, ""))))</f>
        <v/>
      </c>
      <c r="DB55" s="537" t="str">
        <f>BASE01[[#This Row],[COD]]</f>
        <v>COD 48</v>
      </c>
      <c r="DC55" s="390" t="str">
        <f t="array" ref="DC55">IFERROR(IF(AND(INDEX($E$8:$CE$57, MATCH($C55, $C$8:$C$57, 0), (COLUMNS($DC55:DC55)-1)*5 + 1) = INDEX($E$5:$CE$5, 1, (COLUMNS($DC55:DC55)-1)*5 + 1), INDEX($E$8:$CE$57, MATCH($C55, $C$8:$C$57, 0), (COLUMNS($DC55:DC55)-1)*5 + 4) = "F"), INDEX($CZ$8:$CZ$23, COLUMNS($DC55:DC55)), "0"), "")</f>
        <v>0</v>
      </c>
      <c r="DD55" s="390" t="str">
        <f t="array" ref="DD55">IFERROR(IF(AND(INDEX($E$8:$CE$57, MATCH($C55, $C$8:$C$57, 0), (COLUMNS($DC55:DD55)-1)*5 + 1) = INDEX($E$5:$CE$5, 1, (COLUMNS($DC55:DD55)-1)*5 + 1), INDEX($E$8:$CE$57, MATCH($C55, $C$8:$C$57, 0), (COLUMNS($DC55:DD55)-1)*5 + 4) = "F"), INDEX($CZ$8:$CZ$23, COLUMNS($DC55:DD55)), "0"), "")</f>
        <v>0</v>
      </c>
      <c r="DE55" s="390" t="str">
        <f t="array" ref="DE55">IFERROR(IF(AND(INDEX($E$8:$CE$57, MATCH($C55, $C$8:$C$57, 0), (COLUMNS($DC55:DE55)-1)*5 + 1) = INDEX($E$5:$CE$5, 1, (COLUMNS($DC55:DE55)-1)*5 + 1), INDEX($E$8:$CE$57, MATCH($C55, $C$8:$C$57, 0), (COLUMNS($DC55:DE55)-1)*5 + 4) = "F"), INDEX($CZ$8:$CZ$23, COLUMNS($DC55:DE55)), "0"), "")</f>
        <v>0</v>
      </c>
      <c r="DF55" s="390" t="str">
        <f t="array" ref="DF55">IFERROR(IF(AND(INDEX($E$8:$CE$57, MATCH($C55, $C$8:$C$57, 0), (COLUMNS($DC55:DF55)-1)*5 + 1) = INDEX($E$5:$CE$5, 1, (COLUMNS($DC55:DF55)-1)*5 + 1), INDEX($E$8:$CE$57, MATCH($C55, $C$8:$C$57, 0), (COLUMNS($DC55:DF55)-1)*5 + 4) = "F"), INDEX($CZ$8:$CZ$23, COLUMNS($DC55:DF55)), "0"), "")</f>
        <v>0</v>
      </c>
      <c r="DG55" s="390" t="str">
        <f t="array" ref="DG55">IFERROR(IF(AND(INDEX($E$8:$CE$57, MATCH($C55, $C$8:$C$57, 0), (COLUMNS($DC55:DG55)-1)*5 + 1) = INDEX($E$5:$CE$5, 1, (COLUMNS($DC55:DG55)-1)*5 + 1), INDEX($E$8:$CE$57, MATCH($C55, $C$8:$C$57, 0), (COLUMNS($DC55:DG55)-1)*5 + 4) = "F"), INDEX($CZ$8:$CZ$23, COLUMNS($DC55:DG55)), "0"), "")</f>
        <v>0</v>
      </c>
      <c r="DH55" s="390" t="str">
        <f t="array" ref="DH55">IFERROR(IF(AND(INDEX($E$8:$CE$57, MATCH($C55, $C$8:$C$57, 0), (COLUMNS($DC55:DH55)-1)*5 + 1) = INDEX($E$5:$CE$5, 1, (COLUMNS($DC55:DH55)-1)*5 + 1), INDEX($E$8:$CE$57, MATCH($C55, $C$8:$C$57, 0), (COLUMNS($DC55:DH55)-1)*5 + 4) = "F"), INDEX($CZ$8:$CZ$23, COLUMNS($DC55:DH55)), "0"), "")</f>
        <v>0</v>
      </c>
      <c r="DI55" s="390" t="str">
        <f t="array" ref="DI55">IFERROR(IF(AND(INDEX($E$8:$CE$57, MATCH($C55, $C$8:$C$57, 0), (COLUMNS($DC55:DI55)-1)*5 + 1) = INDEX($E$5:$CE$5, 1, (COLUMNS($DC55:DI55)-1)*5 + 1), INDEX($E$8:$CE$57, MATCH($C55, $C$8:$C$57, 0), (COLUMNS($DC55:DI55)-1)*5 + 4) = "F"), INDEX($CZ$8:$CZ$23, COLUMNS($DC55:DI55)), "0"), "")</f>
        <v>0</v>
      </c>
      <c r="DJ55" s="390" t="str">
        <f t="array" ref="DJ55">IFERROR(IF(AND(INDEX($E$8:$CE$57, MATCH($C55, $C$8:$C$57, 0), (COLUMNS($DC55:DJ55)-1)*5 + 1) = INDEX($E$5:$CE$5, 1, (COLUMNS($DC55:DJ55)-1)*5 + 1), INDEX($E$8:$CE$57, MATCH($C55, $C$8:$C$57, 0), (COLUMNS($DC55:DJ55)-1)*5 + 4) = "F"), INDEX($CZ$8:$CZ$23, COLUMNS($DC55:DJ55)), "0"), "")</f>
        <v>0</v>
      </c>
      <c r="DK55" s="390" t="str">
        <f t="array" ref="DK55">IFERROR(IF(AND(INDEX($E$8:$CE$57, MATCH($C55, $C$8:$C$57, 0), (COLUMNS($DC55:DK55)-1)*5 + 1) = INDEX($E$5:$CE$5, 1, (COLUMNS($DC55:DK55)-1)*5 + 1), INDEX($E$8:$CE$57, MATCH($C55, $C$8:$C$57, 0), (COLUMNS($DC55:DK55)-1)*5 + 4) = "F"), INDEX($CZ$8:$CZ$23, COLUMNS($DC55:DK55)), "0"), "")</f>
        <v>0</v>
      </c>
      <c r="DL55" s="390" t="str">
        <f t="array" ref="DL55">IFERROR(IF(AND(INDEX($E$8:$CE$57, MATCH($C55, $C$8:$C$57, 0), (COLUMNS($DC55:DL55)-1)*5 + 1) = INDEX($E$5:$CE$5, 1, (COLUMNS($DC55:DL55)-1)*5 + 1), INDEX($E$8:$CE$57, MATCH($C55, $C$8:$C$57, 0), (COLUMNS($DC55:DL55)-1)*5 + 4) = "F"), INDEX($CZ$8:$CZ$23, COLUMNS($DC55:DL55)), "0"), "")</f>
        <v>0</v>
      </c>
      <c r="DM55" s="390" t="str">
        <f t="array" ref="DM55">IFERROR(IF(AND(INDEX($E$8:$CE$57, MATCH($C55, $C$8:$C$57, 0), (COLUMNS($DC55:DM55)-1)*5 + 1) = INDEX($E$5:$CE$5, 1, (COLUMNS($DC55:DM55)-1)*5 + 1), INDEX($E$8:$CE$57, MATCH($C55, $C$8:$C$57, 0), (COLUMNS($DC55:DM55)-1)*5 + 4) = "F"), INDEX($CZ$8:$CZ$23, COLUMNS($DC55:DM55)), "0"), "")</f>
        <v>0</v>
      </c>
      <c r="DN55" s="390" t="str">
        <f t="array" ref="DN55">IFERROR(IF(AND(INDEX($E$8:$CE$57, MATCH($C55, $C$8:$C$57, 0), (COLUMNS($DC55:DN55)-1)*5 + 1) = INDEX($E$5:$CE$5, 1, (COLUMNS($DC55:DN55)-1)*5 + 1), INDEX($E$8:$CE$57, MATCH($C55, $C$8:$C$57, 0), (COLUMNS($DC55:DN55)-1)*5 + 4) = "F"), INDEX($CZ$8:$CZ$23, COLUMNS($DC55:DN55)), "0"), "")</f>
        <v>0</v>
      </c>
      <c r="DO55" s="390" t="str">
        <f t="array" ref="DO55">IFERROR(IF(AND(INDEX($E$8:$CE$57, MATCH($C55, $C$8:$C$57, 0), (COLUMNS($DC55:DO55)-1)*5 + 1) = INDEX($E$5:$CE$5, 1, (COLUMNS($DC55:DO55)-1)*5 + 1), INDEX($E$8:$CE$57, MATCH($C55, $C$8:$C$57, 0), (COLUMNS($DC55:DO55)-1)*5 + 4) = "F"), INDEX($CZ$8:$CZ$23, COLUMNS($DC55:DO55)), "0"), "")</f>
        <v>0</v>
      </c>
      <c r="DP55" s="390" t="str">
        <f t="array" ref="DP55">IFERROR(IF(AND(INDEX($E$8:$CE$57, MATCH($C55, $C$8:$C$57, 0), (COLUMNS($DC55:DP55)-1)*5 + 1) = INDEX($E$5:$CE$5, 1, (COLUMNS($DC55:DP55)-1)*5 + 1), INDEX($E$8:$CE$57, MATCH($C55, $C$8:$C$57, 0), (COLUMNS($DC55:DP55)-1)*5 + 4) = "F"), INDEX($CZ$8:$CZ$23, COLUMNS($DC55:DP55)), "0"), "")</f>
        <v>0</v>
      </c>
      <c r="DQ55" s="390" t="str">
        <f t="array" ref="DQ55">IFERROR(IF(AND(INDEX($E$8:$CE$57, MATCH($C55, $C$8:$C$57, 0), (COLUMNS($DC55:DQ55)-1)*5 + 1) = INDEX($E$5:$CE$5, 1, (COLUMNS($DC55:DQ55)-1)*5 + 1), INDEX($E$8:$CE$57, MATCH($C55, $C$8:$C$57, 0), (COLUMNS($DC55:DQ55)-1)*5 + 4) = "F"), INDEX($CZ$8:$CZ$23, COLUMNS($DC55:DQ55)), "0"), "")</f>
        <v>0</v>
      </c>
      <c r="DR55" s="390" t="str">
        <f t="array" ref="DR55">IFERROR(IF(AND(INDEX($E$8:$CE$57, MATCH($C55, $C$8:$C$57, 0), (COLUMNS($DC55:DR55)-1)*5 + 1) = INDEX($E$5:$CE$5, 1, (COLUMNS($DC55:DR55)-1)*5 + 1), INDEX($E$8:$CE$57, MATCH($C55, $C$8:$C$57, 0), (COLUMNS($DC55:DR55)-1)*5 + 4) = "F"), INDEX($CZ$8:$CZ$23, COLUMNS($DC55:DR55)), "0"), "")</f>
        <v>0</v>
      </c>
      <c r="DT55" s="537" t="str">
        <f>BASE01[[#This Row],[COD]]</f>
        <v>COD 48</v>
      </c>
      <c r="DU55" s="390" t="str">
        <f t="array" ref="DU55">IFERROR(IF(AND(INDEX($E$8:$CE$57, MATCH($C55, $C$8:$C$57, 0), (COLUMNS($DU55:DU55)-1)*5 + 1) = INDEX($E$5:$CE$5, 1, (COLUMNS($DU55:DU55)-1)*5 + 1), INDEX($E$8:$CE$57, MATCH($C55, $C$8:$C$57, 0), (COLUMNS($DU55:DU55)-1)*5 + 4) = "SF"), INDEX($CZ$8:$CZ$23, COLUMNS($DU55:DU55)), "0"), "")</f>
        <v>0</v>
      </c>
      <c r="DV55" s="390" t="str">
        <f t="array" ref="DV55">IFERROR(IF(AND(INDEX($E$8:$CE$57, MATCH($C55, $C$8:$C$57, 0), (COLUMNS($DU55:DV55)-1)*5 + 1) = INDEX($E$5:$CE$5, 1, (COLUMNS($DU55:DV55)-1)*5 + 1), INDEX($E$8:$CE$57, MATCH($C55, $C$8:$C$57, 0), (COLUMNS($DU55:DV55)-1)*5 + 4) = "SF"), INDEX($CZ$8:$CZ$23, COLUMNS($DU55:DV55)), "0"), "")</f>
        <v>0</v>
      </c>
      <c r="DW55" s="390" t="str">
        <f t="array" ref="DW55">IFERROR(IF(AND(INDEX($E$8:$CE$57, MATCH($C55, $C$8:$C$57, 0), (COLUMNS($DU55:DW55)-1)*5 + 1) = INDEX($E$5:$CE$5, 1, (COLUMNS($DU55:DW55)-1)*5 + 1), INDEX($E$8:$CE$57, MATCH($C55, $C$8:$C$57, 0), (COLUMNS($DU55:DW55)-1)*5 + 4) = "SF"), INDEX($CZ$8:$CZ$23, COLUMNS($DU55:DW55)), "0"), "")</f>
        <v>0</v>
      </c>
      <c r="DX55" s="390" t="str">
        <f t="array" ref="DX55">IFERROR(IF(AND(INDEX($E$8:$CE$57, MATCH($C55, $C$8:$C$57, 0), (COLUMNS($DU55:DX55)-1)*5 + 1) = INDEX($E$5:$CE$5, 1, (COLUMNS($DU55:DX55)-1)*5 + 1), INDEX($E$8:$CE$57, MATCH($C55, $C$8:$C$57, 0), (COLUMNS($DU55:DX55)-1)*5 + 4) = "SF"), INDEX($CZ$8:$CZ$23, COLUMNS($DU55:DX55)), "0"), "")</f>
        <v>0</v>
      </c>
      <c r="DY55" s="390" t="str">
        <f t="array" ref="DY55">IFERROR(IF(AND(INDEX($E$8:$CE$57, MATCH($C55, $C$8:$C$57, 0), (COLUMNS($DU55:DY55)-1)*5 + 1) = INDEX($E$5:$CE$5, 1, (COLUMNS($DU55:DY55)-1)*5 + 1), INDEX($E$8:$CE$57, MATCH($C55, $C$8:$C$57, 0), (COLUMNS($DU55:DY55)-1)*5 + 4) = "SF"), INDEX($CZ$8:$CZ$23, COLUMNS($DU55:DY55)), "0"), "")</f>
        <v>0</v>
      </c>
      <c r="DZ55" s="390" t="str">
        <f t="array" ref="DZ55">IFERROR(IF(AND(INDEX($E$8:$CE$57, MATCH($C55, $C$8:$C$57, 0), (COLUMNS($DU55:DZ55)-1)*5 + 1) = INDEX($E$5:$CE$5, 1, (COLUMNS($DU55:DZ55)-1)*5 + 1), INDEX($E$8:$CE$57, MATCH($C55, $C$8:$C$57, 0), (COLUMNS($DU55:DZ55)-1)*5 + 4) = "SF"), INDEX($CZ$8:$CZ$23, COLUMNS($DU55:DZ55)), "0"), "")</f>
        <v>0</v>
      </c>
      <c r="EA55" s="390" t="str">
        <f t="array" ref="EA55">IFERROR(IF(AND(INDEX($E$8:$CE$57, MATCH($C55, $C$8:$C$57, 0), (COLUMNS($DU55:EA55)-1)*5 + 1) = INDEX($E$5:$CE$5, 1, (COLUMNS($DU55:EA55)-1)*5 + 1), INDEX($E$8:$CE$57, MATCH($C55, $C$8:$C$57, 0), (COLUMNS($DU55:EA55)-1)*5 + 4) = "SF"), INDEX($CZ$8:$CZ$23, COLUMNS($DU55:EA55)), "0"), "")</f>
        <v>0</v>
      </c>
      <c r="EB55" s="390" t="str">
        <f t="array" ref="EB55">IFERROR(IF(AND(INDEX($E$8:$CE$57, MATCH($C55, $C$8:$C$57, 0), (COLUMNS($DU55:EB55)-1)*5 + 1) = INDEX($E$5:$CE$5, 1, (COLUMNS($DU55:EB55)-1)*5 + 1), INDEX($E$8:$CE$57, MATCH($C55, $C$8:$C$57, 0), (COLUMNS($DU55:EB55)-1)*5 + 4) = "SF"), INDEX($CZ$8:$CZ$23, COLUMNS($DU55:EB55)), "0"), "")</f>
        <v>0</v>
      </c>
      <c r="EC55" s="390" t="str">
        <f t="array" ref="EC55">IFERROR(IF(AND(INDEX($E$8:$CE$57, MATCH($C55, $C$8:$C$57, 0), (COLUMNS($DU55:EC55)-1)*5 + 1) = INDEX($E$5:$CE$5, 1, (COLUMNS($DU55:EC55)-1)*5 + 1), INDEX($E$8:$CE$57, MATCH($C55, $C$8:$C$57, 0), (COLUMNS($DU55:EC55)-1)*5 + 4) = "SF"), INDEX($CZ$8:$CZ$23, COLUMNS($DU55:EC55)), "0"), "")</f>
        <v>0</v>
      </c>
      <c r="ED55" s="390" t="str">
        <f t="array" ref="ED55">IFERROR(IF(AND(INDEX($E$8:$CE$57, MATCH($C55, $C$8:$C$57, 0), (COLUMNS($DU55:ED55)-1)*5 + 1) = INDEX($E$5:$CE$5, 1, (COLUMNS($DU55:ED55)-1)*5 + 1), INDEX($E$8:$CE$57, MATCH($C55, $C$8:$C$57, 0), (COLUMNS($DU55:ED55)-1)*5 + 4) = "SF"), INDEX($CZ$8:$CZ$23, COLUMNS($DU55:ED55)), "0"), "")</f>
        <v>0</v>
      </c>
      <c r="EE55" s="390" t="str">
        <f t="array" ref="EE55">IFERROR(IF(AND(INDEX($E$8:$CE$57, MATCH($C55, $C$8:$C$57, 0), (COLUMNS($DU55:EE55)-1)*5 + 1) = INDEX($E$5:$CE$5, 1, (COLUMNS($DU55:EE55)-1)*5 + 1), INDEX($E$8:$CE$57, MATCH($C55, $C$8:$C$57, 0), (COLUMNS($DU55:EE55)-1)*5 + 4) = "SF"), INDEX($CZ$8:$CZ$23, COLUMNS($DU55:EE55)), "0"), "")</f>
        <v>0</v>
      </c>
      <c r="EF55" s="390" t="str">
        <f t="array" ref="EF55">IFERROR(IF(AND(INDEX($E$8:$CE$57, MATCH($C55, $C$8:$C$57, 0), (COLUMNS($DU55:EF55)-1)*5 + 1) = INDEX($E$5:$CE$5, 1, (COLUMNS($DU55:EF55)-1)*5 + 1), INDEX($E$8:$CE$57, MATCH($C55, $C$8:$C$57, 0), (COLUMNS($DU55:EF55)-1)*5 + 4) = "SF"), INDEX($CZ$8:$CZ$23, COLUMNS($DU55:EF55)), "0"), "")</f>
        <v>0</v>
      </c>
      <c r="EG55" s="390" t="str">
        <f t="array" ref="EG55">IFERROR(IF(AND(INDEX($E$8:$CE$57, MATCH($C55, $C$8:$C$57, 0), (COLUMNS($DU55:EG55)-1)*5 + 1) = INDEX($E$5:$CE$5, 1, (COLUMNS($DU55:EG55)-1)*5 + 1), INDEX($E$8:$CE$57, MATCH($C55, $C$8:$C$57, 0), (COLUMNS($DU55:EG55)-1)*5 + 4) = "SF"), INDEX($CZ$8:$CZ$23, COLUMNS($DU55:EG55)), "0"), "")</f>
        <v>0</v>
      </c>
      <c r="EH55" s="390" t="str">
        <f t="array" ref="EH55">IFERROR(IF(AND(INDEX($E$8:$CE$57, MATCH($C55, $C$8:$C$57, 0), (COLUMNS($DU55:EH55)-1)*5 + 1) = INDEX($E$5:$CE$5, 1, (COLUMNS($DU55:EH55)-1)*5 + 1), INDEX($E$8:$CE$57, MATCH($C55, $C$8:$C$57, 0), (COLUMNS($DU55:EH55)-1)*5 + 4) = "SF"), INDEX($CZ$8:$CZ$23, COLUMNS($DU55:EH55)), "0"), "")</f>
        <v>0</v>
      </c>
      <c r="EI55" s="390" t="str">
        <f t="array" ref="EI55">IFERROR(IF(AND(INDEX($E$8:$CE$57, MATCH($C55, $C$8:$C$57, 0), (COLUMNS($DU55:EI55)-1)*5 + 1) = INDEX($E$5:$CE$5, 1, (COLUMNS($DU55:EI55)-1)*5 + 1), INDEX($E$8:$CE$57, MATCH($C55, $C$8:$C$57, 0), (COLUMNS($DU55:EI55)-1)*5 + 4) = "SF"), INDEX($CZ$8:$CZ$23, COLUMNS($DU55:EI55)), "0"), "")</f>
        <v>0</v>
      </c>
      <c r="EJ55" s="390" t="str">
        <f t="array" ref="EJ55">IFERROR(IF(AND(INDEX($E$8:$CE$57, MATCH($C55, $C$8:$C$57, 0), (COLUMNS($DU55:EJ55)-1)*5 + 1) = INDEX($E$5:$CE$5, 1, (COLUMNS($DU55:EJ55)-1)*5 + 1), INDEX($E$8:$CE$57, MATCH($C55, $C$8:$C$57, 0), (COLUMNS($DU55:EJ55)-1)*5 + 4) = "SF"), INDEX($CZ$8:$CZ$23, COLUMNS($DU55:EJ55)), "0"), "")</f>
        <v>0</v>
      </c>
    </row>
    <row r="56" spans="1:140" ht="20.100000000000001" customHeight="1" outlineLevel="1" x14ac:dyDescent="0.35">
      <c r="A56" s="515"/>
      <c r="B56" s="91">
        <f>IF(BASE01[[#This Row],[COD]]&lt;&gt;"",B55+1,"")</f>
        <v>49</v>
      </c>
      <c r="C56" s="533" t="s">
        <v>121</v>
      </c>
      <c r="D56" s="92" t="str">
        <f t="array" ref="D56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NO ENVIÓ</v>
      </c>
      <c r="E56" s="143"/>
      <c r="F56" s="144"/>
      <c r="G56" s="144"/>
      <c r="H56" s="144"/>
      <c r="I56" s="534">
        <f t="shared" si="18"/>
        <v>0</v>
      </c>
      <c r="J56" s="143"/>
      <c r="K56" s="144"/>
      <c r="L56" s="144"/>
      <c r="M56" s="144"/>
      <c r="N56" s="534">
        <f t="shared" si="19"/>
        <v>0</v>
      </c>
      <c r="O56" s="143"/>
      <c r="P56" s="144"/>
      <c r="Q56" s="144"/>
      <c r="R56" s="144"/>
      <c r="S56" s="534">
        <f t="shared" si="20"/>
        <v>0</v>
      </c>
      <c r="T56" s="143"/>
      <c r="U56" s="144"/>
      <c r="V56" s="144"/>
      <c r="W56" s="144"/>
      <c r="X56" s="534">
        <f t="shared" si="21"/>
        <v>0</v>
      </c>
      <c r="Y56" s="143"/>
      <c r="Z56" s="144"/>
      <c r="AA56" s="144"/>
      <c r="AB56" s="144"/>
      <c r="AC56" s="534">
        <f t="shared" si="22"/>
        <v>0</v>
      </c>
      <c r="AD56" s="143"/>
      <c r="AE56" s="144"/>
      <c r="AF56" s="144"/>
      <c r="AG56" s="144"/>
      <c r="AH56" s="534">
        <f t="shared" si="23"/>
        <v>0</v>
      </c>
      <c r="AI56" s="143"/>
      <c r="AJ56" s="144"/>
      <c r="AK56" s="144"/>
      <c r="AL56" s="144"/>
      <c r="AM56" s="534">
        <f t="shared" si="24"/>
        <v>0</v>
      </c>
      <c r="AN56" s="143"/>
      <c r="AO56" s="144"/>
      <c r="AP56" s="144"/>
      <c r="AQ56" s="144"/>
      <c r="AR56" s="534">
        <f t="shared" si="25"/>
        <v>0</v>
      </c>
      <c r="AS56" s="143"/>
      <c r="AT56" s="144"/>
      <c r="AU56" s="144"/>
      <c r="AV56" s="144"/>
      <c r="AW56" s="534">
        <f t="shared" si="26"/>
        <v>0</v>
      </c>
      <c r="AX56" s="143"/>
      <c r="AY56" s="144"/>
      <c r="AZ56" s="144"/>
      <c r="BA56" s="144"/>
      <c r="BB56" s="534">
        <f t="shared" si="27"/>
        <v>0</v>
      </c>
      <c r="BC56" s="143"/>
      <c r="BD56" s="144"/>
      <c r="BE56" s="144"/>
      <c r="BF56" s="144"/>
      <c r="BG56" s="534">
        <f t="shared" si="28"/>
        <v>0</v>
      </c>
      <c r="BH56" s="143"/>
      <c r="BI56" s="144"/>
      <c r="BJ56" s="144"/>
      <c r="BK56" s="144"/>
      <c r="BL56" s="534">
        <f t="shared" si="29"/>
        <v>0</v>
      </c>
      <c r="BM56" s="143"/>
      <c r="BN56" s="144"/>
      <c r="BO56" s="144"/>
      <c r="BP56" s="144"/>
      <c r="BQ56" s="534">
        <f t="shared" si="30"/>
        <v>0</v>
      </c>
      <c r="BR56" s="143"/>
      <c r="BS56" s="144"/>
      <c r="BT56" s="144"/>
      <c r="BU56" s="144"/>
      <c r="BV56" s="534">
        <f t="shared" si="31"/>
        <v>0</v>
      </c>
      <c r="BW56" s="143"/>
      <c r="BX56" s="144"/>
      <c r="BY56" s="144"/>
      <c r="BZ56" s="144"/>
      <c r="CA56" s="534">
        <f t="shared" si="32"/>
        <v>0</v>
      </c>
      <c r="CB56" s="143"/>
      <c r="CC56" s="144"/>
      <c r="CD56" s="144"/>
      <c r="CE56" s="144"/>
      <c r="CF56" s="534">
        <f t="shared" si="33"/>
        <v>0</v>
      </c>
      <c r="CG56" s="162">
        <f>IF(BASE01[[#This Row],[1]]="",0,$B$4)</f>
        <v>0</v>
      </c>
      <c r="CH56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0</v>
      </c>
      <c r="CI56" s="185">
        <f>IF(BASE01[[#This Row],[Columna14]]=0,0,(CH56/CG56))</f>
        <v>0</v>
      </c>
      <c r="CJ56" s="163">
        <f>IF(BASE01[[#This Row],[1]]="",0,$B$4)</f>
        <v>0</v>
      </c>
      <c r="CK56" s="186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0</v>
      </c>
      <c r="CL56" s="185">
        <f>IF(BASE01[[#This Row],[Columna14]]=0,0,(CK56/CJ56))</f>
        <v>0</v>
      </c>
      <c r="CM56" s="162">
        <f>IF(BASE01[[#This Row],[1]]="",0,$B$4)</f>
        <v>0</v>
      </c>
      <c r="CN56" s="186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0</v>
      </c>
      <c r="CO56" s="185">
        <f>IF(BASE01[[#This Row],[Columna14]]=0,0,(CN56/CM56))</f>
        <v>0</v>
      </c>
      <c r="CP56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0</v>
      </c>
      <c r="CQ56" s="186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Row],[Columna25]],$AX$5,BA56,"SF")+COUNTIFS(BASE01[[#This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0</v>
      </c>
      <c r="CR56" s="185">
        <f>IF(BASE01[[#This Row],[Columna14]]=0,0,(CQ56/CP56))</f>
        <v>0</v>
      </c>
      <c r="CS56" s="539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0</v>
      </c>
      <c r="CT56" s="93"/>
      <c r="CU56" s="536">
        <f t="shared" si="34"/>
        <v>0</v>
      </c>
      <c r="CV56" s="94" t="str">
        <f>IF(BASE01[[#This Row],[TIPO]]="PREMIO",$O$3,"0,00")</f>
        <v>0,00</v>
      </c>
      <c r="CW56" s="515"/>
      <c r="CY56" s="538" t="str">
        <f t="shared" si="17"/>
        <v/>
      </c>
      <c r="CZ56" s="387"/>
      <c r="DA56" s="387" t="str">
        <f t="array" ref="DA56">IF(CZ56="", "", IF((INDEX(E$8:CE$57, MATCH(CZ56, C$8:C$57, 0), ($CZ$25-1)*5 + 1) &amp; "") = (INDEX(E$5:CE$5, 1, ($CZ$25-1)*5 + 1) &amp; ""), 1, IF((INDEX(E$8:CE$57, MATCH(CZ56, C$8:C$57, 0), ($CZ$25-1)*5 + 2) &amp; "") = (INDEX(E$5:CE$5, 1, ($CZ$25-1)*5 + 1) &amp; ""), 2, IF((INDEX(E$8:CE$57, MATCH(CZ56, C$8:C$57, 0), ($CZ$25-1)*5 + 3) &amp; "") = (INDEX(E$5:CE$5, 1, ($CZ$25-1)*5 + 1) &amp; ""), 3, ""))))</f>
        <v/>
      </c>
      <c r="DB56" s="537" t="str">
        <f>BASE01[[#This Row],[COD]]</f>
        <v>COD 49</v>
      </c>
      <c r="DC56" s="390" t="str">
        <f t="array" ref="DC56">IFERROR(IF(AND(INDEX($E$8:$CE$57, MATCH($C56, $C$8:$C$57, 0), (COLUMNS($DC56:DC56)-1)*5 + 1) = INDEX($E$5:$CE$5, 1, (COLUMNS($DC56:DC56)-1)*5 + 1), INDEX($E$8:$CE$57, MATCH($C56, $C$8:$C$57, 0), (COLUMNS($DC56:DC56)-1)*5 + 4) = "F"), INDEX($CZ$8:$CZ$23, COLUMNS($DC56:DC56)), "0"), "")</f>
        <v>0</v>
      </c>
      <c r="DD56" s="390" t="str">
        <f t="array" ref="DD56">IFERROR(IF(AND(INDEX($E$8:$CE$57, MATCH($C56, $C$8:$C$57, 0), (COLUMNS($DC56:DD56)-1)*5 + 1) = INDEX($E$5:$CE$5, 1, (COLUMNS($DC56:DD56)-1)*5 + 1), INDEX($E$8:$CE$57, MATCH($C56, $C$8:$C$57, 0), (COLUMNS($DC56:DD56)-1)*5 + 4) = "F"), INDEX($CZ$8:$CZ$23, COLUMNS($DC56:DD56)), "0"), "")</f>
        <v>0</v>
      </c>
      <c r="DE56" s="390" t="str">
        <f t="array" ref="DE56">IFERROR(IF(AND(INDEX($E$8:$CE$57, MATCH($C56, $C$8:$C$57, 0), (COLUMNS($DC56:DE56)-1)*5 + 1) = INDEX($E$5:$CE$5, 1, (COLUMNS($DC56:DE56)-1)*5 + 1), INDEX($E$8:$CE$57, MATCH($C56, $C$8:$C$57, 0), (COLUMNS($DC56:DE56)-1)*5 + 4) = "F"), INDEX($CZ$8:$CZ$23, COLUMNS($DC56:DE56)), "0"), "")</f>
        <v>0</v>
      </c>
      <c r="DF56" s="390" t="str">
        <f t="array" ref="DF56">IFERROR(IF(AND(INDEX($E$8:$CE$57, MATCH($C56, $C$8:$C$57, 0), (COLUMNS($DC56:DF56)-1)*5 + 1) = INDEX($E$5:$CE$5, 1, (COLUMNS($DC56:DF56)-1)*5 + 1), INDEX($E$8:$CE$57, MATCH($C56, $C$8:$C$57, 0), (COLUMNS($DC56:DF56)-1)*5 + 4) = "F"), INDEX($CZ$8:$CZ$23, COLUMNS($DC56:DF56)), "0"), "")</f>
        <v>0</v>
      </c>
      <c r="DG56" s="390" t="str">
        <f t="array" ref="DG56">IFERROR(IF(AND(INDEX($E$8:$CE$57, MATCH($C56, $C$8:$C$57, 0), (COLUMNS($DC56:DG56)-1)*5 + 1) = INDEX($E$5:$CE$5, 1, (COLUMNS($DC56:DG56)-1)*5 + 1), INDEX($E$8:$CE$57, MATCH($C56, $C$8:$C$57, 0), (COLUMNS($DC56:DG56)-1)*5 + 4) = "F"), INDEX($CZ$8:$CZ$23, COLUMNS($DC56:DG56)), "0"), "")</f>
        <v>0</v>
      </c>
      <c r="DH56" s="390" t="str">
        <f t="array" ref="DH56">IFERROR(IF(AND(INDEX($E$8:$CE$57, MATCH($C56, $C$8:$C$57, 0), (COLUMNS($DC56:DH56)-1)*5 + 1) = INDEX($E$5:$CE$5, 1, (COLUMNS($DC56:DH56)-1)*5 + 1), INDEX($E$8:$CE$57, MATCH($C56, $C$8:$C$57, 0), (COLUMNS($DC56:DH56)-1)*5 + 4) = "F"), INDEX($CZ$8:$CZ$23, COLUMNS($DC56:DH56)), "0"), "")</f>
        <v>0</v>
      </c>
      <c r="DI56" s="390" t="str">
        <f t="array" ref="DI56">IFERROR(IF(AND(INDEX($E$8:$CE$57, MATCH($C56, $C$8:$C$57, 0), (COLUMNS($DC56:DI56)-1)*5 + 1) = INDEX($E$5:$CE$5, 1, (COLUMNS($DC56:DI56)-1)*5 + 1), INDEX($E$8:$CE$57, MATCH($C56, $C$8:$C$57, 0), (COLUMNS($DC56:DI56)-1)*5 + 4) = "F"), INDEX($CZ$8:$CZ$23, COLUMNS($DC56:DI56)), "0"), "")</f>
        <v>0</v>
      </c>
      <c r="DJ56" s="390" t="str">
        <f t="array" ref="DJ56">IFERROR(IF(AND(INDEX($E$8:$CE$57, MATCH($C56, $C$8:$C$57, 0), (COLUMNS($DC56:DJ56)-1)*5 + 1) = INDEX($E$5:$CE$5, 1, (COLUMNS($DC56:DJ56)-1)*5 + 1), INDEX($E$8:$CE$57, MATCH($C56, $C$8:$C$57, 0), (COLUMNS($DC56:DJ56)-1)*5 + 4) = "F"), INDEX($CZ$8:$CZ$23, COLUMNS($DC56:DJ56)), "0"), "")</f>
        <v>0</v>
      </c>
      <c r="DK56" s="390" t="str">
        <f t="array" ref="DK56">IFERROR(IF(AND(INDEX($E$8:$CE$57, MATCH($C56, $C$8:$C$57, 0), (COLUMNS($DC56:DK56)-1)*5 + 1) = INDEX($E$5:$CE$5, 1, (COLUMNS($DC56:DK56)-1)*5 + 1), INDEX($E$8:$CE$57, MATCH($C56, $C$8:$C$57, 0), (COLUMNS($DC56:DK56)-1)*5 + 4) = "F"), INDEX($CZ$8:$CZ$23, COLUMNS($DC56:DK56)), "0"), "")</f>
        <v>0</v>
      </c>
      <c r="DL56" s="390" t="str">
        <f t="array" ref="DL56">IFERROR(IF(AND(INDEX($E$8:$CE$57, MATCH($C56, $C$8:$C$57, 0), (COLUMNS($DC56:DL56)-1)*5 + 1) = INDEX($E$5:$CE$5, 1, (COLUMNS($DC56:DL56)-1)*5 + 1), INDEX($E$8:$CE$57, MATCH($C56, $C$8:$C$57, 0), (COLUMNS($DC56:DL56)-1)*5 + 4) = "F"), INDEX($CZ$8:$CZ$23, COLUMNS($DC56:DL56)), "0"), "")</f>
        <v>0</v>
      </c>
      <c r="DM56" s="390" t="str">
        <f t="array" ref="DM56">IFERROR(IF(AND(INDEX($E$8:$CE$57, MATCH($C56, $C$8:$C$57, 0), (COLUMNS($DC56:DM56)-1)*5 + 1) = INDEX($E$5:$CE$5, 1, (COLUMNS($DC56:DM56)-1)*5 + 1), INDEX($E$8:$CE$57, MATCH($C56, $C$8:$C$57, 0), (COLUMNS($DC56:DM56)-1)*5 + 4) = "F"), INDEX($CZ$8:$CZ$23, COLUMNS($DC56:DM56)), "0"), "")</f>
        <v>0</v>
      </c>
      <c r="DN56" s="390" t="str">
        <f t="array" ref="DN56">IFERROR(IF(AND(INDEX($E$8:$CE$57, MATCH($C56, $C$8:$C$57, 0), (COLUMNS($DC56:DN56)-1)*5 + 1) = INDEX($E$5:$CE$5, 1, (COLUMNS($DC56:DN56)-1)*5 + 1), INDEX($E$8:$CE$57, MATCH($C56, $C$8:$C$57, 0), (COLUMNS($DC56:DN56)-1)*5 + 4) = "F"), INDEX($CZ$8:$CZ$23, COLUMNS($DC56:DN56)), "0"), "")</f>
        <v>0</v>
      </c>
      <c r="DO56" s="390" t="str">
        <f t="array" ref="DO56">IFERROR(IF(AND(INDEX($E$8:$CE$57, MATCH($C56, $C$8:$C$57, 0), (COLUMNS($DC56:DO56)-1)*5 + 1) = INDEX($E$5:$CE$5, 1, (COLUMNS($DC56:DO56)-1)*5 + 1), INDEX($E$8:$CE$57, MATCH($C56, $C$8:$C$57, 0), (COLUMNS($DC56:DO56)-1)*5 + 4) = "F"), INDEX($CZ$8:$CZ$23, COLUMNS($DC56:DO56)), "0"), "")</f>
        <v>0</v>
      </c>
      <c r="DP56" s="390" t="str">
        <f t="array" ref="DP56">IFERROR(IF(AND(INDEX($E$8:$CE$57, MATCH($C56, $C$8:$C$57, 0), (COLUMNS($DC56:DP56)-1)*5 + 1) = INDEX($E$5:$CE$5, 1, (COLUMNS($DC56:DP56)-1)*5 + 1), INDEX($E$8:$CE$57, MATCH($C56, $C$8:$C$57, 0), (COLUMNS($DC56:DP56)-1)*5 + 4) = "F"), INDEX($CZ$8:$CZ$23, COLUMNS($DC56:DP56)), "0"), "")</f>
        <v>0</v>
      </c>
      <c r="DQ56" s="390" t="str">
        <f t="array" ref="DQ56">IFERROR(IF(AND(INDEX($E$8:$CE$57, MATCH($C56, $C$8:$C$57, 0), (COLUMNS($DC56:DQ56)-1)*5 + 1) = INDEX($E$5:$CE$5, 1, (COLUMNS($DC56:DQ56)-1)*5 + 1), INDEX($E$8:$CE$57, MATCH($C56, $C$8:$C$57, 0), (COLUMNS($DC56:DQ56)-1)*5 + 4) = "F"), INDEX($CZ$8:$CZ$23, COLUMNS($DC56:DQ56)), "0"), "")</f>
        <v>0</v>
      </c>
      <c r="DR56" s="390" t="str">
        <f t="array" ref="DR56">IFERROR(IF(AND(INDEX($E$8:$CE$57, MATCH($C56, $C$8:$C$57, 0), (COLUMNS($DC56:DR56)-1)*5 + 1) = INDEX($E$5:$CE$5, 1, (COLUMNS($DC56:DR56)-1)*5 + 1), INDEX($E$8:$CE$57, MATCH($C56, $C$8:$C$57, 0), (COLUMNS($DC56:DR56)-1)*5 + 4) = "F"), INDEX($CZ$8:$CZ$23, COLUMNS($DC56:DR56)), "0"), "")</f>
        <v>0</v>
      </c>
      <c r="DT56" s="537" t="str">
        <f>BASE01[[#This Row],[COD]]</f>
        <v>COD 49</v>
      </c>
      <c r="DU56" s="390" t="str">
        <f t="array" ref="DU56">IFERROR(IF(AND(INDEX($E$8:$CE$57, MATCH($C56, $C$8:$C$57, 0), (COLUMNS($DU56:DU56)-1)*5 + 1) = INDEX($E$5:$CE$5, 1, (COLUMNS($DU56:DU56)-1)*5 + 1), INDEX($E$8:$CE$57, MATCH($C56, $C$8:$C$57, 0), (COLUMNS($DU56:DU56)-1)*5 + 4) = "SF"), INDEX($CZ$8:$CZ$23, COLUMNS($DU56:DU56)), "0"), "")</f>
        <v>0</v>
      </c>
      <c r="DV56" s="390" t="str">
        <f t="array" ref="DV56">IFERROR(IF(AND(INDEX($E$8:$CE$57, MATCH($C56, $C$8:$C$57, 0), (COLUMNS($DU56:DV56)-1)*5 + 1) = INDEX($E$5:$CE$5, 1, (COLUMNS($DU56:DV56)-1)*5 + 1), INDEX($E$8:$CE$57, MATCH($C56, $C$8:$C$57, 0), (COLUMNS($DU56:DV56)-1)*5 + 4) = "SF"), INDEX($CZ$8:$CZ$23, COLUMNS($DU56:DV56)), "0"), "")</f>
        <v>0</v>
      </c>
      <c r="DW56" s="390" t="str">
        <f t="array" ref="DW56">IFERROR(IF(AND(INDEX($E$8:$CE$57, MATCH($C56, $C$8:$C$57, 0), (COLUMNS($DU56:DW56)-1)*5 + 1) = INDEX($E$5:$CE$5, 1, (COLUMNS($DU56:DW56)-1)*5 + 1), INDEX($E$8:$CE$57, MATCH($C56, $C$8:$C$57, 0), (COLUMNS($DU56:DW56)-1)*5 + 4) = "SF"), INDEX($CZ$8:$CZ$23, COLUMNS($DU56:DW56)), "0"), "")</f>
        <v>0</v>
      </c>
      <c r="DX56" s="390" t="str">
        <f t="array" ref="DX56">IFERROR(IF(AND(INDEX($E$8:$CE$57, MATCH($C56, $C$8:$C$57, 0), (COLUMNS($DU56:DX56)-1)*5 + 1) = INDEX($E$5:$CE$5, 1, (COLUMNS($DU56:DX56)-1)*5 + 1), INDEX($E$8:$CE$57, MATCH($C56, $C$8:$C$57, 0), (COLUMNS($DU56:DX56)-1)*5 + 4) = "SF"), INDEX($CZ$8:$CZ$23, COLUMNS($DU56:DX56)), "0"), "")</f>
        <v>0</v>
      </c>
      <c r="DY56" s="390" t="str">
        <f t="array" ref="DY56">IFERROR(IF(AND(INDEX($E$8:$CE$57, MATCH($C56, $C$8:$C$57, 0), (COLUMNS($DU56:DY56)-1)*5 + 1) = INDEX($E$5:$CE$5, 1, (COLUMNS($DU56:DY56)-1)*5 + 1), INDEX($E$8:$CE$57, MATCH($C56, $C$8:$C$57, 0), (COLUMNS($DU56:DY56)-1)*5 + 4) = "SF"), INDEX($CZ$8:$CZ$23, COLUMNS($DU56:DY56)), "0"), "")</f>
        <v>0</v>
      </c>
      <c r="DZ56" s="390" t="str">
        <f t="array" ref="DZ56">IFERROR(IF(AND(INDEX($E$8:$CE$57, MATCH($C56, $C$8:$C$57, 0), (COLUMNS($DU56:DZ56)-1)*5 + 1) = INDEX($E$5:$CE$5, 1, (COLUMNS($DU56:DZ56)-1)*5 + 1), INDEX($E$8:$CE$57, MATCH($C56, $C$8:$C$57, 0), (COLUMNS($DU56:DZ56)-1)*5 + 4) = "SF"), INDEX($CZ$8:$CZ$23, COLUMNS($DU56:DZ56)), "0"), "")</f>
        <v>0</v>
      </c>
      <c r="EA56" s="390" t="str">
        <f t="array" ref="EA56">IFERROR(IF(AND(INDEX($E$8:$CE$57, MATCH($C56, $C$8:$C$57, 0), (COLUMNS($DU56:EA56)-1)*5 + 1) = INDEX($E$5:$CE$5, 1, (COLUMNS($DU56:EA56)-1)*5 + 1), INDEX($E$8:$CE$57, MATCH($C56, $C$8:$C$57, 0), (COLUMNS($DU56:EA56)-1)*5 + 4) = "SF"), INDEX($CZ$8:$CZ$23, COLUMNS($DU56:EA56)), "0"), "")</f>
        <v>0</v>
      </c>
      <c r="EB56" s="390" t="str">
        <f t="array" ref="EB56">IFERROR(IF(AND(INDEX($E$8:$CE$57, MATCH($C56, $C$8:$C$57, 0), (COLUMNS($DU56:EB56)-1)*5 + 1) = INDEX($E$5:$CE$5, 1, (COLUMNS($DU56:EB56)-1)*5 + 1), INDEX($E$8:$CE$57, MATCH($C56, $C$8:$C$57, 0), (COLUMNS($DU56:EB56)-1)*5 + 4) = "SF"), INDEX($CZ$8:$CZ$23, COLUMNS($DU56:EB56)), "0"), "")</f>
        <v>0</v>
      </c>
      <c r="EC56" s="390" t="str">
        <f t="array" ref="EC56">IFERROR(IF(AND(INDEX($E$8:$CE$57, MATCH($C56, $C$8:$C$57, 0), (COLUMNS($DU56:EC56)-1)*5 + 1) = INDEX($E$5:$CE$5, 1, (COLUMNS($DU56:EC56)-1)*5 + 1), INDEX($E$8:$CE$57, MATCH($C56, $C$8:$C$57, 0), (COLUMNS($DU56:EC56)-1)*5 + 4) = "SF"), INDEX($CZ$8:$CZ$23, COLUMNS($DU56:EC56)), "0"), "")</f>
        <v>0</v>
      </c>
      <c r="ED56" s="390" t="str">
        <f t="array" ref="ED56">IFERROR(IF(AND(INDEX($E$8:$CE$57, MATCH($C56, $C$8:$C$57, 0), (COLUMNS($DU56:ED56)-1)*5 + 1) = INDEX($E$5:$CE$5, 1, (COLUMNS($DU56:ED56)-1)*5 + 1), INDEX($E$8:$CE$57, MATCH($C56, $C$8:$C$57, 0), (COLUMNS($DU56:ED56)-1)*5 + 4) = "SF"), INDEX($CZ$8:$CZ$23, COLUMNS($DU56:ED56)), "0"), "")</f>
        <v>0</v>
      </c>
      <c r="EE56" s="390" t="str">
        <f t="array" ref="EE56">IFERROR(IF(AND(INDEX($E$8:$CE$57, MATCH($C56, $C$8:$C$57, 0), (COLUMNS($DU56:EE56)-1)*5 + 1) = INDEX($E$5:$CE$5, 1, (COLUMNS($DU56:EE56)-1)*5 + 1), INDEX($E$8:$CE$57, MATCH($C56, $C$8:$C$57, 0), (COLUMNS($DU56:EE56)-1)*5 + 4) = "SF"), INDEX($CZ$8:$CZ$23, COLUMNS($DU56:EE56)), "0"), "")</f>
        <v>0</v>
      </c>
      <c r="EF56" s="390" t="str">
        <f t="array" ref="EF56">IFERROR(IF(AND(INDEX($E$8:$CE$57, MATCH($C56, $C$8:$C$57, 0), (COLUMNS($DU56:EF56)-1)*5 + 1) = INDEX($E$5:$CE$5, 1, (COLUMNS($DU56:EF56)-1)*5 + 1), INDEX($E$8:$CE$57, MATCH($C56, $C$8:$C$57, 0), (COLUMNS($DU56:EF56)-1)*5 + 4) = "SF"), INDEX($CZ$8:$CZ$23, COLUMNS($DU56:EF56)), "0"), "")</f>
        <v>0</v>
      </c>
      <c r="EG56" s="390" t="str">
        <f t="array" ref="EG56">IFERROR(IF(AND(INDEX($E$8:$CE$57, MATCH($C56, $C$8:$C$57, 0), (COLUMNS($DU56:EG56)-1)*5 + 1) = INDEX($E$5:$CE$5, 1, (COLUMNS($DU56:EG56)-1)*5 + 1), INDEX($E$8:$CE$57, MATCH($C56, $C$8:$C$57, 0), (COLUMNS($DU56:EG56)-1)*5 + 4) = "SF"), INDEX($CZ$8:$CZ$23, COLUMNS($DU56:EG56)), "0"), "")</f>
        <v>0</v>
      </c>
      <c r="EH56" s="390" t="str">
        <f t="array" ref="EH56">IFERROR(IF(AND(INDEX($E$8:$CE$57, MATCH($C56, $C$8:$C$57, 0), (COLUMNS($DU56:EH56)-1)*5 + 1) = INDEX($E$5:$CE$5, 1, (COLUMNS($DU56:EH56)-1)*5 + 1), INDEX($E$8:$CE$57, MATCH($C56, $C$8:$C$57, 0), (COLUMNS($DU56:EH56)-1)*5 + 4) = "SF"), INDEX($CZ$8:$CZ$23, COLUMNS($DU56:EH56)), "0"), "")</f>
        <v>0</v>
      </c>
      <c r="EI56" s="390" t="str">
        <f t="array" ref="EI56">IFERROR(IF(AND(INDEX($E$8:$CE$57, MATCH($C56, $C$8:$C$57, 0), (COLUMNS($DU56:EI56)-1)*5 + 1) = INDEX($E$5:$CE$5, 1, (COLUMNS($DU56:EI56)-1)*5 + 1), INDEX($E$8:$CE$57, MATCH($C56, $C$8:$C$57, 0), (COLUMNS($DU56:EI56)-1)*5 + 4) = "SF"), INDEX($CZ$8:$CZ$23, COLUMNS($DU56:EI56)), "0"), "")</f>
        <v>0</v>
      </c>
      <c r="EJ56" s="390" t="str">
        <f t="array" ref="EJ56">IFERROR(IF(AND(INDEX($E$8:$CE$57, MATCH($C56, $C$8:$C$57, 0), (COLUMNS($DU56:EJ56)-1)*5 + 1) = INDEX($E$5:$CE$5, 1, (COLUMNS($DU56:EJ56)-1)*5 + 1), INDEX($E$8:$CE$57, MATCH($C56, $C$8:$C$57, 0), (COLUMNS($DU56:EJ56)-1)*5 + 4) = "SF"), INDEX($CZ$8:$CZ$23, COLUMNS($DU56:EJ56)), "0"), "")</f>
        <v>0</v>
      </c>
    </row>
    <row r="57" spans="1:140" ht="20.100000000000001" customHeight="1" outlineLevel="1" x14ac:dyDescent="0.35">
      <c r="A57" s="515"/>
      <c r="B57" s="91">
        <f>IF(BASE01[[#This Row],[COD]]&lt;&gt;"",B56+1,"")</f>
        <v>50</v>
      </c>
      <c r="C57" s="533" t="s">
        <v>122</v>
      </c>
      <c r="D57" s="92" t="str">
        <f t="array" ref="D57">IF(BASE01[[#This Row],[COD]]="","",_xlfn.IFS(_xlfn.XLOOKUP(BASE01[[#This Row],[COD]],CODIGOS_Y_PAGOS[CODIGO],CODIGOS_Y_PAGOS[06/09/2026],"")="X","PREMIO",_xlfn.XLOOKUP(BASE01[[#This Row],[COD]],CODIGOS_Y_PAGOS[CODIGO],CODIGOS_Y_PAGOS[06/09/2026],"")="","NO ENVIÓ",_xlfn.XLOOKUP(BASE01[[#This Row],[COD]],CODIGOS_Y_PAGOS[CODIGO],CODIGOS_Y_PAGOS[06/09/2026],"")=0,"MEETING",_xlfn.XLOOKUP(BASE01[[#This Row],[COD]],CODIGOS_Y_PAGOS[CODIGO],CODIGOS_Y_PAGOS[06/09/2026],"")="O","PREMIO",_xlfn.XLOOKUP(BASE01[[#This Row],[COD]],CODIGOS_Y_PAGOS[CODIGO],CODIGOS_Y_PAGOS[06/09/2026],"")="-","PAGO PENDIENTE"))</f>
        <v>NO ENVIÓ</v>
      </c>
      <c r="E57" s="143"/>
      <c r="F57" s="144"/>
      <c r="G57" s="144"/>
      <c r="H57" s="144"/>
      <c r="I57" s="534">
        <f t="shared" si="18"/>
        <v>0</v>
      </c>
      <c r="J57" s="143"/>
      <c r="K57" s="144"/>
      <c r="L57" s="144"/>
      <c r="M57" s="144"/>
      <c r="N57" s="534">
        <f t="shared" si="19"/>
        <v>0</v>
      </c>
      <c r="O57" s="143"/>
      <c r="P57" s="144"/>
      <c r="Q57" s="144"/>
      <c r="R57" s="144"/>
      <c r="S57" s="534">
        <f t="shared" si="20"/>
        <v>0</v>
      </c>
      <c r="T57" s="143"/>
      <c r="U57" s="144"/>
      <c r="V57" s="144"/>
      <c r="W57" s="144"/>
      <c r="X57" s="534">
        <f t="shared" si="21"/>
        <v>0</v>
      </c>
      <c r="Y57" s="143"/>
      <c r="Z57" s="144"/>
      <c r="AA57" s="144"/>
      <c r="AB57" s="144"/>
      <c r="AC57" s="534">
        <f t="shared" si="22"/>
        <v>0</v>
      </c>
      <c r="AD57" s="143"/>
      <c r="AE57" s="144"/>
      <c r="AF57" s="144"/>
      <c r="AG57" s="144"/>
      <c r="AH57" s="534">
        <f t="shared" si="23"/>
        <v>0</v>
      </c>
      <c r="AI57" s="143"/>
      <c r="AJ57" s="144"/>
      <c r="AK57" s="144"/>
      <c r="AL57" s="144"/>
      <c r="AM57" s="534">
        <f t="shared" si="24"/>
        <v>0</v>
      </c>
      <c r="AN57" s="143"/>
      <c r="AO57" s="144"/>
      <c r="AP57" s="144"/>
      <c r="AQ57" s="144"/>
      <c r="AR57" s="534">
        <f t="shared" si="25"/>
        <v>0</v>
      </c>
      <c r="AS57" s="143"/>
      <c r="AT57" s="144"/>
      <c r="AU57" s="144"/>
      <c r="AV57" s="144"/>
      <c r="AW57" s="534">
        <f t="shared" si="26"/>
        <v>0</v>
      </c>
      <c r="AX57" s="143"/>
      <c r="AY57" s="144"/>
      <c r="AZ57" s="144"/>
      <c r="BA57" s="144"/>
      <c r="BB57" s="534">
        <f t="shared" si="27"/>
        <v>0</v>
      </c>
      <c r="BC57" s="143"/>
      <c r="BD57" s="144"/>
      <c r="BE57" s="144"/>
      <c r="BF57" s="144"/>
      <c r="BG57" s="534">
        <f t="shared" si="28"/>
        <v>0</v>
      </c>
      <c r="BH57" s="143"/>
      <c r="BI57" s="144"/>
      <c r="BJ57" s="144"/>
      <c r="BK57" s="144"/>
      <c r="BL57" s="534">
        <f t="shared" si="29"/>
        <v>0</v>
      </c>
      <c r="BM57" s="143"/>
      <c r="BN57" s="144"/>
      <c r="BO57" s="144"/>
      <c r="BP57" s="144"/>
      <c r="BQ57" s="534">
        <f t="shared" si="30"/>
        <v>0</v>
      </c>
      <c r="BR57" s="143"/>
      <c r="BS57" s="144"/>
      <c r="BT57" s="144"/>
      <c r="BU57" s="144"/>
      <c r="BV57" s="534">
        <f t="shared" si="31"/>
        <v>0</v>
      </c>
      <c r="BW57" s="143"/>
      <c r="BX57" s="144"/>
      <c r="BY57" s="144"/>
      <c r="BZ57" s="144"/>
      <c r="CA57" s="534">
        <f t="shared" si="32"/>
        <v>0</v>
      </c>
      <c r="CB57" s="143"/>
      <c r="CC57" s="144"/>
      <c r="CD57" s="144"/>
      <c r="CE57" s="144"/>
      <c r="CF57" s="534">
        <f t="shared" si="33"/>
        <v>0</v>
      </c>
      <c r="CG57" s="162">
        <f>IF(BASE01[[#This Row],[1]]="",0,$B$4)</f>
        <v>0</v>
      </c>
      <c r="CH57" s="163">
        <f>COUNTIF(BASE01[[#This Row],[1]],$E$5)+COUNTIF(BASE01[[#This Row],[12]],$J$5)+COUNTIF(BASE01[[#This Row],[Columna4]],$O$5)+COUNTIF(BASE01[[#This Row],[Columna7]],$T$5)+COUNTIF(BASE01[[#This Row],[Columna10]],$Y$5)+COUNTIF(BASE01[[#This Row],[1RA]],$AD$5)+COUNTIF(BASE01[[#This Row],[Columna16]],$AI$5)+COUNTIF(BASE01[[#This Row],[123]],$AN$5)+COUNTIF(BASE01[[#This Row],[AAAA]],$AS$5)+COUNTIF(BASE01[[#This Row],[Columna25]],$AX$5)+COUNTIF(BASE01[[#This Row],[Columna272]],$BC$5)+COUNTIF(BASE01[[#This Row],[Columna276]],$BH$5)+COUNTIF(BASE01[[#This Row],[Columna280]],$BM$5)+COUNTIF(BASE01[[#This Row],[Columna2802]],$BR$5)+COUNTIF(BASE01[[#This Row],[Columna2803]],$BW$5)+COUNTIF(BASE01[[#This Row],[Columna2804]],$CB$5)</f>
        <v>0</v>
      </c>
      <c r="CI57" s="185">
        <f>IF(BASE01[[#This Row],[Columna14]]=0,0,(CH57/CG57))</f>
        <v>0</v>
      </c>
      <c r="CJ57" s="163">
        <f>IF(BASE01[[#This Row],[1]]="",0,$B$4)</f>
        <v>0</v>
      </c>
      <c r="CK57" s="186">
        <f>COUNTIF(BASE01[[#This Row],[1]]:BASE01[[#This Row],[2]],$E$5)+COUNTIF(BASE01[[#This Row],[12]]:BASE01[[#This Row],[Columna2]],$J$5)+COUNTIF(BASE01[[#This Row],[Columna4]]:BASE01[[#This Row],[Columna5]],$O$5)+COUNTIF(BASE01[[#This Row],[Columna7]]:BASE01[[#This Row],[Columna8]],$T$5)+COUNTIF(BASE01[[#This Row],[Columna10]]:BASE01[[#This Row],[Columna11]],$Y$5)+COUNTIF(BASE01[[#This Row],[1RA]]:BASE01[[#This Row],[2DA]],$AD$5)+COUNTIF(BASE01[[#This Row],[Columna16]:[Columna17]],$AI$5)+COUNTIF(BASE01[[#This Row],[123]:[555]],$AN$5)+COUNTIF(BASE01[[#This Row],[AAAA]]:BASE01[[#This Row],[BBBB]],$AS$5)+COUNTIF(BASE01[[#This Row],[Columna25]]:BASE01[[#This Row],[Columna26]],$AX$5)+COUNTIF(BASE01[[#This Row],[Columna272]]:BASE01[[#This Row],[Columna273]],$BC$5)+COUNTIF(BASE01[[#This Row],[Columna276]]:BASE01[[#This Row],[Columna277]],$BH$5)+COUNTIF(BASE01[[#This Row],[Columna280]]:BASE01[[#This Row],[Columna281]],$BM$5)+COUNTIF(BASE01[[#This Row],[Columna2802]]:BASE01[[#This Row],[Columna2813]],$BR$5)+COUNTIF(BASE01[[#This Row],[Columna2803]:[Columna2814]],$BW$5)+COUNTIF(BASE01[[#This Row],[Columna2804]:[Columna2815]],$CB$5)</f>
        <v>0</v>
      </c>
      <c r="CL57" s="185">
        <f>IF(BASE01[[#This Row],[Columna14]]=0,0,(CK57/CJ57))</f>
        <v>0</v>
      </c>
      <c r="CM57" s="162">
        <f>IF(BASE01[[#This Row],[1]]="",0,$B$4)</f>
        <v>0</v>
      </c>
      <c r="CN57" s="186">
        <f>COUNTIF(BASE01[[#This Row],[1]:[22]],$E$5)+COUNTIF(BASE01[[#This Row],[12]:[Columna23]],$J$5)+COUNTIF(BASE01[[#This Row],[Columna4]:[Columna53]],$O$5)+COUNTIF(BASE01[[#This Row],[Columna7]:[Columna83]],$T$5)+COUNTIF(BASE01[[#This Row],[Columna10]:[Columna113]],$Y$5)+COUNTIF(BASE01[[#This Row],[1RA]:[2DA2]],$AD$5)+COUNTIF(BASE01[[#This Row],[Columna16]:[Columna173]],$AI$5)+COUNTIF(BASE01[[#This Row],[123]:[556]],$AN$5)+COUNTIF(BASE01[[#This Row],[AAAA]:[Columna13]],$AS$5)+COUNTIF(BASE01[[#This Row],[Columna25]:[Columna263]],$AX$5)+COUNTIF(BASE01[[#This Row],[Columna272]:[Columna2732]],$BC$5)+COUNTIF(BASE01[[#This Row],[Columna276]:[Columna2772]],$BH$5)+COUNTIF(BASE01[[#This Row],[Columna280]:[Columna2812]],$BM$5)+COUNTIF(BASE01[[#This Row],[Columna2802]:[Columna28124]],$BR$5)+COUNTIF(BASE01[[#This Row],[Columna2803]:[Columna28125]],$BW$5)+COUNTIF(BASE01[[#This Row],[Columna2804]:[Columna28126]],$CB$5)</f>
        <v>0</v>
      </c>
      <c r="CO57" s="185">
        <f>IF(BASE01[[#This Row],[Columna14]]=0,0,(CN57/CM57))</f>
        <v>0</v>
      </c>
      <c r="CP57" s="163">
        <f>SUM(
  (AND(OR(BASE01[[#This Row],[3]]="F", BASE01[[#This Row],[3]]="SF"), F$6&lt;&gt;"")),
  (AND(OR(BASE01[[#This Row],[Columna28]]="F", BASE01[[#This Row],[Columna28]]="SF"), K$6&lt;&gt;"")),
  (AND(OR(BASE01[[#This Row],[Columna52]]="F", BASE01[[#This Row],[Columna52]]="SF"), P$6&lt;&gt;"")),
  (AND(OR(BASE01[[#This Row],[Columna82]]="F", BASE01[[#This Row],[Columna82]]="SF"), U$6&lt;&gt;"")),
  (AND(OR(BASE01[[#This Row],[Columna112]]="F", BASE01[[#This Row],[Columna112]]="SF"), Z$6&lt;&gt;"")),
  (AND(OR(BASE01[[#This Row],[3RA]]="F", BASE01[[#This Row],[3RA]]="SF"), AE$6&lt;&gt;"")),
  (AND(OR(BASE01[[#This Row],[Columna172]]="F",BASE01[[#This Row],[Columna172]]="SF"), AJ$6&lt;&gt;"")),
  (AND(OR(BASE01[[#This Row],[111]]="F", BASE01[[#This Row],[111]]="SF"), AO$6&lt;&gt;"")),
  (AND(OR(BASE01[[#This Row],[CCCC]]="F", BASE01[[#This Row],[CCCC]]="SF"), AT$6&lt;&gt;"")),
  (AND(OR(BASE01[[#This Row],[Columna262]]="F",BASE01[[#This Row],[Columna262]]="SF"), AY$6&lt;&gt;"")),
  (AND(OR(BASE01[[#This Row],[Columna274]]="F", BASE01[[#This Row],[Columna274]]="SF"), BD$6&lt;&gt;"")), (AND(OR(BASE01[[#This Row],[Columna278]]="F", BASE01[[#This Row],[Columna278]]="SF"), BI$6&lt;&gt;"")),
  (AND(OR(BASE01[[#This Row],[Columna282]]="F", BASE01[[#This Row],[Columna282]]="SF"), BN$6&lt;&gt;"")),
  (AND(OR(BASE01[[#This Row],[Columna2825]]="F", BASE01[[#This Row],[Columna2825]]="SF"), BS$6&lt;&gt;"")),
  (AND(OR(BASE01[[#This Row],[Columna2826]]="F", BASE01[[#This Row],[Columna2826]]="SF"), BX$6&lt;&gt;"")),
  (AND(OR(BASE01[[#This Row],[Columna2827]]="F", BASE01[[#This Row],[Columna2827]]="SF"), CC$6&lt;&gt;""))
)</f>
        <v>0</v>
      </c>
      <c r="CQ57" s="186">
        <f>COUNTIFS(BASE01[[#This Row],[1]],$E$5,BASE01[[#This Row],[3]],"F")+COUNTIFS(BASE01[[#This Row],[12]],$J$5,BASE01[[#This Row],[Columna28]],"F")+COUNTIFS(BASE01[[#This Row],[Columna4]],$O$5,BASE01[[#This Row],[Columna52]],"F")+COUNTIFS(BASE01[[#This Row],[Columna7]],$T$5,BASE01[[#This Row],[Columna82]],"F")+COUNTIFS(BASE01[[#This Row],[Columna10]],$Y$5,BASE01[[#This Row],[Columna112]],"F")+COUNTIFS(BASE01[[#This Row],[1RA]],$AD$5,BASE01[[#This Row],[3RA]],"F")+COUNTIFS(BASE01[[#This Row],[Columna16]],$AI$5,BASE01[[#This Row],[Columna172]],"F")+COUNTIFS(BASE01[[#This Row],[123]],$AN$5,BASE01[[#This Row],[111]],"F")+COUNTIFS(BASE01[[#This Row],[AAAA]],$AS$5,BASE01[[#This Row],[CCCC]],"F")+COUNTIFS(BASE01[[#This Row],[Columna25]],$AX$5,BASE01[[#This Row],[Columna262]],"F")+COUNTIFS(BASE01[[#This Row],[Columna272]],$BC$5,BASE01[[#This Row],[Columna274]],"F")+COUNTIFS(BASE01[[#This Row],[Columna276]],$BH$5,BASE01[[#This Row],[Columna278]],"F")+COUNTIFS(BASE01[[#This Row],[Columna280]],$BM$5,BASE01[[#This Row],[Columna282]],"F")+COUNTIFS(BASE01[[#This Row],[1]],$E$5,BASE01[[#This Row],[3]],"SF")+COUNTIFS(BASE01[[#This Row],[12]],$J$5,BASE01[[#This Row],[Columna28]],"SF")+COUNTIFS(BASE01[[#This Row],[Columna4]],$O$5,BASE01[[#This Row],[Columna52]],"SF")+COUNTIFS(BASE01[[#This Row],[Columna7]],$T$5,BASE01[[#This Row],[Columna82]],"SF")+COUNTIFS(BASE01[[#This Row],[Columna10]],$Y$5,BASE01[[#This Row],[Columna112]],"SF")+COUNTIFS(BASE01[[#This Row],[1RA]],$AD$5,BASE01[[#This Row],[3RA]],"SF")+COUNTIFS(BASE01[[#This Row],[Columna16]],$AI$5,BASE01[[#This Row],[Columna172]],"SF")+COUNTIFS(BASE01[[#This Row],[123]],$AN$5,BASE01[[#This Row],[111]],"SF")+COUNTIFS(BASE01[[#This Row],[AAAA]],$AS$5,BASE01[[#This Row],[CCCC]],"SF")+COUNTIFS(BASE01[[#This Row],[Columna25]],$AX$5,BA57,"SF")+COUNTIFS(BASE01[[#This Row],[Columna272]],$BC$5,BASE01[[#This Row],[Columna274]],"SF")+COUNTIFS(BASE01[[#This Row],[Columna276]],$BH$5,BASE01[[#This Row],[Columna278]],"SF")+COUNTIFS(BASE01[[#This Row],[Columna280]],$BM$5,BASE01[[#This Row],[Columna282]],"SF")</f>
        <v>0</v>
      </c>
      <c r="CR57" s="185">
        <f>IF(BASE01[[#This Row],[Columna14]]=0,0,(CQ57/CP57))</f>
        <v>0</v>
      </c>
      <c r="CS57" s="539">
        <f>SUM(BASE01[[#This Row],[PTS]],BASE01[[#This Row],[Columna3]],BASE01[[#This Row],[Columna6]],BASE01[[#This Row],[Columna9]],BASE01[[#This Row],[Columna12]],BASE01[[#This Row],[Columna15]],BASE01[[#This Row],[Columna18]],BASE01[[#This Row],[Columna21]],BASE01[[#This Row],[Columna24]],BASE01[[#This Row],[Columna27]],BASE01[[#This Row],[Columna275]],BASE01[[#This Row],[Columna279]],BASE01[[#This Row],[Columna283]],BASE01[[#This Row],[Columna28310]],BASE01[[#This Row],[Columna2837]],BASE01[[#This Row],[Columna2838]])</f>
        <v>0</v>
      </c>
      <c r="CT57" s="93"/>
      <c r="CU57" s="536">
        <f t="shared" si="34"/>
        <v>0</v>
      </c>
      <c r="CV57" s="94" t="str">
        <f>IF(BASE01[[#This Row],[TIPO]]="PREMIO",$O$3,"0,00")</f>
        <v>0,00</v>
      </c>
      <c r="CW57" s="515"/>
      <c r="CY57" s="538" t="str">
        <f t="shared" si="17"/>
        <v/>
      </c>
      <c r="CZ57" s="387"/>
      <c r="DA57" s="387" t="str">
        <f t="array" ref="DA57">IF(CZ57="", "", IF((INDEX(E$8:CE$57, MATCH(CZ57, C$8:C$57, 0), ($CZ$25-1)*5 + 1) &amp; "") = (INDEX(E$5:CE$5, 1, ($CZ$25-1)*5 + 1) &amp; ""), 1, IF((INDEX(E$8:CE$57, MATCH(CZ57, C$8:C$57, 0), ($CZ$25-1)*5 + 2) &amp; "") = (INDEX(E$5:CE$5, 1, ($CZ$25-1)*5 + 1) &amp; ""), 2, IF((INDEX(E$8:CE$57, MATCH(CZ57, C$8:C$57, 0), ($CZ$25-1)*5 + 3) &amp; "") = (INDEX(E$5:CE$5, 1, ($CZ$25-1)*5 + 1) &amp; ""), 3, ""))))</f>
        <v/>
      </c>
      <c r="DB57" s="537" t="str">
        <f>BASE01[[#This Row],[COD]]</f>
        <v>COD 50</v>
      </c>
      <c r="DC57" s="390" t="str">
        <f t="array" ref="DC57">IFERROR(IF(AND(INDEX($E$8:$CE$57, MATCH($C57, $C$8:$C$57, 0), (COLUMNS($DC57:DC57)-1)*5 + 1) = INDEX($E$5:$CE$5, 1, (COLUMNS($DC57:DC57)-1)*5 + 1), INDEX($E$8:$CE$57, MATCH($C57, $C$8:$C$57, 0), (COLUMNS($DC57:DC57)-1)*5 + 4) = "F"), INDEX($CZ$8:$CZ$23, COLUMNS($DC57:DC57)), "0"), "")</f>
        <v>0</v>
      </c>
      <c r="DD57" s="390" t="str">
        <f t="array" ref="DD57">IFERROR(IF(AND(INDEX($E$8:$CE$57, MATCH($C57, $C$8:$C$57, 0), (COLUMNS($DC57:DD57)-1)*5 + 1) = INDEX($E$5:$CE$5, 1, (COLUMNS($DC57:DD57)-1)*5 + 1), INDEX($E$8:$CE$57, MATCH($C57, $C$8:$C$57, 0), (COLUMNS($DC57:DD57)-1)*5 + 4) = "F"), INDEX($CZ$8:$CZ$23, COLUMNS($DC57:DD57)), "0"), "")</f>
        <v>0</v>
      </c>
      <c r="DE57" s="390" t="str">
        <f t="array" ref="DE57">IFERROR(IF(AND(INDEX($E$8:$CE$57, MATCH($C57, $C$8:$C$57, 0), (COLUMNS($DC57:DE57)-1)*5 + 1) = INDEX($E$5:$CE$5, 1, (COLUMNS($DC57:DE57)-1)*5 + 1), INDEX($E$8:$CE$57, MATCH($C57, $C$8:$C$57, 0), (COLUMNS($DC57:DE57)-1)*5 + 4) = "F"), INDEX($CZ$8:$CZ$23, COLUMNS($DC57:DE57)), "0"), "")</f>
        <v>0</v>
      </c>
      <c r="DF57" s="390" t="str">
        <f t="array" ref="DF57">IFERROR(IF(AND(INDEX($E$8:$CE$57, MATCH($C57, $C$8:$C$57, 0), (COLUMNS($DC57:DF57)-1)*5 + 1) = INDEX($E$5:$CE$5, 1, (COLUMNS($DC57:DF57)-1)*5 + 1), INDEX($E$8:$CE$57, MATCH($C57, $C$8:$C$57, 0), (COLUMNS($DC57:DF57)-1)*5 + 4) = "F"), INDEX($CZ$8:$CZ$23, COLUMNS($DC57:DF57)), "0"), "")</f>
        <v>0</v>
      </c>
      <c r="DG57" s="390" t="str">
        <f t="array" ref="DG57">IFERROR(IF(AND(INDEX($E$8:$CE$57, MATCH($C57, $C$8:$C$57, 0), (COLUMNS($DC57:DG57)-1)*5 + 1) = INDEX($E$5:$CE$5, 1, (COLUMNS($DC57:DG57)-1)*5 + 1), INDEX($E$8:$CE$57, MATCH($C57, $C$8:$C$57, 0), (COLUMNS($DC57:DG57)-1)*5 + 4) = "F"), INDEX($CZ$8:$CZ$23, COLUMNS($DC57:DG57)), "0"), "")</f>
        <v>0</v>
      </c>
      <c r="DH57" s="390" t="str">
        <f t="array" ref="DH57">IFERROR(IF(AND(INDEX($E$8:$CE$57, MATCH($C57, $C$8:$C$57, 0), (COLUMNS($DC57:DH57)-1)*5 + 1) = INDEX($E$5:$CE$5, 1, (COLUMNS($DC57:DH57)-1)*5 + 1), INDEX($E$8:$CE$57, MATCH($C57, $C$8:$C$57, 0), (COLUMNS($DC57:DH57)-1)*5 + 4) = "F"), INDEX($CZ$8:$CZ$23, COLUMNS($DC57:DH57)), "0"), "")</f>
        <v>0</v>
      </c>
      <c r="DI57" s="390" t="str">
        <f t="array" ref="DI57">IFERROR(IF(AND(INDEX($E$8:$CE$57, MATCH($C57, $C$8:$C$57, 0), (COLUMNS($DC57:DI57)-1)*5 + 1) = INDEX($E$5:$CE$5, 1, (COLUMNS($DC57:DI57)-1)*5 + 1), INDEX($E$8:$CE$57, MATCH($C57, $C$8:$C$57, 0), (COLUMNS($DC57:DI57)-1)*5 + 4) = "F"), INDEX($CZ$8:$CZ$23, COLUMNS($DC57:DI57)), "0"), "")</f>
        <v>0</v>
      </c>
      <c r="DJ57" s="390" t="str">
        <f t="array" ref="DJ57">IFERROR(IF(AND(INDEX($E$8:$CE$57, MATCH($C57, $C$8:$C$57, 0), (COLUMNS($DC57:DJ57)-1)*5 + 1) = INDEX($E$5:$CE$5, 1, (COLUMNS($DC57:DJ57)-1)*5 + 1), INDEX($E$8:$CE$57, MATCH($C57, $C$8:$C$57, 0), (COLUMNS($DC57:DJ57)-1)*5 + 4) = "F"), INDEX($CZ$8:$CZ$23, COLUMNS($DC57:DJ57)), "0"), "")</f>
        <v>0</v>
      </c>
      <c r="DK57" s="390" t="str">
        <f t="array" ref="DK57">IFERROR(IF(AND(INDEX($E$8:$CE$57, MATCH($C57, $C$8:$C$57, 0), (COLUMNS($DC57:DK57)-1)*5 + 1) = INDEX($E$5:$CE$5, 1, (COLUMNS($DC57:DK57)-1)*5 + 1), INDEX($E$8:$CE$57, MATCH($C57, $C$8:$C$57, 0), (COLUMNS($DC57:DK57)-1)*5 + 4) = "F"), INDEX($CZ$8:$CZ$23, COLUMNS($DC57:DK57)), "0"), "")</f>
        <v>0</v>
      </c>
      <c r="DL57" s="390" t="str">
        <f t="array" ref="DL57">IFERROR(IF(AND(INDEX($E$8:$CE$57, MATCH($C57, $C$8:$C$57, 0), (COLUMNS($DC57:DL57)-1)*5 + 1) = INDEX($E$5:$CE$5, 1, (COLUMNS($DC57:DL57)-1)*5 + 1), INDEX($E$8:$CE$57, MATCH($C57, $C$8:$C$57, 0), (COLUMNS($DC57:DL57)-1)*5 + 4) = "F"), INDEX($CZ$8:$CZ$23, COLUMNS($DC57:DL57)), "0"), "")</f>
        <v>0</v>
      </c>
      <c r="DM57" s="390" t="str">
        <f t="array" ref="DM57">IFERROR(IF(AND(INDEX($E$8:$CE$57, MATCH($C57, $C$8:$C$57, 0), (COLUMNS($DC57:DM57)-1)*5 + 1) = INDEX($E$5:$CE$5, 1, (COLUMNS($DC57:DM57)-1)*5 + 1), INDEX($E$8:$CE$57, MATCH($C57, $C$8:$C$57, 0), (COLUMNS($DC57:DM57)-1)*5 + 4) = "F"), INDEX($CZ$8:$CZ$23, COLUMNS($DC57:DM57)), "0"), "")</f>
        <v>0</v>
      </c>
      <c r="DN57" s="390" t="str">
        <f t="array" ref="DN57">IFERROR(IF(AND(INDEX($E$8:$CE$57, MATCH($C57, $C$8:$C$57, 0), (COLUMNS($DC57:DN57)-1)*5 + 1) = INDEX($E$5:$CE$5, 1, (COLUMNS($DC57:DN57)-1)*5 + 1), INDEX($E$8:$CE$57, MATCH($C57, $C$8:$C$57, 0), (COLUMNS($DC57:DN57)-1)*5 + 4) = "F"), INDEX($CZ$8:$CZ$23, COLUMNS($DC57:DN57)), "0"), "")</f>
        <v>0</v>
      </c>
      <c r="DO57" s="390" t="str">
        <f t="array" ref="DO57">IFERROR(IF(AND(INDEX($E$8:$CE$57, MATCH($C57, $C$8:$C$57, 0), (COLUMNS($DC57:DO57)-1)*5 + 1) = INDEX($E$5:$CE$5, 1, (COLUMNS($DC57:DO57)-1)*5 + 1), INDEX($E$8:$CE$57, MATCH($C57, $C$8:$C$57, 0), (COLUMNS($DC57:DO57)-1)*5 + 4) = "F"), INDEX($CZ$8:$CZ$23, COLUMNS($DC57:DO57)), "0"), "")</f>
        <v>0</v>
      </c>
      <c r="DP57" s="390" t="str">
        <f t="array" ref="DP57">IFERROR(IF(AND(INDEX($E$8:$CE$57, MATCH($C57, $C$8:$C$57, 0), (COLUMNS($DC57:DP57)-1)*5 + 1) = INDEX($E$5:$CE$5, 1, (COLUMNS($DC57:DP57)-1)*5 + 1), INDEX($E$8:$CE$57, MATCH($C57, $C$8:$C$57, 0), (COLUMNS($DC57:DP57)-1)*5 + 4) = "F"), INDEX($CZ$8:$CZ$23, COLUMNS($DC57:DP57)), "0"), "")</f>
        <v>0</v>
      </c>
      <c r="DQ57" s="390" t="str">
        <f t="array" ref="DQ57">IFERROR(IF(AND(INDEX($E$8:$CE$57, MATCH($C57, $C$8:$C$57, 0), (COLUMNS($DC57:DQ57)-1)*5 + 1) = INDEX($E$5:$CE$5, 1, (COLUMNS($DC57:DQ57)-1)*5 + 1), INDEX($E$8:$CE$57, MATCH($C57, $C$8:$C$57, 0), (COLUMNS($DC57:DQ57)-1)*5 + 4) = "F"), INDEX($CZ$8:$CZ$23, COLUMNS($DC57:DQ57)), "0"), "")</f>
        <v>0</v>
      </c>
      <c r="DR57" s="390" t="str">
        <f t="array" ref="DR57">IFERROR(IF(AND(INDEX($E$8:$CE$57, MATCH($C57, $C$8:$C$57, 0), (COLUMNS($DC57:DR57)-1)*5 + 1) = INDEX($E$5:$CE$5, 1, (COLUMNS($DC57:DR57)-1)*5 + 1), INDEX($E$8:$CE$57, MATCH($C57, $C$8:$C$57, 0), (COLUMNS($DC57:DR57)-1)*5 + 4) = "F"), INDEX($CZ$8:$CZ$23, COLUMNS($DC57:DR57)), "0"), "")</f>
        <v>0</v>
      </c>
      <c r="DT57" s="537" t="str">
        <f>BASE01[[#This Row],[COD]]</f>
        <v>COD 50</v>
      </c>
      <c r="DU57" s="390" t="str">
        <f t="array" ref="DU57">IFERROR(IF(AND(INDEX($E$8:$CE$57, MATCH($C57, $C$8:$C$57, 0), (COLUMNS($DU57:DU57)-1)*5 + 1) = INDEX($E$5:$CE$5, 1, (COLUMNS($DU57:DU57)-1)*5 + 1), INDEX($E$8:$CE$57, MATCH($C57, $C$8:$C$57, 0), (COLUMNS($DU57:DU57)-1)*5 + 4) = "SF"), INDEX($CZ$8:$CZ$23, COLUMNS($DU57:DU57)), "0"), "")</f>
        <v>0</v>
      </c>
      <c r="DV57" s="390" t="str">
        <f t="array" ref="DV57">IFERROR(IF(AND(INDEX($E$8:$CE$57, MATCH($C57, $C$8:$C$57, 0), (COLUMNS($DU57:DV57)-1)*5 + 1) = INDEX($E$5:$CE$5, 1, (COLUMNS($DU57:DV57)-1)*5 + 1), INDEX($E$8:$CE$57, MATCH($C57, $C$8:$C$57, 0), (COLUMNS($DU57:DV57)-1)*5 + 4) = "SF"), INDEX($CZ$8:$CZ$23, COLUMNS($DU57:DV57)), "0"), "")</f>
        <v>0</v>
      </c>
      <c r="DW57" s="390" t="str">
        <f t="array" ref="DW57">IFERROR(IF(AND(INDEX($E$8:$CE$57, MATCH($C57, $C$8:$C$57, 0), (COLUMNS($DU57:DW57)-1)*5 + 1) = INDEX($E$5:$CE$5, 1, (COLUMNS($DU57:DW57)-1)*5 + 1), INDEX($E$8:$CE$57, MATCH($C57, $C$8:$C$57, 0), (COLUMNS($DU57:DW57)-1)*5 + 4) = "SF"), INDEX($CZ$8:$CZ$23, COLUMNS($DU57:DW57)), "0"), "")</f>
        <v>0</v>
      </c>
      <c r="DX57" s="390" t="str">
        <f t="array" ref="DX57">IFERROR(IF(AND(INDEX($E$8:$CE$57, MATCH($C57, $C$8:$C$57, 0), (COLUMNS($DU57:DX57)-1)*5 + 1) = INDEX($E$5:$CE$5, 1, (COLUMNS($DU57:DX57)-1)*5 + 1), INDEX($E$8:$CE$57, MATCH($C57, $C$8:$C$57, 0), (COLUMNS($DU57:DX57)-1)*5 + 4) = "SF"), INDEX($CZ$8:$CZ$23, COLUMNS($DU57:DX57)), "0"), "")</f>
        <v>0</v>
      </c>
      <c r="DY57" s="390" t="str">
        <f t="array" ref="DY57">IFERROR(IF(AND(INDEX($E$8:$CE$57, MATCH($C57, $C$8:$C$57, 0), (COLUMNS($DU57:DY57)-1)*5 + 1) = INDEX($E$5:$CE$5, 1, (COLUMNS($DU57:DY57)-1)*5 + 1), INDEX($E$8:$CE$57, MATCH($C57, $C$8:$C$57, 0), (COLUMNS($DU57:DY57)-1)*5 + 4) = "SF"), INDEX($CZ$8:$CZ$23, COLUMNS($DU57:DY57)), "0"), "")</f>
        <v>0</v>
      </c>
      <c r="DZ57" s="390" t="str">
        <f t="array" ref="DZ57">IFERROR(IF(AND(INDEX($E$8:$CE$57, MATCH($C57, $C$8:$C$57, 0), (COLUMNS($DU57:DZ57)-1)*5 + 1) = INDEX($E$5:$CE$5, 1, (COLUMNS($DU57:DZ57)-1)*5 + 1), INDEX($E$8:$CE$57, MATCH($C57, $C$8:$C$57, 0), (COLUMNS($DU57:DZ57)-1)*5 + 4) = "SF"), INDEX($CZ$8:$CZ$23, COLUMNS($DU57:DZ57)), "0"), "")</f>
        <v>0</v>
      </c>
      <c r="EA57" s="390" t="str">
        <f t="array" ref="EA57">IFERROR(IF(AND(INDEX($E$8:$CE$57, MATCH($C57, $C$8:$C$57, 0), (COLUMNS($DU57:EA57)-1)*5 + 1) = INDEX($E$5:$CE$5, 1, (COLUMNS($DU57:EA57)-1)*5 + 1), INDEX($E$8:$CE$57, MATCH($C57, $C$8:$C$57, 0), (COLUMNS($DU57:EA57)-1)*5 + 4) = "SF"), INDEX($CZ$8:$CZ$23, COLUMNS($DU57:EA57)), "0"), "")</f>
        <v>0</v>
      </c>
      <c r="EB57" s="390" t="str">
        <f t="array" ref="EB57">IFERROR(IF(AND(INDEX($E$8:$CE$57, MATCH($C57, $C$8:$C$57, 0), (COLUMNS($DU57:EB57)-1)*5 + 1) = INDEX($E$5:$CE$5, 1, (COLUMNS($DU57:EB57)-1)*5 + 1), INDEX($E$8:$CE$57, MATCH($C57, $C$8:$C$57, 0), (COLUMNS($DU57:EB57)-1)*5 + 4) = "SF"), INDEX($CZ$8:$CZ$23, COLUMNS($DU57:EB57)), "0"), "")</f>
        <v>0</v>
      </c>
      <c r="EC57" s="390" t="str">
        <f t="array" ref="EC57">IFERROR(IF(AND(INDEX($E$8:$CE$57, MATCH($C57, $C$8:$C$57, 0), (COLUMNS($DU57:EC57)-1)*5 + 1) = INDEX($E$5:$CE$5, 1, (COLUMNS($DU57:EC57)-1)*5 + 1), INDEX($E$8:$CE$57, MATCH($C57, $C$8:$C$57, 0), (COLUMNS($DU57:EC57)-1)*5 + 4) = "SF"), INDEX($CZ$8:$CZ$23, COLUMNS($DU57:EC57)), "0"), "")</f>
        <v>0</v>
      </c>
      <c r="ED57" s="390" t="str">
        <f t="array" ref="ED57">IFERROR(IF(AND(INDEX($E$8:$CE$57, MATCH($C57, $C$8:$C$57, 0), (COLUMNS($DU57:ED57)-1)*5 + 1) = INDEX($E$5:$CE$5, 1, (COLUMNS($DU57:ED57)-1)*5 + 1), INDEX($E$8:$CE$57, MATCH($C57, $C$8:$C$57, 0), (COLUMNS($DU57:ED57)-1)*5 + 4) = "SF"), INDEX($CZ$8:$CZ$23, COLUMNS($DU57:ED57)), "0"), "")</f>
        <v>0</v>
      </c>
      <c r="EE57" s="390" t="str">
        <f t="array" ref="EE57">IFERROR(IF(AND(INDEX($E$8:$CE$57, MATCH($C57, $C$8:$C$57, 0), (COLUMNS($DU57:EE57)-1)*5 + 1) = INDEX($E$5:$CE$5, 1, (COLUMNS($DU57:EE57)-1)*5 + 1), INDEX($E$8:$CE$57, MATCH($C57, $C$8:$C$57, 0), (COLUMNS($DU57:EE57)-1)*5 + 4) = "SF"), INDEX($CZ$8:$CZ$23, COLUMNS($DU57:EE57)), "0"), "")</f>
        <v>0</v>
      </c>
      <c r="EF57" s="390" t="str">
        <f t="array" ref="EF57">IFERROR(IF(AND(INDEX($E$8:$CE$57, MATCH($C57, $C$8:$C$57, 0), (COLUMNS($DU57:EF57)-1)*5 + 1) = INDEX($E$5:$CE$5, 1, (COLUMNS($DU57:EF57)-1)*5 + 1), INDEX($E$8:$CE$57, MATCH($C57, $C$8:$C$57, 0), (COLUMNS($DU57:EF57)-1)*5 + 4) = "SF"), INDEX($CZ$8:$CZ$23, COLUMNS($DU57:EF57)), "0"), "")</f>
        <v>0</v>
      </c>
      <c r="EG57" s="390" t="str">
        <f t="array" ref="EG57">IFERROR(IF(AND(INDEX($E$8:$CE$57, MATCH($C57, $C$8:$C$57, 0), (COLUMNS($DU57:EG57)-1)*5 + 1) = INDEX($E$5:$CE$5, 1, (COLUMNS($DU57:EG57)-1)*5 + 1), INDEX($E$8:$CE$57, MATCH($C57, $C$8:$C$57, 0), (COLUMNS($DU57:EG57)-1)*5 + 4) = "SF"), INDEX($CZ$8:$CZ$23, COLUMNS($DU57:EG57)), "0"), "")</f>
        <v>0</v>
      </c>
      <c r="EH57" s="390" t="str">
        <f t="array" ref="EH57">IFERROR(IF(AND(INDEX($E$8:$CE$57, MATCH($C57, $C$8:$C$57, 0), (COLUMNS($DU57:EH57)-1)*5 + 1) = INDEX($E$5:$CE$5, 1, (COLUMNS($DU57:EH57)-1)*5 + 1), INDEX($E$8:$CE$57, MATCH($C57, $C$8:$C$57, 0), (COLUMNS($DU57:EH57)-1)*5 + 4) = "SF"), INDEX($CZ$8:$CZ$23, COLUMNS($DU57:EH57)), "0"), "")</f>
        <v>0</v>
      </c>
      <c r="EI57" s="390" t="str">
        <f t="array" ref="EI57">IFERROR(IF(AND(INDEX($E$8:$CE$57, MATCH($C57, $C$8:$C$57, 0), (COLUMNS($DU57:EI57)-1)*5 + 1) = INDEX($E$5:$CE$5, 1, (COLUMNS($DU57:EI57)-1)*5 + 1), INDEX($E$8:$CE$57, MATCH($C57, $C$8:$C$57, 0), (COLUMNS($DU57:EI57)-1)*5 + 4) = "SF"), INDEX($CZ$8:$CZ$23, COLUMNS($DU57:EI57)), "0"), "")</f>
        <v>0</v>
      </c>
      <c r="EJ57" s="390" t="str">
        <f t="array" ref="EJ57">IFERROR(IF(AND(INDEX($E$8:$CE$57, MATCH($C57, $C$8:$C$57, 0), (COLUMNS($DU57:EJ57)-1)*5 + 1) = INDEX($E$5:$CE$5, 1, (COLUMNS($DU57:EJ57)-1)*5 + 1), INDEX($E$8:$CE$57, MATCH($C57, $C$8:$C$57, 0), (COLUMNS($DU57:EJ57)-1)*5 + 4) = "SF"), INDEX($CZ$8:$CZ$23, COLUMNS($DU57:EJ57)), "0"), "")</f>
        <v>0</v>
      </c>
    </row>
    <row r="58" spans="1:140" ht="20.100000000000001" customHeight="1" thickBot="1" x14ac:dyDescent="0.4">
      <c r="A58" s="515"/>
      <c r="B58" s="203" t="s">
        <v>259</v>
      </c>
      <c r="C58" s="447"/>
      <c r="D58" s="447"/>
      <c r="E58" s="447"/>
      <c r="F58" s="447"/>
      <c r="G58" s="447"/>
      <c r="H58" s="447"/>
      <c r="I58" s="447" t="str">
        <f>"4 PUNTOS (DIV IGUAL O MENOR A 1/2 "&amp;$D$104&amp;" BS. RESTA 0,5 PUNTOS)"</f>
        <v>4 PUNTOS (DIV IGUAL O MENOR A 1/2 150 BS. RESTA 0,5 PUNTOS)</v>
      </c>
      <c r="J58" s="447"/>
      <c r="K58" s="447"/>
      <c r="L58" s="447"/>
      <c r="M58" s="447"/>
      <c r="N58" s="447"/>
      <c r="O58" s="447"/>
      <c r="P58" s="447"/>
      <c r="Q58" s="447"/>
      <c r="R58" s="447"/>
      <c r="S58" s="447"/>
      <c r="T58" s="447"/>
      <c r="U58" s="447" t="str">
        <f>"*DIVIDENDO MAYOR O IGUAL A 4/1 ("&amp;$D$115&amp;" Bs.) "</f>
        <v xml:space="preserve">*DIVIDENDO MAYOR O IGUAL A 4/1 (500 Bs.) </v>
      </c>
      <c r="V58" s="447"/>
      <c r="W58" s="447"/>
      <c r="X58" s="447"/>
      <c r="Y58" s="447"/>
      <c r="Z58" s="447"/>
      <c r="AA58" s="447"/>
      <c r="AB58" s="447"/>
      <c r="AC58" s="447"/>
      <c r="AD58" s="447"/>
      <c r="AE58" s="447" t="s">
        <v>260</v>
      </c>
      <c r="AF58" s="447"/>
      <c r="AG58" s="447"/>
      <c r="AH58" s="447"/>
      <c r="AI58" s="447"/>
      <c r="AJ58" s="447"/>
      <c r="AK58" s="447"/>
      <c r="AL58" s="447"/>
      <c r="AM58" s="447" t="s">
        <v>261</v>
      </c>
      <c r="AN58" s="447"/>
      <c r="AO58" s="447"/>
      <c r="AP58" s="447"/>
      <c r="AQ58" s="447"/>
      <c r="AR58" s="447"/>
      <c r="AS58" s="447"/>
      <c r="AT58" s="447" t="s">
        <v>262</v>
      </c>
      <c r="AU58" s="447"/>
      <c r="AV58" s="447"/>
      <c r="AW58" s="447"/>
      <c r="AX58" s="448"/>
      <c r="AY58" s="448"/>
      <c r="AZ58" s="448"/>
      <c r="BA58" s="448"/>
      <c r="BB58" s="448"/>
      <c r="BC58" s="448"/>
      <c r="BD58" s="448"/>
      <c r="BE58" s="447"/>
      <c r="BF58" s="448"/>
      <c r="BG58" s="449"/>
      <c r="BH58" s="448"/>
      <c r="BI58" s="448"/>
      <c r="BJ58" s="448"/>
      <c r="BK58" s="448"/>
      <c r="BL58" s="449"/>
      <c r="BM58" s="448"/>
      <c r="BN58" s="448"/>
      <c r="BO58" s="449"/>
      <c r="BP58" s="448"/>
      <c r="BQ58" s="448"/>
      <c r="BR58" s="448"/>
      <c r="BS58" s="448"/>
      <c r="BT58" s="449"/>
      <c r="BU58" s="448"/>
      <c r="BV58" s="448"/>
      <c r="BW58" s="448"/>
      <c r="BX58" s="448"/>
      <c r="BY58" s="449"/>
      <c r="BZ58" s="448"/>
      <c r="CA58" s="448"/>
      <c r="CB58" s="448"/>
      <c r="CC58" s="448"/>
      <c r="CD58" s="449"/>
      <c r="CE58" s="448"/>
      <c r="CF58" s="448"/>
      <c r="CG58" s="448"/>
      <c r="CH58" s="448"/>
      <c r="CI58" s="187"/>
      <c r="CJ58" s="188"/>
      <c r="CK58" s="188"/>
      <c r="CL58" s="188"/>
      <c r="CM58" s="188"/>
      <c r="CN58" s="188"/>
      <c r="CO58" s="188"/>
      <c r="CP58" s="188"/>
      <c r="CQ58" s="189" t="s">
        <v>263</v>
      </c>
      <c r="CR58" s="208">
        <f>CONTROL!R56</f>
        <v>78026.666666666672</v>
      </c>
      <c r="CS58" s="191"/>
      <c r="CT58" s="573" t="s">
        <v>264</v>
      </c>
      <c r="CU58" s="574"/>
      <c r="CV58" s="510">
        <f>SUM(CV8:CV57)</f>
        <v>36000</v>
      </c>
      <c r="CW58" s="515"/>
      <c r="CY58" s="538" t="str">
        <f t="shared" si="17"/>
        <v/>
      </c>
      <c r="CZ58" s="387"/>
      <c r="DA58" s="387" t="str">
        <f t="array" ref="DA58">IF(CZ58="", "", IF((INDEX(E$8:CE$57, MATCH(CZ58, C$8:C$57, 0), ($CZ$25-1)*5 + 1) &amp; "") = (INDEX(E$5:CE$5, 1, ($CZ$25-1)*5 + 1) &amp; ""), 1, IF((INDEX(E$8:CE$57, MATCH(CZ58, C$8:C$57, 0), ($CZ$25-1)*5 + 2) &amp; "") = (INDEX(E$5:CE$5, 1, ($CZ$25-1)*5 + 1) &amp; ""), 2, IF((INDEX(E$8:CE$57, MATCH(CZ58, C$8:C$57, 0), ($CZ$25-1)*5 + 3) &amp; "") = (INDEX(E$5:CE$5, 1, ($CZ$25-1)*5 + 1) &amp; ""), 3, ""))))</f>
        <v/>
      </c>
      <c r="DO58" t="s">
        <v>257</v>
      </c>
      <c r="DP58" s="389" t="s">
        <v>265</v>
      </c>
      <c r="DQ58" s="389" t="s">
        <v>9</v>
      </c>
      <c r="DR58" s="389" t="s">
        <v>252</v>
      </c>
      <c r="EG58" t="s">
        <v>257</v>
      </c>
      <c r="EH58" s="388" t="s">
        <v>265</v>
      </c>
      <c r="EI58" s="388" t="s">
        <v>9</v>
      </c>
      <c r="EJ58" s="388" t="s">
        <v>252</v>
      </c>
    </row>
    <row r="59" spans="1:140" ht="20.100000000000001" customHeight="1" thickBot="1" x14ac:dyDescent="0.4">
      <c r="A59" s="515"/>
      <c r="B59" s="203" t="s">
        <v>266</v>
      </c>
      <c r="C59" s="447"/>
      <c r="D59" s="447"/>
      <c r="E59" s="447"/>
      <c r="F59" s="447"/>
      <c r="G59" s="447"/>
      <c r="H59" s="447"/>
      <c r="I59" s="447" t="str">
        <f>"2 PUNTOS (DIV IGUAL O MENOR A 1/2 "&amp;$D$104&amp;" BS. RESTA 0,5 PUNTOS)"</f>
        <v>2 PUNTOS (DIV IGUAL O MENOR A 1/2 150 BS. RESTA 0,5 PUNTOS)</v>
      </c>
      <c r="J59" s="447"/>
      <c r="K59" s="447"/>
      <c r="L59" s="447"/>
      <c r="M59" s="447"/>
      <c r="N59" s="447"/>
      <c r="O59" s="447"/>
      <c r="P59" s="447"/>
      <c r="Q59" s="447"/>
      <c r="R59" s="447"/>
      <c r="S59" s="447"/>
      <c r="T59" s="447"/>
      <c r="U59" s="447" t="str">
        <f>"*DIVIDENDO MAYOR O IGUAL A 19/1 ("&amp;D129&amp;" Bs.) "</f>
        <v xml:space="preserve">*DIVIDENDO MAYOR O IGUAL A 19/1 (2000 Bs.) </v>
      </c>
      <c r="V59" s="447"/>
      <c r="W59" s="447"/>
      <c r="X59" s="447"/>
      <c r="Y59" s="447"/>
      <c r="Z59" s="447"/>
      <c r="AA59" s="447"/>
      <c r="AB59" s="447"/>
      <c r="AC59" s="447"/>
      <c r="AD59" s="447"/>
      <c r="AE59" s="447" t="s">
        <v>260</v>
      </c>
      <c r="AF59" s="447"/>
      <c r="AG59" s="447"/>
      <c r="AH59" s="447"/>
      <c r="AI59" s="447"/>
      <c r="AJ59" s="447"/>
      <c r="AK59" s="447"/>
      <c r="AL59" s="447"/>
      <c r="AM59" s="447"/>
      <c r="AN59" s="447"/>
      <c r="AO59" s="447"/>
      <c r="AP59" s="447"/>
      <c r="AQ59" s="447"/>
      <c r="AR59" s="447"/>
      <c r="AS59" s="447"/>
      <c r="AT59" s="447"/>
      <c r="AU59" s="447"/>
      <c r="AV59" s="447"/>
      <c r="AW59" s="447"/>
      <c r="AX59" s="448"/>
      <c r="AY59" s="448"/>
      <c r="AZ59" s="448"/>
      <c r="BA59" s="448"/>
      <c r="BB59" s="448"/>
      <c r="BC59" s="448"/>
      <c r="BD59" s="448"/>
      <c r="BE59" s="448"/>
      <c r="BF59" s="448"/>
      <c r="BG59" s="449"/>
      <c r="BH59" s="448"/>
      <c r="BI59" s="448"/>
      <c r="BJ59" s="448"/>
      <c r="BK59" s="448"/>
      <c r="BL59" s="449"/>
      <c r="BM59" s="448"/>
      <c r="BN59" s="448"/>
      <c r="BO59" s="448"/>
      <c r="BP59" s="448"/>
      <c r="BQ59" s="448"/>
      <c r="BR59" s="448"/>
      <c r="BS59" s="448"/>
      <c r="BT59" s="448"/>
      <c r="BU59" s="448"/>
      <c r="BV59" s="448"/>
      <c r="BW59" s="448"/>
      <c r="BX59" s="448"/>
      <c r="BY59" s="448"/>
      <c r="BZ59" s="448"/>
      <c r="CA59" s="448"/>
      <c r="CB59" s="448"/>
      <c r="CC59" s="448"/>
      <c r="CD59" s="448"/>
      <c r="CE59" s="448"/>
      <c r="CF59" s="448"/>
      <c r="CG59" s="448"/>
      <c r="CH59" s="448"/>
      <c r="CI59" s="192"/>
      <c r="CJ59" s="193"/>
      <c r="CK59" s="193"/>
      <c r="CL59" s="193"/>
      <c r="CM59" s="193"/>
      <c r="CN59" s="193"/>
      <c r="CO59" s="193"/>
      <c r="CP59" s="193"/>
      <c r="CQ59" s="194" t="s">
        <v>267</v>
      </c>
      <c r="CR59" s="209">
        <f>CONTROL!S56</f>
        <v>16720</v>
      </c>
      <c r="CS59" s="195"/>
      <c r="CT59" s="571" t="s">
        <v>268</v>
      </c>
      <c r="CU59" s="564"/>
      <c r="CV59" s="270">
        <f>+CV58*20%</f>
        <v>7200</v>
      </c>
      <c r="CW59" s="515"/>
      <c r="CY59" s="538" t="str">
        <f t="shared" si="17"/>
        <v/>
      </c>
      <c r="CZ59" s="387"/>
      <c r="DA59" s="387" t="str">
        <f t="array" ref="DA59">IF(CZ59="", "", IF((INDEX(E$8:CE$57, MATCH(CZ59, C$8:C$57, 0), ($CZ$25-1)*5 + 1) &amp; "") = (INDEX(E$5:CE$5, 1, ($CZ$25-1)*5 + 1) &amp; ""), 1, IF((INDEX(E$8:CE$57, MATCH(CZ59, C$8:C$57, 0), ($CZ$25-1)*5 + 2) &amp; "") = (INDEX(E$5:CE$5, 1, ($CZ$25-1)*5 + 1) &amp; ""), 2, IF((INDEX(E$8:CE$57, MATCH(CZ59, C$8:C$57, 0), ($CZ$25-1)*5 + 3) &amp; "") = (INDEX(E$5:CE$5, 1, ($CZ$25-1)*5 + 1) &amp; ""), 3, ""))))</f>
        <v/>
      </c>
      <c r="DO59" s="388" t="e">
        <f t="array" ref="DO59">INDEX(E5:CB5, 1, ($DR$59-1)*5 + 1)</f>
        <v>#VALUE!</v>
      </c>
      <c r="DP59" s="349" t="e">
        <f t="array" ref="DP59:DP61">_xlfn._xlws.FILTER(MAX($DC$8:$DR$57) + ($DB$8:$DB$57 - $DB$8:$DB$57), MMULT(($DC$8:$DR$57 = MAX($DC$8:$DR$57)) * ($DC$8:$DR$57 &gt; 0), _xlfn.SEQUENCE(COLUMNS($DC8:DR8), 1, 1, 0)) &gt; 0, "N/A")</f>
        <v>#VALUE!</v>
      </c>
      <c r="DQ59" s="388" t="str">
        <f t="array" ref="DQ59:DQ61">_xlfn._xlws.FILTER($DB$8:$DB$57, MMULT(($DC$8:$DR$57 = MAX($DC$8:$DR$57)) * ($DC$8:$DR$57 &gt; 0), _xlfn.SEQUENCE(COLUMNS($DC8:DR8), 1, 1, 0)) &gt; 0, "Sin aciertos")</f>
        <v>COD 23</v>
      </c>
      <c r="DR59" s="388" t="e">
        <f t="array" ref="DR59:DR61">_xlfn._xlws.FILTER(INDEX($DC$7:$DR$7, 1, MMULT(--($DC$8:$DR$57 = MAX($DC$8:$DR$57)), _xlfn.SEQUENCE(COLUMNS($DC$8:$DR$8), 1, 1, 1))), MMULT(($DC$8:$DR$57 = MAX($DC$8:$DR$57)) * ($DC$8:$DR$57 &gt; 0), _xlfn.SEQUENCE(COLUMNS($DC$8:$DR$8), 1, 1, 1)) &gt; 0, "N/A")</f>
        <v>#VALUE!</v>
      </c>
      <c r="EG59" s="388" t="e">
        <f t="array" ref="EG59">INDEX(E5:CB5, 1, ($EJ$59-1)*5 + 1)</f>
        <v>#VALUE!</v>
      </c>
      <c r="EH59" s="349" t="e">
        <f t="array" ref="EH59:EH60">_xlfn._xlws.FILTER(MAX($DU$8:$EJ$57) + ($DT$8:$DT$57 - $DT$8:$DT$57), MMULT(($DU$8:$EJ$57 = MAX($DU$8:$EJ$57)) * ($DU$8:$EJ$57 &gt; 0), _xlfn.SEQUENCE(COLUMNS($DU8:EJ8), 1, 1, 0)) &gt; 0, "N/A")</f>
        <v>#VALUE!</v>
      </c>
      <c r="EI59" s="388" t="str">
        <f t="array" ref="EI59:EI60">_xlfn._xlws.FILTER($DT$8:$DT$57, MMULT(($DU$8:$EJ$57 = MAX($DU$8:$EJ$57)) * ($DU$8:$EJ$57 &gt; 0), _xlfn.SEQUENCE(COLUMNS($DU8:EJ8), 1, 1, 0)) &gt; 0, "Sin aciertos")</f>
        <v>COD 13</v>
      </c>
      <c r="EJ59" s="388" t="e">
        <f t="array" ref="EJ59:EJ60">_xlfn._xlws.FILTER(INDEX($DU$7:$EJ$7, 1, MMULT(--($DU$8:$EJ$57 = MAX($DU$8:$EJ$57)), _xlfn.SEQUENCE(COLUMNS($DU$8:$EJ$8), 1, 1, 1))), MMULT(($DU$8:$EJ$57 = MAX($DU$8:$EJ$57)) * ($DU$8:$EJ$57 &gt; 0), _xlfn.SEQUENCE(COLUMNS($DU$8:$EJ$8), 1, 1, 1)) &gt; 0, "N/A")</f>
        <v>#VALUE!</v>
      </c>
    </row>
    <row r="60" spans="1:140" ht="20.100000000000001" customHeight="1" thickBot="1" x14ac:dyDescent="0.4">
      <c r="A60" s="515"/>
      <c r="B60" s="203" t="s">
        <v>269</v>
      </c>
      <c r="C60" s="447"/>
      <c r="D60" s="447"/>
      <c r="E60" s="447"/>
      <c r="F60" s="447"/>
      <c r="G60" s="447"/>
      <c r="H60" s="447"/>
      <c r="I60" s="447" t="str">
        <f>"1 PUNTOS (DIV IGUAL O MENOR A 1/2 "&amp;$D$104&amp;" BS. RESTA 0,5 PUNTOS)"</f>
        <v>1 PUNTOS (DIV IGUAL O MENOR A 1/2 150 BS. RESTA 0,5 PUNTOS)</v>
      </c>
      <c r="J60" s="447"/>
      <c r="K60" s="447"/>
      <c r="L60" s="447"/>
      <c r="M60" s="447"/>
      <c r="N60" s="447"/>
      <c r="O60" s="447"/>
      <c r="P60" s="447"/>
      <c r="Q60" s="447"/>
      <c r="R60" s="447"/>
      <c r="S60" s="447"/>
      <c r="T60" s="447"/>
      <c r="U60" s="447" t="s">
        <v>270</v>
      </c>
      <c r="V60" s="447"/>
      <c r="W60" s="447"/>
      <c r="X60" s="447"/>
      <c r="Y60" s="447"/>
      <c r="Z60" s="447"/>
      <c r="AA60" s="447"/>
      <c r="AB60" s="447"/>
      <c r="AC60" s="447"/>
      <c r="AD60" s="447"/>
      <c r="AE60" s="447" t="s">
        <v>260</v>
      </c>
      <c r="AF60" s="447"/>
      <c r="AG60" s="447"/>
      <c r="AH60" s="447"/>
      <c r="AI60" s="447"/>
      <c r="AJ60" s="447"/>
      <c r="AK60" s="447"/>
      <c r="AL60" s="447"/>
      <c r="AM60" s="447"/>
      <c r="AN60" s="567"/>
      <c r="AO60" s="568"/>
      <c r="AP60" s="568"/>
      <c r="AQ60" s="568"/>
      <c r="AR60" s="568"/>
      <c r="AS60" s="568"/>
      <c r="AT60" s="568"/>
      <c r="AU60" s="568"/>
      <c r="AV60" s="568"/>
      <c r="AW60" s="568"/>
      <c r="AX60" s="448"/>
      <c r="AY60" s="448"/>
      <c r="AZ60" s="448"/>
      <c r="BA60" s="448"/>
      <c r="BB60" s="448"/>
      <c r="BC60" s="448"/>
      <c r="BD60" s="448"/>
      <c r="BE60" s="448"/>
      <c r="BF60" s="448"/>
      <c r="BG60" s="449"/>
      <c r="BH60" s="448"/>
      <c r="BI60" s="448"/>
      <c r="BJ60" s="448"/>
      <c r="BK60" s="448"/>
      <c r="BL60" s="449"/>
      <c r="BM60" s="448"/>
      <c r="BN60" s="448"/>
      <c r="BO60" s="448"/>
      <c r="BP60" s="448"/>
      <c r="BQ60" s="448"/>
      <c r="BR60" s="448"/>
      <c r="BS60" s="448"/>
      <c r="BT60" s="448"/>
      <c r="BU60" s="448"/>
      <c r="BV60" s="448"/>
      <c r="BW60" s="448"/>
      <c r="BX60" s="448"/>
      <c r="BY60" s="448"/>
      <c r="BZ60" s="448"/>
      <c r="CA60" s="448"/>
      <c r="CB60" s="448"/>
      <c r="CC60" s="448"/>
      <c r="CD60" s="448"/>
      <c r="CE60" s="448"/>
      <c r="CF60" s="448"/>
      <c r="CG60" s="448"/>
      <c r="CH60" s="448"/>
      <c r="CI60" s="196"/>
      <c r="CJ60" s="197"/>
      <c r="CK60" s="197"/>
      <c r="CL60" s="197"/>
      <c r="CM60" s="197"/>
      <c r="CN60" s="197"/>
      <c r="CO60" s="197"/>
      <c r="CP60" s="197"/>
      <c r="CQ60" s="198" t="s">
        <v>271</v>
      </c>
      <c r="CR60" s="210">
        <f>CONTROL!T56</f>
        <v>5573.3333333333339</v>
      </c>
      <c r="CS60" s="190"/>
      <c r="CT60" s="575" t="s">
        <v>272</v>
      </c>
      <c r="CU60" s="574"/>
      <c r="CV60" s="271">
        <f>CONTROL!T54</f>
        <v>38665.661</v>
      </c>
      <c r="CW60" s="515"/>
      <c r="CY60" s="538" t="str">
        <f t="shared" si="17"/>
        <v/>
      </c>
      <c r="CZ60" s="387"/>
      <c r="DA60" s="387" t="str">
        <f t="array" ref="DA60">IF(CZ60="", "", IF((INDEX(E$8:CE$57, MATCH(CZ60, C$8:C$57, 0), ($CZ$25-1)*5 + 1) &amp; "") = (INDEX(E$5:CE$5, 1, ($CZ$25-1)*5 + 1) &amp; ""), 1, IF((INDEX(E$8:CE$57, MATCH(CZ60, C$8:C$57, 0), ($CZ$25-1)*5 + 2) &amp; "") = (INDEX(E$5:CE$5, 1, ($CZ$25-1)*5 + 1) &amp; ""), 2, IF((INDEX(E$8:CE$57, MATCH(CZ60, C$8:C$57, 0), ($CZ$25-1)*5 + 3) &amp; "") = (INDEX(E$5:CE$5, 1, ($CZ$25-1)*5 + 1) &amp; ""), 3, ""))))</f>
        <v/>
      </c>
      <c r="DO60" s="388"/>
      <c r="DP60" s="388" t="e">
        <v>#VALUE!</v>
      </c>
      <c r="DQ60" s="388" t="str">
        <v>COD 34</v>
      </c>
      <c r="DR60" s="388" t="e">
        <v>#VALUE!</v>
      </c>
      <c r="EG60" s="388"/>
      <c r="EH60" s="388" t="e">
        <v>#VALUE!</v>
      </c>
      <c r="EI60" s="388" t="str">
        <v>COD 33</v>
      </c>
      <c r="EJ60" s="388" t="e">
        <v>#VALUE!</v>
      </c>
    </row>
    <row r="61" spans="1:140" ht="20.100000000000001" customHeight="1" thickBot="1" x14ac:dyDescent="0.4">
      <c r="A61" s="515"/>
      <c r="B61" s="204" t="s">
        <v>273</v>
      </c>
      <c r="C61" s="205"/>
      <c r="D61" s="205"/>
      <c r="E61" s="205"/>
      <c r="F61" s="205"/>
      <c r="G61" s="205"/>
      <c r="H61" s="205"/>
      <c r="I61" s="205" t="s">
        <v>260</v>
      </c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447" t="s">
        <v>274</v>
      </c>
      <c r="V61" s="205"/>
      <c r="W61" s="205"/>
      <c r="X61" s="205"/>
      <c r="Y61" s="205"/>
      <c r="Z61" s="205"/>
      <c r="AA61" s="205"/>
      <c r="AB61" s="205"/>
      <c r="AC61" s="447"/>
      <c r="AD61" s="205"/>
      <c r="AE61" s="447" t="s">
        <v>275</v>
      </c>
      <c r="AF61" s="205"/>
      <c r="AG61" s="205"/>
      <c r="AH61" s="447"/>
      <c r="AI61" s="205"/>
      <c r="AJ61" s="205"/>
      <c r="AK61" s="205"/>
      <c r="AL61" s="205"/>
      <c r="AM61" s="205"/>
      <c r="AN61" s="565"/>
      <c r="AO61" s="566"/>
      <c r="AP61" s="566"/>
      <c r="AQ61" s="566"/>
      <c r="AR61" s="566"/>
      <c r="AS61" s="566"/>
      <c r="AT61" s="566"/>
      <c r="AU61" s="566"/>
      <c r="AV61" s="566"/>
      <c r="AW61" s="566"/>
      <c r="AX61" s="206"/>
      <c r="AY61" s="206"/>
      <c r="AZ61" s="206"/>
      <c r="BA61" s="206"/>
      <c r="BB61" s="206"/>
      <c r="BC61" s="206"/>
      <c r="BD61" s="206"/>
      <c r="BE61" s="206"/>
      <c r="BF61" s="206"/>
      <c r="BG61" s="207"/>
      <c r="BH61" s="206"/>
      <c r="BI61" s="206"/>
      <c r="BJ61" s="206"/>
      <c r="BK61" s="206"/>
      <c r="BL61" s="207"/>
      <c r="BM61" s="206"/>
      <c r="BN61" s="206"/>
      <c r="BO61" s="206"/>
      <c r="BP61" s="206"/>
      <c r="BQ61" s="206"/>
      <c r="BR61" s="206"/>
      <c r="BS61" s="206"/>
      <c r="BT61" s="206"/>
      <c r="BU61" s="206"/>
      <c r="BV61" s="206"/>
      <c r="BW61" s="206"/>
      <c r="BX61" s="206"/>
      <c r="BY61" s="206"/>
      <c r="BZ61" s="206"/>
      <c r="CA61" s="206"/>
      <c r="CB61" s="206"/>
      <c r="CC61" s="206"/>
      <c r="CD61" s="206"/>
      <c r="CE61" s="206"/>
      <c r="CF61" s="206"/>
      <c r="CG61" s="206"/>
      <c r="CH61" s="206"/>
      <c r="CI61" s="199"/>
      <c r="CJ61" s="200"/>
      <c r="CK61" s="200"/>
      <c r="CL61" s="200"/>
      <c r="CM61" s="200"/>
      <c r="CN61" s="200"/>
      <c r="CO61" s="200"/>
      <c r="CP61" s="200"/>
      <c r="CQ61" s="201" t="s">
        <v>276</v>
      </c>
      <c r="CR61" s="211">
        <f>CONTROL!T56</f>
        <v>5573.3333333333339</v>
      </c>
      <c r="CS61" s="202"/>
      <c r="CT61" s="563" t="s">
        <v>277</v>
      </c>
      <c r="CU61" s="564"/>
      <c r="CV61" s="272">
        <f>(CV58-CV59)/3</f>
        <v>9600</v>
      </c>
      <c r="CW61" s="515"/>
      <c r="CY61" s="538" t="str">
        <f t="shared" si="17"/>
        <v/>
      </c>
      <c r="CZ61" s="387"/>
      <c r="DA61" s="387" t="str">
        <f t="array" ref="DA61">IF(CZ61="", "", IF((INDEX(E$8:CE$57, MATCH(CZ61, C$8:C$57, 0), ($CZ$25-1)*5 + 1) &amp; "") = (INDEX(E$5:CE$5, 1, ($CZ$25-1)*5 + 1) &amp; ""), 1, IF((INDEX(E$8:CE$57, MATCH(CZ61, C$8:C$57, 0), ($CZ$25-1)*5 + 2) &amp; "") = (INDEX(E$5:CE$5, 1, ($CZ$25-1)*5 + 1) &amp; ""), 2, IF((INDEX(E$8:CE$57, MATCH(CZ61, C$8:C$57, 0), ($CZ$25-1)*5 + 3) &amp; "") = (INDEX(E$5:CE$5, 1, ($CZ$25-1)*5 + 1) &amp; ""), 3, ""))))</f>
        <v/>
      </c>
      <c r="DO61" s="388"/>
      <c r="DP61" s="388" t="e">
        <v>#VALUE!</v>
      </c>
      <c r="DQ61" s="388" t="str">
        <v>COD 35</v>
      </c>
      <c r="DR61" s="388" t="e">
        <v>#VALUE!</v>
      </c>
      <c r="EG61" s="388"/>
      <c r="EH61" s="388"/>
      <c r="EI61" s="388"/>
      <c r="EJ61" s="388"/>
    </row>
    <row r="62" spans="1:140" ht="16.5" customHeight="1" x14ac:dyDescent="0.35">
      <c r="A62" s="351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"/>
      <c r="BH62" s="95"/>
      <c r="BI62" s="95"/>
      <c r="BJ62" s="95"/>
      <c r="BK62" s="95"/>
      <c r="BL62" s="9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  <c r="CP62" s="95"/>
      <c r="CQ62" s="95"/>
      <c r="CR62" s="95"/>
      <c r="CS62" s="95"/>
      <c r="CT62" s="95"/>
      <c r="CU62" s="95"/>
      <c r="CV62" s="95"/>
      <c r="CW62" s="95"/>
      <c r="CZ62" s="387"/>
      <c r="DA62" s="387"/>
      <c r="DO62" s="388"/>
      <c r="DP62" s="388"/>
      <c r="DQ62" s="388"/>
      <c r="DR62" s="388"/>
      <c r="EG62" s="388"/>
      <c r="EH62" s="388"/>
      <c r="EI62" s="388"/>
      <c r="EJ62" s="388"/>
    </row>
    <row r="63" spans="1:140" ht="36" customHeight="1" x14ac:dyDescent="0.5">
      <c r="B63" s="5"/>
      <c r="E63" s="96"/>
      <c r="F63" s="97"/>
      <c r="G63" s="97"/>
      <c r="H63" s="97"/>
      <c r="I63" s="97"/>
      <c r="J63" s="97"/>
      <c r="K63" s="97"/>
      <c r="L63" s="97"/>
      <c r="M63" s="97"/>
      <c r="N63" s="97"/>
      <c r="O63" s="98"/>
      <c r="P63" s="97"/>
      <c r="Q63" s="97"/>
      <c r="R63" s="97"/>
      <c r="S63" s="97"/>
      <c r="T63" s="98" t="s">
        <v>278</v>
      </c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8"/>
      <c r="AP63" s="98" t="s">
        <v>279</v>
      </c>
      <c r="AQ63" s="97"/>
      <c r="AR63" s="97"/>
      <c r="AS63" s="98"/>
      <c r="AT63" s="97"/>
      <c r="AU63" s="99" t="str">
        <f>D3</f>
        <v>06/09/2026</v>
      </c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100"/>
      <c r="BH63" s="97"/>
      <c r="BI63" s="97"/>
      <c r="BJ63" s="97"/>
      <c r="BK63" s="97"/>
      <c r="BL63" s="100"/>
      <c r="BM63" s="97"/>
      <c r="BN63" s="97"/>
      <c r="BO63" s="97"/>
      <c r="BP63" s="97"/>
      <c r="BQ63" s="101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Z63" s="387"/>
      <c r="DA63" s="387" t="str">
        <f t="array" ref="DA63">IF(CZ63="", "", IF((INDEX(E$7:CE$57, MATCH(CZ63, C$7:C$57, 0), ($CZ$25-1)*5 + 1) &amp; "") = (INDEX(E$5:CE$5, 1, ($CZ$25-1)*5 + 1) &amp; ""), 1, IF((INDEX(E$7:CE$57, MATCH(CZ63, C$7:C$57, 0), ($CZ$25-1)*5 + 2) &amp; "") = (INDEX(E$5:CE$5, 1, ($CZ$25-1)*5 + 1) &amp; ""), 2, IF((INDEX(E$7:CE$57, MATCH(CZ63, C$7:C$57, 0), ($CZ$25-1)*5 + 3) &amp; "") = (INDEX(E$5:CE$5, 1, ($CZ$25-1)*5 + 1) &amp; ""), 3, ""))))</f>
        <v/>
      </c>
      <c r="DO63" s="388"/>
      <c r="DP63" s="388"/>
      <c r="DQ63" s="388"/>
      <c r="DR63" s="388"/>
      <c r="EG63" s="388" t="str">
        <f t="shared" ref="EG63:EG94" si="35">IF(EH63="","",$EG$59)</f>
        <v/>
      </c>
      <c r="EH63" s="388"/>
      <c r="EI63" s="388"/>
      <c r="EJ63" s="388"/>
    </row>
    <row r="64" spans="1:140" ht="23.25" customHeight="1" x14ac:dyDescent="0.35">
      <c r="E64" s="540">
        <f>E4</f>
        <v>1</v>
      </c>
      <c r="F64" s="427"/>
      <c r="G64" s="427"/>
      <c r="H64" s="427"/>
      <c r="I64" s="427"/>
      <c r="J64" s="540">
        <f>J4</f>
        <v>2</v>
      </c>
      <c r="K64" s="427"/>
      <c r="L64" s="427"/>
      <c r="M64" s="427"/>
      <c r="N64" s="427"/>
      <c r="O64" s="540">
        <f>O4</f>
        <v>3</v>
      </c>
      <c r="P64" s="427"/>
      <c r="Q64" s="427"/>
      <c r="R64" s="427"/>
      <c r="S64" s="427"/>
      <c r="T64" s="540">
        <f>T4</f>
        <v>4</v>
      </c>
      <c r="U64" s="427"/>
      <c r="V64" s="427"/>
      <c r="W64" s="427"/>
      <c r="X64" s="427"/>
      <c r="Y64" s="540">
        <f>Y4</f>
        <v>5</v>
      </c>
      <c r="Z64" s="427"/>
      <c r="AA64" s="427"/>
      <c r="AB64" s="427"/>
      <c r="AC64" s="427"/>
      <c r="AD64" s="540">
        <f>AD4</f>
        <v>6</v>
      </c>
      <c r="AE64" s="427"/>
      <c r="AF64" s="427"/>
      <c r="AG64" s="427"/>
      <c r="AH64" s="427"/>
      <c r="AI64" s="540">
        <f>AI4</f>
        <v>7</v>
      </c>
      <c r="AJ64" s="427"/>
      <c r="AK64" s="427"/>
      <c r="AL64" s="427"/>
      <c r="AM64" s="427"/>
      <c r="AN64" s="540">
        <f>AN4</f>
        <v>8</v>
      </c>
      <c r="AO64" s="427"/>
      <c r="AP64" s="427"/>
      <c r="AQ64" s="427"/>
      <c r="AR64" s="427"/>
      <c r="AS64" s="540">
        <f>AS4</f>
        <v>9</v>
      </c>
      <c r="AT64" s="427"/>
      <c r="AU64" s="427"/>
      <c r="AV64" s="427"/>
      <c r="AW64" s="427"/>
      <c r="AX64" s="540">
        <f>AX4</f>
        <v>10</v>
      </c>
      <c r="AY64" s="427"/>
      <c r="AZ64" s="427"/>
      <c r="BA64" s="427"/>
      <c r="BB64" s="427"/>
      <c r="BC64" s="540">
        <f>BC4</f>
        <v>11</v>
      </c>
      <c r="BD64" s="427"/>
      <c r="BE64" s="427"/>
      <c r="BF64" s="427"/>
      <c r="BG64" s="427"/>
      <c r="BH64" s="540">
        <f>BH4</f>
        <v>12</v>
      </c>
      <c r="BI64" s="427"/>
      <c r="BJ64" s="427"/>
      <c r="BK64" s="427"/>
      <c r="BL64" s="427"/>
      <c r="BM64" s="540">
        <f>BM4</f>
        <v>13</v>
      </c>
      <c r="BN64" s="427"/>
      <c r="BO64" s="427"/>
      <c r="BP64" s="427"/>
      <c r="BQ64" s="427"/>
      <c r="BR64" s="540">
        <f>BR4</f>
        <v>14</v>
      </c>
      <c r="BS64" s="427"/>
      <c r="BT64" s="427"/>
      <c r="BU64" s="427"/>
      <c r="BV64" s="427"/>
      <c r="BW64" s="540">
        <f>BW4</f>
        <v>15</v>
      </c>
      <c r="BX64" s="427"/>
      <c r="BY64" s="427"/>
      <c r="BZ64" s="427"/>
      <c r="CA64" s="427"/>
      <c r="CB64" s="540">
        <f>CB4</f>
        <v>16</v>
      </c>
      <c r="CC64" s="427"/>
      <c r="CD64" s="427"/>
      <c r="CE64" s="427"/>
      <c r="CF64" s="427"/>
      <c r="CZ64" s="387"/>
      <c r="DA64" s="387" t="str">
        <f t="array" ref="DA64">IF(CZ64="", "", IF((INDEX(E$7:CE$57, MATCH(CZ64, C$7:C$57, 0), ($CZ$25-1)*5 + 1) &amp; "") = (INDEX(E$5:CE$5, 1, ($CZ$25-1)*5 + 1) &amp; ""), 1, IF((INDEX(E$7:CE$57, MATCH(CZ64, C$7:C$57, 0), ($CZ$25-1)*5 + 2) &amp; "") = (INDEX(E$5:CE$5, 1, ($CZ$25-1)*5 + 1) &amp; ""), 2, IF((INDEX(E$7:CE$57, MATCH(CZ64, C$7:C$57, 0), ($CZ$25-1)*5 + 3) &amp; "") = (INDEX(E$5:CE$5, 1, ($CZ$25-1)*5 + 1) &amp; ""), 3, ""))))</f>
        <v/>
      </c>
      <c r="DO64" s="388" t="str">
        <f t="shared" ref="DO64:DO82" si="36">IF(DP64="","",$DO$59)</f>
        <v/>
      </c>
      <c r="DP64" s="388"/>
      <c r="DQ64" s="388"/>
      <c r="DR64" s="388"/>
      <c r="EG64" s="388" t="str">
        <f t="shared" si="35"/>
        <v/>
      </c>
      <c r="EH64" s="388"/>
      <c r="EI64" s="388"/>
      <c r="EJ64" s="388"/>
    </row>
    <row r="65" spans="2:140" ht="26.25" customHeight="1" x14ac:dyDescent="0.4">
      <c r="B65" s="102"/>
      <c r="C65" s="103"/>
      <c r="D65" s="103"/>
      <c r="E65" s="104" t="s">
        <v>280</v>
      </c>
      <c r="F65" s="105" t="s">
        <v>281</v>
      </c>
      <c r="G65" s="105" t="s">
        <v>282</v>
      </c>
      <c r="H65" s="105" t="s">
        <v>283</v>
      </c>
      <c r="I65" s="105" t="s">
        <v>165</v>
      </c>
      <c r="J65" s="105" t="s">
        <v>280</v>
      </c>
      <c r="K65" s="105" t="s">
        <v>281</v>
      </c>
      <c r="L65" s="105" t="s">
        <v>282</v>
      </c>
      <c r="M65" s="105" t="s">
        <v>283</v>
      </c>
      <c r="N65" s="105" t="s">
        <v>165</v>
      </c>
      <c r="O65" s="105" t="s">
        <v>280</v>
      </c>
      <c r="P65" s="105" t="s">
        <v>281</v>
      </c>
      <c r="Q65" s="105" t="s">
        <v>282</v>
      </c>
      <c r="R65" s="105" t="s">
        <v>283</v>
      </c>
      <c r="S65" s="105" t="s">
        <v>165</v>
      </c>
      <c r="T65" s="105" t="s">
        <v>280</v>
      </c>
      <c r="U65" s="105" t="s">
        <v>281</v>
      </c>
      <c r="V65" s="105" t="s">
        <v>282</v>
      </c>
      <c r="W65" s="105" t="s">
        <v>283</v>
      </c>
      <c r="X65" s="105" t="s">
        <v>165</v>
      </c>
      <c r="Y65" s="105" t="s">
        <v>280</v>
      </c>
      <c r="Z65" s="105" t="s">
        <v>281</v>
      </c>
      <c r="AA65" s="105" t="s">
        <v>282</v>
      </c>
      <c r="AB65" s="105" t="s">
        <v>283</v>
      </c>
      <c r="AC65" s="105" t="s">
        <v>165</v>
      </c>
      <c r="AD65" s="105" t="s">
        <v>280</v>
      </c>
      <c r="AE65" s="105" t="s">
        <v>281</v>
      </c>
      <c r="AF65" s="105" t="s">
        <v>282</v>
      </c>
      <c r="AG65" s="105" t="s">
        <v>283</v>
      </c>
      <c r="AH65" s="105" t="s">
        <v>165</v>
      </c>
      <c r="AI65" s="105" t="s">
        <v>280</v>
      </c>
      <c r="AJ65" s="105" t="s">
        <v>281</v>
      </c>
      <c r="AK65" s="105" t="s">
        <v>282</v>
      </c>
      <c r="AL65" s="105" t="s">
        <v>283</v>
      </c>
      <c r="AM65" s="105" t="s">
        <v>165</v>
      </c>
      <c r="AN65" s="105" t="s">
        <v>280</v>
      </c>
      <c r="AO65" s="105" t="s">
        <v>281</v>
      </c>
      <c r="AP65" s="105" t="s">
        <v>282</v>
      </c>
      <c r="AQ65" s="105" t="s">
        <v>283</v>
      </c>
      <c r="AR65" s="105" t="s">
        <v>165</v>
      </c>
      <c r="AS65" s="105" t="s">
        <v>280</v>
      </c>
      <c r="AT65" s="105" t="s">
        <v>281</v>
      </c>
      <c r="AU65" s="105" t="s">
        <v>282</v>
      </c>
      <c r="AV65" s="105" t="s">
        <v>283</v>
      </c>
      <c r="AW65" s="105" t="s">
        <v>165</v>
      </c>
      <c r="AX65" s="105" t="s">
        <v>280</v>
      </c>
      <c r="AY65" s="105" t="s">
        <v>281</v>
      </c>
      <c r="AZ65" s="105" t="s">
        <v>282</v>
      </c>
      <c r="BA65" s="105" t="s">
        <v>283</v>
      </c>
      <c r="BB65" s="105" t="s">
        <v>165</v>
      </c>
      <c r="BC65" s="105" t="s">
        <v>280</v>
      </c>
      <c r="BD65" s="105" t="s">
        <v>281</v>
      </c>
      <c r="BE65" s="105" t="s">
        <v>282</v>
      </c>
      <c r="BF65" s="105" t="s">
        <v>283</v>
      </c>
      <c r="BG65" s="105" t="s">
        <v>165</v>
      </c>
      <c r="BH65" s="105" t="s">
        <v>280</v>
      </c>
      <c r="BI65" s="105" t="s">
        <v>281</v>
      </c>
      <c r="BJ65" s="105" t="s">
        <v>282</v>
      </c>
      <c r="BK65" s="105" t="s">
        <v>283</v>
      </c>
      <c r="BL65" s="105" t="s">
        <v>165</v>
      </c>
      <c r="BM65" s="105" t="s">
        <v>280</v>
      </c>
      <c r="BN65" s="105" t="s">
        <v>281</v>
      </c>
      <c r="BO65" s="105" t="s">
        <v>282</v>
      </c>
      <c r="BP65" s="105" t="s">
        <v>283</v>
      </c>
      <c r="BQ65" s="106" t="s">
        <v>165</v>
      </c>
      <c r="BR65" s="105" t="s">
        <v>280</v>
      </c>
      <c r="BS65" s="105" t="s">
        <v>281</v>
      </c>
      <c r="BT65" s="105" t="s">
        <v>282</v>
      </c>
      <c r="BU65" s="105" t="s">
        <v>283</v>
      </c>
      <c r="BV65" s="106" t="s">
        <v>165</v>
      </c>
      <c r="BW65" s="105" t="s">
        <v>280</v>
      </c>
      <c r="BX65" s="105" t="s">
        <v>281</v>
      </c>
      <c r="BY65" s="105" t="s">
        <v>282</v>
      </c>
      <c r="BZ65" s="105" t="s">
        <v>283</v>
      </c>
      <c r="CA65" s="106" t="s">
        <v>165</v>
      </c>
      <c r="CB65" s="105" t="s">
        <v>280</v>
      </c>
      <c r="CC65" s="105" t="s">
        <v>281</v>
      </c>
      <c r="CD65" s="105" t="s">
        <v>282</v>
      </c>
      <c r="CE65" s="105" t="s">
        <v>283</v>
      </c>
      <c r="CF65" s="106" t="s">
        <v>165</v>
      </c>
      <c r="CG65" s="103"/>
      <c r="CH65" s="103"/>
      <c r="CZ65" s="387"/>
      <c r="DA65" s="387" t="str">
        <f t="array" ref="DA65">IF(CZ65="", "", IF((INDEX(E$7:CE$57, MATCH(CZ65, C$7:C$57, 0), ($CZ$25-1)*5 + 1) &amp; "") = (INDEX(E$5:CE$5, 1, ($CZ$25-1)*5 + 1) &amp; ""), 1, IF((INDEX(E$7:CE$57, MATCH(CZ65, C$7:C$57, 0), ($CZ$25-1)*5 + 2) &amp; "") = (INDEX(E$5:CE$5, 1, ($CZ$25-1)*5 + 1) &amp; ""), 2, IF((INDEX(E$7:CE$57, MATCH(CZ65, C$7:C$57, 0), ($CZ$25-1)*5 + 3) &amp; "") = (INDEX(E$5:CE$5, 1, ($CZ$25-1)*5 + 1) &amp; ""), 3, ""))))</f>
        <v/>
      </c>
      <c r="DO65" s="388" t="str">
        <f t="shared" si="36"/>
        <v/>
      </c>
      <c r="DP65" s="388"/>
      <c r="DQ65" s="388"/>
      <c r="DR65" s="388"/>
      <c r="EG65" s="388" t="str">
        <f t="shared" si="35"/>
        <v/>
      </c>
      <c r="EH65" s="388"/>
      <c r="EI65" s="388"/>
      <c r="EJ65" s="388"/>
    </row>
    <row r="66" spans="2:140" ht="27.95" customHeight="1" x14ac:dyDescent="0.4">
      <c r="B66" s="102"/>
      <c r="C66" s="103"/>
      <c r="D66" s="103"/>
      <c r="E66" s="107">
        <v>1</v>
      </c>
      <c r="F66" s="108">
        <f>(COUNTIF(BASE01[1],E66)*3)</f>
        <v>51</v>
      </c>
      <c r="G66" s="172">
        <f>(COUNTIF(BASE01[2],E66)*2)</f>
        <v>22</v>
      </c>
      <c r="H66" s="172">
        <f>COUNTIF(BASE01[22],E66)</f>
        <v>8</v>
      </c>
      <c r="I66" s="426">
        <f t="shared" ref="I66:I79" si="37">SUM(F66,G66,H66)</f>
        <v>81</v>
      </c>
      <c r="J66" s="173">
        <v>8</v>
      </c>
      <c r="K66" s="172">
        <f>(COUNTIF(BASE01[12],J66)*3)</f>
        <v>63</v>
      </c>
      <c r="L66" s="172">
        <f>(COUNTIF(BASE01[Columna2],J66)*2)</f>
        <v>24</v>
      </c>
      <c r="M66" s="172">
        <f>COUNTIF(BASE01[Columna23],J66)</f>
        <v>3</v>
      </c>
      <c r="N66" s="426">
        <f t="shared" ref="N66:N79" si="38">SUM(K66,L66,M66)</f>
        <v>90</v>
      </c>
      <c r="O66" s="173">
        <v>3</v>
      </c>
      <c r="P66" s="172">
        <f>(COUNTIF(BASE01[Columna4],O66)*3)</f>
        <v>45</v>
      </c>
      <c r="Q66" s="172">
        <f>(COUNTIF(BASE01[Columna5],O66)*2)</f>
        <v>24</v>
      </c>
      <c r="R66" s="172">
        <f>COUNTIF(BASE01[Columna53],O66)</f>
        <v>6</v>
      </c>
      <c r="S66" s="426">
        <f t="shared" ref="S66:S79" si="39">SUM(P66,Q66,R66)</f>
        <v>75</v>
      </c>
      <c r="T66" s="173">
        <v>6</v>
      </c>
      <c r="U66" s="172">
        <f>(COUNTIF(BASE01[Columna7],T66)*3)</f>
        <v>111</v>
      </c>
      <c r="V66" s="172">
        <f>(COUNTIF(BASE01[Columna8],T66)*2)</f>
        <v>0</v>
      </c>
      <c r="W66" s="172">
        <f>COUNTIF(BASE01[Columna83],T66)</f>
        <v>0</v>
      </c>
      <c r="X66" s="426">
        <f t="shared" ref="X66:X79" si="40">SUM(U66,V66,W66)</f>
        <v>111</v>
      </c>
      <c r="Y66" s="173">
        <v>5</v>
      </c>
      <c r="Z66" s="172">
        <f>(COUNTIF(BASE01[Columna10],Y66)*3)</f>
        <v>111</v>
      </c>
      <c r="AA66" s="172">
        <f>(COUNTIF(BASE01[Columna11],Y66)*2)</f>
        <v>2</v>
      </c>
      <c r="AB66" s="172">
        <f>COUNTIF(BASE01[Columna113],Y66)</f>
        <v>0</v>
      </c>
      <c r="AC66" s="426">
        <f t="shared" ref="AC66:AC79" si="41">SUM(Z66,AA66,AB66)</f>
        <v>113</v>
      </c>
      <c r="AD66" s="173">
        <v>7</v>
      </c>
      <c r="AE66" s="172">
        <f>(COUNTIF(BASE01[1RA],AD66)*3)</f>
        <v>51</v>
      </c>
      <c r="AF66" s="172">
        <f>(COUNTIF(BASE01[2DA],AD66)*2)</f>
        <v>24</v>
      </c>
      <c r="AG66" s="172">
        <f>COUNTIF(BASE01[2DA2],AD66)</f>
        <v>6</v>
      </c>
      <c r="AH66" s="426">
        <f t="shared" ref="AH66:AH79" si="42">SUM(AE66,AF66,AG66)</f>
        <v>81</v>
      </c>
      <c r="AI66" s="173">
        <v>4</v>
      </c>
      <c r="AJ66" s="172">
        <f>(COUNTIF(BASE01[Columna16],AI66)*3)</f>
        <v>36</v>
      </c>
      <c r="AK66" s="172">
        <f>(COUNTIF(BASE01[Columna17],AI66)*2)</f>
        <v>26</v>
      </c>
      <c r="AL66" s="172">
        <f>COUNTIF(BASE01[Columna173],AI66)</f>
        <v>8</v>
      </c>
      <c r="AM66" s="426">
        <f t="shared" ref="AM66:AM79" si="43">SUM(AJ66,AK66,AL66)</f>
        <v>70</v>
      </c>
      <c r="AN66" s="173">
        <v>8</v>
      </c>
      <c r="AO66" s="172">
        <f>(COUNTIF(BASE01[123],AN66)*3)</f>
        <v>66</v>
      </c>
      <c r="AP66" s="172">
        <f>(COUNTIF(BASE01[555],AN66)*2)</f>
        <v>14</v>
      </c>
      <c r="AQ66" s="172">
        <f>COUNTIF(BASE01[556],AN66)</f>
        <v>4</v>
      </c>
      <c r="AR66" s="426">
        <f t="shared" ref="AR66:AR79" si="44">SUM(AO66,AP66,AQ66)</f>
        <v>84</v>
      </c>
      <c r="AS66" s="173">
        <v>1</v>
      </c>
      <c r="AT66" s="172">
        <f>(COUNTIF(BASE01[AAAA],AS66)*3)</f>
        <v>57</v>
      </c>
      <c r="AU66" s="172">
        <f>(COUNTIF(BASE01[BBBB],AS66)*2)</f>
        <v>22</v>
      </c>
      <c r="AV66" s="172">
        <f>COUNTIF(BASE01[Columna13],AS66)</f>
        <v>4</v>
      </c>
      <c r="AW66" s="426">
        <f t="shared" ref="AW66:AW79" si="45">SUM(AT66,AU66,AV66)</f>
        <v>83</v>
      </c>
      <c r="AX66" s="173">
        <v>9</v>
      </c>
      <c r="AY66" s="172">
        <f>(COUNTIF(BASE01[Columna25],AX66)*3)</f>
        <v>57</v>
      </c>
      <c r="AZ66" s="172">
        <f>(COUNTIF(BASE01[Columna26],AX66)*2)</f>
        <v>26</v>
      </c>
      <c r="BA66" s="172">
        <f>COUNTIF(BASE01[Columna263],AX66)</f>
        <v>3</v>
      </c>
      <c r="BB66" s="426">
        <f t="shared" ref="BB66:BB79" si="46">SUM(AY66,AZ66,BA66)</f>
        <v>86</v>
      </c>
      <c r="BC66" s="173">
        <v>4</v>
      </c>
      <c r="BD66" s="172">
        <f>(COUNTIF(BASE01[Columna272],BC66)*3)</f>
        <v>78</v>
      </c>
      <c r="BE66" s="172">
        <f>(COUNTIF(BASE01[Columna273],BC66)*2)</f>
        <v>10</v>
      </c>
      <c r="BF66" s="172">
        <f>COUNTIF(BASE01[Columna2732],BC66)</f>
        <v>5</v>
      </c>
      <c r="BG66" s="426">
        <f t="shared" ref="BG66:BG79" si="47">SUM(BD66,BE66,BF66)</f>
        <v>93</v>
      </c>
      <c r="BH66" s="173">
        <v>5</v>
      </c>
      <c r="BI66" s="172">
        <f>(COUNTIF(BASE01[Columna276],BH66)*3)</f>
        <v>84</v>
      </c>
      <c r="BJ66" s="172">
        <f>(COUNTIF(BASE01[Columna277],BH66)*2)</f>
        <v>10</v>
      </c>
      <c r="BK66" s="172">
        <f>COUNTIF(BASE01[Columna2772],BH66)</f>
        <v>3</v>
      </c>
      <c r="BL66" s="426">
        <f t="shared" ref="BL66:BL79" si="48">SUM(BI66,BJ66,BK66)</f>
        <v>97</v>
      </c>
      <c r="BM66" s="173">
        <v>1</v>
      </c>
      <c r="BN66" s="172">
        <f>(COUNTIF(BASE01[Columna280],BM66)*3)</f>
        <v>45</v>
      </c>
      <c r="BO66" s="172">
        <f>(COUNTIF(BASE01[Columna281],BM66)*2)</f>
        <v>14</v>
      </c>
      <c r="BP66" s="172">
        <f>COUNTIF(BASE01[Columna2812],BM66)</f>
        <v>7</v>
      </c>
      <c r="BQ66" s="109">
        <f t="shared" ref="BQ66:BQ79" si="49">SUM(BN66,BO66,BP66)</f>
        <v>66</v>
      </c>
      <c r="BR66" s="167">
        <v>1</v>
      </c>
      <c r="BS66" s="168">
        <f>(COUNTIF(BASE01[Columna2802],BR66)*3)</f>
        <v>0</v>
      </c>
      <c r="BT66" s="168">
        <f>(COUNTIF(BASE01[Columna2813],BR66)*2)</f>
        <v>0</v>
      </c>
      <c r="BU66" s="168">
        <f>COUNTIF(BASE01[Columna28124],BR66)</f>
        <v>0</v>
      </c>
      <c r="BV66" s="169">
        <f t="shared" ref="BV66:BV79" si="50">SUM(BS66,BT66,BU66)</f>
        <v>0</v>
      </c>
      <c r="BW66" s="170">
        <v>1</v>
      </c>
      <c r="BX66" s="168">
        <f>(COUNTIF(BASE01[Columna2803],BW66)*3)</f>
        <v>0</v>
      </c>
      <c r="BY66" s="168">
        <f>(COUNTIF(BASE01[Columna2814],BW66)*2)</f>
        <v>0</v>
      </c>
      <c r="BZ66" s="168">
        <f>COUNTIF(BASE01[Columna28125],BW66)</f>
        <v>0</v>
      </c>
      <c r="CA66" s="169">
        <f t="shared" ref="CA66:CA79" si="51">SUM(BX66,BY66,BZ66)</f>
        <v>0</v>
      </c>
      <c r="CB66" s="170">
        <v>1</v>
      </c>
      <c r="CC66" s="168">
        <f>(COUNTIF(BASE01[Columna2804],CB66)*3)</f>
        <v>0</v>
      </c>
      <c r="CD66" s="168">
        <f>(COUNTIF(BASE01[Columna2815],CB66)*2)</f>
        <v>0</v>
      </c>
      <c r="CE66" s="168">
        <f>COUNTIF(BASE01[Columna28126],CB66)</f>
        <v>0</v>
      </c>
      <c r="CF66" s="169">
        <f t="shared" ref="CF66:CF79" si="52">SUM(CC66,CD66,CE66)</f>
        <v>0</v>
      </c>
      <c r="CG66" s="103"/>
      <c r="CH66" s="103"/>
      <c r="DO66" s="388" t="str">
        <f t="shared" si="36"/>
        <v/>
      </c>
      <c r="DP66" s="388"/>
      <c r="DQ66" s="388"/>
      <c r="DR66" s="388"/>
      <c r="EG66" s="388" t="str">
        <f t="shared" si="35"/>
        <v/>
      </c>
      <c r="EH66" s="388"/>
      <c r="EI66" s="388"/>
      <c r="EJ66" s="388"/>
    </row>
    <row r="67" spans="2:140" ht="27.95" customHeight="1" x14ac:dyDescent="0.4">
      <c r="B67" s="102"/>
      <c r="C67" s="103"/>
      <c r="D67" s="103"/>
      <c r="E67" s="107">
        <v>6</v>
      </c>
      <c r="F67" s="108">
        <f>(COUNTIF(BASE01[1],E67)*3)</f>
        <v>30</v>
      </c>
      <c r="G67" s="172">
        <f>(COUNTIF(BASE01[2],E67)*2)</f>
        <v>24</v>
      </c>
      <c r="H67" s="172">
        <f>COUNTIF(BASE01[22],E67)</f>
        <v>11</v>
      </c>
      <c r="I67" s="426">
        <f t="shared" si="37"/>
        <v>65</v>
      </c>
      <c r="J67" s="173">
        <v>3</v>
      </c>
      <c r="K67" s="172">
        <f>(COUNTIF(BASE01[12],J67)*3)</f>
        <v>39</v>
      </c>
      <c r="L67" s="172">
        <f>(COUNTIF(BASE01[Columna2],J67)*2)</f>
        <v>36</v>
      </c>
      <c r="M67" s="172">
        <f>COUNTIF(BASE01[Columna23],J67)</f>
        <v>4</v>
      </c>
      <c r="N67" s="426">
        <f t="shared" si="38"/>
        <v>79</v>
      </c>
      <c r="O67" s="173">
        <v>8</v>
      </c>
      <c r="P67" s="172">
        <f>(COUNTIF(BASE01[Columna4],O67)*3)</f>
        <v>21</v>
      </c>
      <c r="Q67" s="172">
        <f>(COUNTIF(BASE01[Columna5],O67)*2)</f>
        <v>22</v>
      </c>
      <c r="R67" s="172">
        <f>COUNTIF(BASE01[Columna53],O67)</f>
        <v>8</v>
      </c>
      <c r="S67" s="426">
        <f t="shared" si="39"/>
        <v>51</v>
      </c>
      <c r="T67" s="173">
        <v>8</v>
      </c>
      <c r="U67" s="172">
        <f>(COUNTIF(BASE01[Columna7],T67)*3)</f>
        <v>0</v>
      </c>
      <c r="V67" s="172">
        <f>(COUNTIF(BASE01[Columna8],T67)*2)</f>
        <v>28</v>
      </c>
      <c r="W67" s="172">
        <f>COUNTIF(BASE01[Columna83],T67)</f>
        <v>8</v>
      </c>
      <c r="X67" s="426">
        <f t="shared" si="40"/>
        <v>36</v>
      </c>
      <c r="Y67" s="173">
        <v>3</v>
      </c>
      <c r="Z67" s="172">
        <f>(COUNTIF(BASE01[Columna10],Y67)*3)</f>
        <v>0</v>
      </c>
      <c r="AA67" s="172">
        <f>(COUNTIF(BASE01[Columna11],Y67)*2)</f>
        <v>14</v>
      </c>
      <c r="AB67" s="172">
        <f>COUNTIF(BASE01[Columna113],Y67)</f>
        <v>5</v>
      </c>
      <c r="AC67" s="426">
        <f t="shared" si="41"/>
        <v>19</v>
      </c>
      <c r="AD67" s="173">
        <v>2</v>
      </c>
      <c r="AE67" s="172">
        <f>(COUNTIF(BASE01[1RA],AD67)*3)</f>
        <v>42</v>
      </c>
      <c r="AF67" s="172">
        <f>(COUNTIF(BASE01[2DA],AD67)*2)</f>
        <v>22</v>
      </c>
      <c r="AG67" s="172">
        <f>COUNTIF(BASE01[2DA2],AD67)</f>
        <v>11</v>
      </c>
      <c r="AH67" s="426">
        <f t="shared" si="42"/>
        <v>75</v>
      </c>
      <c r="AI67" s="173">
        <v>7</v>
      </c>
      <c r="AJ67" s="172">
        <f>(COUNTIF(BASE01[Columna16],AI67)*3)</f>
        <v>36</v>
      </c>
      <c r="AK67" s="172">
        <f>(COUNTIF(BASE01[Columna17],AI67)*2)</f>
        <v>22</v>
      </c>
      <c r="AL67" s="172">
        <f>COUNTIF(BASE01[Columna173],AI67)</f>
        <v>8</v>
      </c>
      <c r="AM67" s="426">
        <f t="shared" si="43"/>
        <v>66</v>
      </c>
      <c r="AN67" s="173">
        <v>9</v>
      </c>
      <c r="AO67" s="172">
        <f>(COUNTIF(BASE01[123],AN67)*3)</f>
        <v>24</v>
      </c>
      <c r="AP67" s="172">
        <f>(COUNTIF(BASE01[555],AN67)*2)</f>
        <v>46</v>
      </c>
      <c r="AQ67" s="172">
        <f>COUNTIF(BASE01[556],AN67)</f>
        <v>4</v>
      </c>
      <c r="AR67" s="426">
        <f t="shared" si="44"/>
        <v>74</v>
      </c>
      <c r="AS67" s="173">
        <v>7</v>
      </c>
      <c r="AT67" s="172">
        <f>(COUNTIF(BASE01[AAAA],AS67)*3)</f>
        <v>39</v>
      </c>
      <c r="AU67" s="172">
        <f>(COUNTIF(BASE01[BBBB],AS67)*2)</f>
        <v>28</v>
      </c>
      <c r="AV67" s="172">
        <f>COUNTIF(BASE01[Columna13],AS67)</f>
        <v>5</v>
      </c>
      <c r="AW67" s="426">
        <f t="shared" si="45"/>
        <v>72</v>
      </c>
      <c r="AX67" s="173">
        <v>1</v>
      </c>
      <c r="AY67" s="172">
        <f>(COUNTIF(BASE01[Columna25],AX67)*3)</f>
        <v>45</v>
      </c>
      <c r="AZ67" s="172">
        <f>(COUNTIF(BASE01[Columna26],AX67)*2)</f>
        <v>26</v>
      </c>
      <c r="BA67" s="172">
        <f>COUNTIF(BASE01[Columna263],AX67)</f>
        <v>9</v>
      </c>
      <c r="BB67" s="426">
        <f t="shared" si="46"/>
        <v>80</v>
      </c>
      <c r="BC67" s="173">
        <v>2</v>
      </c>
      <c r="BD67" s="172">
        <f>(COUNTIF(BASE01[Columna272],BC67)*3)</f>
        <v>18</v>
      </c>
      <c r="BE67" s="172">
        <f>(COUNTIF(BASE01[Columna273],BC67)*2)</f>
        <v>28</v>
      </c>
      <c r="BF67" s="172">
        <f>COUNTIF(BASE01[Columna2732],BC67)</f>
        <v>7</v>
      </c>
      <c r="BG67" s="426">
        <f t="shared" si="47"/>
        <v>53</v>
      </c>
      <c r="BH67" s="173">
        <v>1</v>
      </c>
      <c r="BI67" s="172">
        <f>(COUNTIF(BASE01[Columna276],BH67)*3)</f>
        <v>18</v>
      </c>
      <c r="BJ67" s="172">
        <f>(COUNTIF(BASE01[Columna277],BH67)*2)</f>
        <v>32</v>
      </c>
      <c r="BK67" s="172">
        <f>COUNTIF(BASE01[Columna2772],BH67)</f>
        <v>10</v>
      </c>
      <c r="BL67" s="426">
        <f t="shared" si="48"/>
        <v>60</v>
      </c>
      <c r="BM67" s="173">
        <v>3</v>
      </c>
      <c r="BN67" s="172">
        <f>(COUNTIF(BASE01[Columna280],BM67)*3)</f>
        <v>30</v>
      </c>
      <c r="BO67" s="172">
        <f>(COUNTIF(BASE01[Columna281],BM67)*2)</f>
        <v>24</v>
      </c>
      <c r="BP67" s="172">
        <f>COUNTIF(BASE01[Columna2812],BM67)</f>
        <v>4</v>
      </c>
      <c r="BQ67" s="109">
        <f t="shared" si="49"/>
        <v>58</v>
      </c>
      <c r="BR67" s="171">
        <v>3</v>
      </c>
      <c r="BS67" s="172">
        <f>(COUNTIF(BASE01[Columna2802],BR67)*3)</f>
        <v>0</v>
      </c>
      <c r="BT67" s="172">
        <f>(COUNTIF(BASE01[Columna2813],BR67)*2)</f>
        <v>0</v>
      </c>
      <c r="BU67" s="172">
        <f>COUNTIF(BASE01[Columna28124],BR67)</f>
        <v>0</v>
      </c>
      <c r="BV67" s="109">
        <f t="shared" si="50"/>
        <v>0</v>
      </c>
      <c r="BW67" s="173">
        <v>3</v>
      </c>
      <c r="BX67" s="172">
        <f>(COUNTIF(BASE01[Columna2803],BW67)*3)</f>
        <v>0</v>
      </c>
      <c r="BY67" s="172">
        <f>(COUNTIF(BASE01[Columna2814],BW67)*2)</f>
        <v>0</v>
      </c>
      <c r="BZ67" s="172">
        <f>COUNTIF(BASE01[Columna28125],BW67)</f>
        <v>0</v>
      </c>
      <c r="CA67" s="109">
        <f t="shared" si="51"/>
        <v>0</v>
      </c>
      <c r="CB67" s="173">
        <v>3</v>
      </c>
      <c r="CC67" s="172">
        <f>(COUNTIF(BASE01[Columna2804],CB67)*3)</f>
        <v>0</v>
      </c>
      <c r="CD67" s="172">
        <f>(COUNTIF(BASE01[Columna2815],CB67)*2)</f>
        <v>0</v>
      </c>
      <c r="CE67" s="172">
        <f>COUNTIF(BASE01[Columna28126],CB67)</f>
        <v>0</v>
      </c>
      <c r="CF67" s="109">
        <f t="shared" si="52"/>
        <v>0</v>
      </c>
      <c r="CG67" s="103"/>
      <c r="CH67" s="103"/>
      <c r="DO67" s="388" t="str">
        <f t="shared" si="36"/>
        <v/>
      </c>
      <c r="DP67" s="388"/>
      <c r="DQ67" s="388"/>
      <c r="DR67" s="388"/>
      <c r="EG67" s="388" t="str">
        <f t="shared" si="35"/>
        <v/>
      </c>
      <c r="EH67" s="388"/>
      <c r="EI67" s="388"/>
      <c r="EJ67" s="388"/>
    </row>
    <row r="68" spans="2:140" ht="27.95" customHeight="1" x14ac:dyDescent="0.4">
      <c r="B68" s="102"/>
      <c r="C68" s="103"/>
      <c r="D68" s="103"/>
      <c r="E68" s="107">
        <v>8</v>
      </c>
      <c r="F68" s="108">
        <f>(COUNTIF(BASE01[1],E68)*3)</f>
        <v>30</v>
      </c>
      <c r="G68" s="172">
        <f>(COUNTIF(BASE01[2],E68)*2)</f>
        <v>26</v>
      </c>
      <c r="H68" s="172">
        <f>COUNTIF(BASE01[22],E68)</f>
        <v>11</v>
      </c>
      <c r="I68" s="426">
        <f t="shared" si="37"/>
        <v>67</v>
      </c>
      <c r="J68" s="173">
        <v>5</v>
      </c>
      <c r="K68" s="172">
        <f>(COUNTIF(BASE01[12],J68)*3)</f>
        <v>3</v>
      </c>
      <c r="L68" s="172">
        <f>(COUNTIF(BASE01[Columna2],J68)*2)</f>
        <v>4</v>
      </c>
      <c r="M68" s="172">
        <f>COUNTIF(BASE01[Columna23],J68)</f>
        <v>14</v>
      </c>
      <c r="N68" s="426">
        <f t="shared" si="38"/>
        <v>21</v>
      </c>
      <c r="O68" s="173">
        <v>6</v>
      </c>
      <c r="P68" s="172">
        <f>(COUNTIF(BASE01[Columna4],O68)*3)</f>
        <v>21</v>
      </c>
      <c r="Q68" s="172">
        <f>(COUNTIF(BASE01[Columna5],O68)*2)</f>
        <v>12</v>
      </c>
      <c r="R68" s="172">
        <f>COUNTIF(BASE01[Columna53],O68)</f>
        <v>10</v>
      </c>
      <c r="S68" s="426">
        <f t="shared" si="39"/>
        <v>43</v>
      </c>
      <c r="T68" s="173">
        <v>4</v>
      </c>
      <c r="U68" s="172">
        <f>(COUNTIF(BASE01[Columna7],T68)*3)</f>
        <v>3</v>
      </c>
      <c r="V68" s="172">
        <f>(COUNTIF(BASE01[Columna8],T68)*2)</f>
        <v>6</v>
      </c>
      <c r="W68" s="172">
        <f>COUNTIF(BASE01[Columna83],T68)</f>
        <v>9</v>
      </c>
      <c r="X68" s="426">
        <f t="shared" si="40"/>
        <v>18</v>
      </c>
      <c r="Y68" s="173">
        <v>10</v>
      </c>
      <c r="Z68" s="172">
        <f>(COUNTIF(BASE01[Columna10],Y68)*3)</f>
        <v>0</v>
      </c>
      <c r="AA68" s="172">
        <f>(COUNTIF(BASE01[Columna11],Y68)*2)</f>
        <v>12</v>
      </c>
      <c r="AB68" s="172">
        <f>COUNTIF(BASE01[Columna113],Y68)</f>
        <v>7</v>
      </c>
      <c r="AC68" s="426">
        <f t="shared" si="41"/>
        <v>19</v>
      </c>
      <c r="AD68" s="173">
        <v>5</v>
      </c>
      <c r="AE68" s="172">
        <f>(COUNTIF(BASE01[1RA],AD68)*3)</f>
        <v>21</v>
      </c>
      <c r="AF68" s="172">
        <f>(COUNTIF(BASE01[2DA],AD68)*2)</f>
        <v>24</v>
      </c>
      <c r="AG68" s="172">
        <f>COUNTIF(BASE01[2DA2],AD68)</f>
        <v>14</v>
      </c>
      <c r="AH68" s="426">
        <f t="shared" si="42"/>
        <v>59</v>
      </c>
      <c r="AI68" s="173">
        <v>3</v>
      </c>
      <c r="AJ68" s="172">
        <f>(COUNTIF(BASE01[Columna16],AI68)*3)</f>
        <v>36</v>
      </c>
      <c r="AK68" s="172">
        <f>(COUNTIF(BASE01[Columna17],AI68)*2)</f>
        <v>18</v>
      </c>
      <c r="AL68" s="172">
        <f>COUNTIF(BASE01[Columna173],AI68)</f>
        <v>14</v>
      </c>
      <c r="AM68" s="426">
        <f t="shared" si="43"/>
        <v>68</v>
      </c>
      <c r="AN68" s="173">
        <v>11</v>
      </c>
      <c r="AO68" s="172">
        <f>(COUNTIF(BASE01[123],AN68)*3)</f>
        <v>18</v>
      </c>
      <c r="AP68" s="172">
        <f>(COUNTIF(BASE01[555],AN68)*2)</f>
        <v>6</v>
      </c>
      <c r="AQ68" s="172">
        <f>COUNTIF(BASE01[556],AN68)</f>
        <v>8</v>
      </c>
      <c r="AR68" s="426">
        <f t="shared" si="44"/>
        <v>32</v>
      </c>
      <c r="AS68" s="173">
        <v>2</v>
      </c>
      <c r="AT68" s="172">
        <f>(COUNTIF(BASE01[AAAA],AS68)*3)</f>
        <v>3</v>
      </c>
      <c r="AU68" s="172">
        <f>(COUNTIF(BASE01[BBBB],AS68)*2)</f>
        <v>18</v>
      </c>
      <c r="AV68" s="172">
        <f>COUNTIF(BASE01[Columna13],AS68)</f>
        <v>9</v>
      </c>
      <c r="AW68" s="426">
        <f t="shared" si="45"/>
        <v>30</v>
      </c>
      <c r="AX68" s="173">
        <v>5</v>
      </c>
      <c r="AY68" s="172">
        <f>(COUNTIF(BASE01[Columna25],AX68)*3)</f>
        <v>3</v>
      </c>
      <c r="AZ68" s="172">
        <f>(COUNTIF(BASE01[Columna26],AX68)*2)</f>
        <v>0</v>
      </c>
      <c r="BA68" s="172">
        <f>COUNTIF(BASE01[Columna263],AX68)</f>
        <v>0</v>
      </c>
      <c r="BB68" s="426">
        <f t="shared" si="46"/>
        <v>3</v>
      </c>
      <c r="BC68" s="173">
        <v>3</v>
      </c>
      <c r="BD68" s="172">
        <f>(COUNTIF(BASE01[Columna272],BC68)*3)</f>
        <v>6</v>
      </c>
      <c r="BE68" s="172">
        <f>(COUNTIF(BASE01[Columna273],BC68)*2)</f>
        <v>16</v>
      </c>
      <c r="BF68" s="172">
        <f>COUNTIF(BASE01[Columna2732],BC68)</f>
        <v>7</v>
      </c>
      <c r="BG68" s="426">
        <f t="shared" si="47"/>
        <v>29</v>
      </c>
      <c r="BH68" s="173">
        <v>2</v>
      </c>
      <c r="BI68" s="172">
        <f>(COUNTIF(BASE01[Columna276],BH68)*3)</f>
        <v>9</v>
      </c>
      <c r="BJ68" s="172">
        <f>(COUNTIF(BASE01[Columna277],BH68)*2)</f>
        <v>12</v>
      </c>
      <c r="BK68" s="172">
        <f>COUNTIF(BASE01[Columna2772],BH68)</f>
        <v>6</v>
      </c>
      <c r="BL68" s="426">
        <f t="shared" si="48"/>
        <v>27</v>
      </c>
      <c r="BM68" s="173">
        <v>12</v>
      </c>
      <c r="BN68" s="172">
        <f>(COUNTIF(BASE01[Columna280],BM68)*3)</f>
        <v>18</v>
      </c>
      <c r="BO68" s="172">
        <f>(COUNTIF(BASE01[Columna281],BM68)*2)</f>
        <v>14</v>
      </c>
      <c r="BP68" s="172">
        <f>COUNTIF(BASE01[Columna2812],BM68)</f>
        <v>10</v>
      </c>
      <c r="BQ68" s="109">
        <f t="shared" si="49"/>
        <v>42</v>
      </c>
      <c r="BR68" s="171">
        <v>12</v>
      </c>
      <c r="BS68" s="172">
        <f>(COUNTIF(BASE01[Columna2802],BR68)*3)</f>
        <v>0</v>
      </c>
      <c r="BT68" s="172">
        <f>(COUNTIF(BASE01[Columna2813],BR68)*2)</f>
        <v>0</v>
      </c>
      <c r="BU68" s="172">
        <f>COUNTIF(BASE01[Columna28124],BR68)</f>
        <v>0</v>
      </c>
      <c r="BV68" s="109">
        <f t="shared" si="50"/>
        <v>0</v>
      </c>
      <c r="BW68" s="173">
        <v>12</v>
      </c>
      <c r="BX68" s="172">
        <f>(COUNTIF(BASE01[Columna2803],BW68)*3)</f>
        <v>0</v>
      </c>
      <c r="BY68" s="172">
        <f>(COUNTIF(BASE01[Columna2814],BW68)*2)</f>
        <v>0</v>
      </c>
      <c r="BZ68" s="172">
        <f>COUNTIF(BASE01[Columna28125],BW68)</f>
        <v>0</v>
      </c>
      <c r="CA68" s="109">
        <f t="shared" si="51"/>
        <v>0</v>
      </c>
      <c r="CB68" s="173">
        <v>12</v>
      </c>
      <c r="CC68" s="172">
        <f>(COUNTIF(BASE01[Columna2804],CB68)*3)</f>
        <v>0</v>
      </c>
      <c r="CD68" s="172">
        <f>(COUNTIF(BASE01[Columna2815],CB68)*2)</f>
        <v>0</v>
      </c>
      <c r="CE68" s="172">
        <f>COUNTIF(BASE01[Columna28126],CB68)</f>
        <v>0</v>
      </c>
      <c r="CF68" s="109">
        <f t="shared" si="52"/>
        <v>0</v>
      </c>
      <c r="CG68" s="103"/>
      <c r="CH68" s="103"/>
      <c r="DO68" s="388" t="str">
        <f t="shared" si="36"/>
        <v/>
      </c>
      <c r="DP68" s="388"/>
      <c r="DQ68" s="388"/>
      <c r="DR68" s="388"/>
      <c r="EG68" s="388" t="str">
        <f t="shared" si="35"/>
        <v/>
      </c>
      <c r="EH68" s="388"/>
      <c r="EI68" s="388"/>
      <c r="EJ68" s="388"/>
    </row>
    <row r="69" spans="2:140" ht="27.95" customHeight="1" x14ac:dyDescent="0.4">
      <c r="B69" s="102"/>
      <c r="C69" s="103"/>
      <c r="D69" s="103"/>
      <c r="E69" s="107">
        <v>2</v>
      </c>
      <c r="F69" s="108">
        <f>(COUNTIF(BASE01[1],E69)*3)</f>
        <v>3</v>
      </c>
      <c r="G69" s="172">
        <f>(COUNTIF(BASE01[2],E69)*2)</f>
        <v>4</v>
      </c>
      <c r="H69" s="172">
        <f>COUNTIF(BASE01[22],E69)</f>
        <v>6</v>
      </c>
      <c r="I69" s="426">
        <f t="shared" si="37"/>
        <v>13</v>
      </c>
      <c r="J69" s="173">
        <v>1</v>
      </c>
      <c r="K69" s="172">
        <f>(COUNTIF(BASE01[12],J69)*3)</f>
        <v>0</v>
      </c>
      <c r="L69" s="172">
        <f>(COUNTIF(BASE01[Columna2],J69)*2)</f>
        <v>8</v>
      </c>
      <c r="M69" s="172">
        <f>COUNTIF(BASE01[Columna23],J69)</f>
        <v>9</v>
      </c>
      <c r="N69" s="426">
        <f t="shared" si="38"/>
        <v>17</v>
      </c>
      <c r="O69" s="173">
        <v>2</v>
      </c>
      <c r="P69" s="172">
        <f>(COUNTIF(BASE01[Columna4],O69)*3)</f>
        <v>21</v>
      </c>
      <c r="Q69" s="172">
        <f>(COUNTIF(BASE01[Columna5],O69)*2)</f>
        <v>8</v>
      </c>
      <c r="R69" s="172">
        <f>COUNTIF(BASE01[Columna53],O69)</f>
        <v>6</v>
      </c>
      <c r="S69" s="426">
        <f t="shared" si="39"/>
        <v>35</v>
      </c>
      <c r="T69" s="173">
        <v>9</v>
      </c>
      <c r="U69" s="172">
        <f>(COUNTIF(BASE01[Columna7],T69)*3)</f>
        <v>0</v>
      </c>
      <c r="V69" s="172">
        <f>(COUNTIF(BASE01[Columna8],T69)*2)</f>
        <v>10</v>
      </c>
      <c r="W69" s="172">
        <f>COUNTIF(BASE01[Columna83],T69)</f>
        <v>3</v>
      </c>
      <c r="X69" s="426">
        <f t="shared" si="40"/>
        <v>13</v>
      </c>
      <c r="Y69" s="173">
        <v>1</v>
      </c>
      <c r="Z69" s="172">
        <f>(COUNTIF(BASE01[Columna10],Y69)*3)</f>
        <v>0</v>
      </c>
      <c r="AA69" s="172">
        <f>(COUNTIF(BASE01[Columna11],Y69)*2)</f>
        <v>4</v>
      </c>
      <c r="AB69" s="172">
        <f>COUNTIF(BASE01[Columna113],Y69)</f>
        <v>2</v>
      </c>
      <c r="AC69" s="426">
        <f t="shared" si="41"/>
        <v>6</v>
      </c>
      <c r="AD69" s="173">
        <v>3</v>
      </c>
      <c r="AE69" s="172">
        <f>(COUNTIF(BASE01[1RA],AD69)*3)</f>
        <v>0</v>
      </c>
      <c r="AF69" s="172">
        <f>(COUNTIF(BASE01[2DA],AD69)*2)</f>
        <v>2</v>
      </c>
      <c r="AG69" s="172">
        <f>COUNTIF(BASE01[2DA2],AD69)</f>
        <v>3</v>
      </c>
      <c r="AH69" s="426">
        <f t="shared" si="42"/>
        <v>5</v>
      </c>
      <c r="AI69" s="173">
        <v>1</v>
      </c>
      <c r="AJ69" s="172">
        <f>(COUNTIF(BASE01[Columna16],AI69)*3)</f>
        <v>3</v>
      </c>
      <c r="AK69" s="172">
        <f>(COUNTIF(BASE01[Columna17],AI69)*2)</f>
        <v>6</v>
      </c>
      <c r="AL69" s="172">
        <f>COUNTIF(BASE01[Columna173],AI69)</f>
        <v>3</v>
      </c>
      <c r="AM69" s="426">
        <f t="shared" si="43"/>
        <v>12</v>
      </c>
      <c r="AN69" s="173">
        <v>1</v>
      </c>
      <c r="AO69" s="172">
        <f>(COUNTIF(BASE01[123],AN69)*3)</f>
        <v>0</v>
      </c>
      <c r="AP69" s="172">
        <f>(COUNTIF(BASE01[555],AN69)*2)</f>
        <v>2</v>
      </c>
      <c r="AQ69" s="172">
        <f>COUNTIF(BASE01[556],AN69)</f>
        <v>5</v>
      </c>
      <c r="AR69" s="426">
        <f t="shared" si="44"/>
        <v>7</v>
      </c>
      <c r="AS69" s="173">
        <v>3</v>
      </c>
      <c r="AT69" s="172">
        <f>(COUNTIF(BASE01[AAAA],AS69)*3)</f>
        <v>3</v>
      </c>
      <c r="AU69" s="172">
        <f>(COUNTIF(BASE01[BBBB],AS69)*2)</f>
        <v>2</v>
      </c>
      <c r="AV69" s="172">
        <f>COUNTIF(BASE01[Columna13],AS69)</f>
        <v>8</v>
      </c>
      <c r="AW69" s="426">
        <f t="shared" si="45"/>
        <v>13</v>
      </c>
      <c r="AX69" s="173">
        <v>3</v>
      </c>
      <c r="AY69" s="172">
        <f>(COUNTIF(BASE01[Columna25],AX69)*3)</f>
        <v>6</v>
      </c>
      <c r="AZ69" s="172">
        <f>(COUNTIF(BASE01[Columna26],AX69)*2)</f>
        <v>10</v>
      </c>
      <c r="BA69" s="172">
        <f>COUNTIF(BASE01[Columna263],AX69)</f>
        <v>1</v>
      </c>
      <c r="BB69" s="426">
        <f t="shared" si="46"/>
        <v>17</v>
      </c>
      <c r="BC69" s="173">
        <v>8</v>
      </c>
      <c r="BD69" s="172">
        <f>(COUNTIF(BASE01[Columna272],BC69)*3)</f>
        <v>3</v>
      </c>
      <c r="BE69" s="172">
        <f>(COUNTIF(BASE01[Columna273],BC69)*2)</f>
        <v>6</v>
      </c>
      <c r="BF69" s="172">
        <f>COUNTIF(BASE01[Columna2732],BC69)</f>
        <v>5</v>
      </c>
      <c r="BG69" s="426">
        <f t="shared" si="47"/>
        <v>14</v>
      </c>
      <c r="BH69" s="173">
        <v>6</v>
      </c>
      <c r="BI69" s="172">
        <f>(COUNTIF(BASE01[Columna276],BH69)*3)</f>
        <v>3</v>
      </c>
      <c r="BJ69" s="172">
        <f>(COUNTIF(BASE01[Columna277],BH69)*2)</f>
        <v>14</v>
      </c>
      <c r="BK69" s="172">
        <f>COUNTIF(BASE01[Columna2772],BH69)</f>
        <v>12</v>
      </c>
      <c r="BL69" s="426">
        <f t="shared" si="48"/>
        <v>29</v>
      </c>
      <c r="BM69" s="173">
        <v>2</v>
      </c>
      <c r="BN69" s="172">
        <f>(COUNTIF(BASE01[Columna280],BM69)*3)</f>
        <v>3</v>
      </c>
      <c r="BO69" s="172">
        <f>(COUNTIF(BASE01[Columna281],BM69)*2)</f>
        <v>14</v>
      </c>
      <c r="BP69" s="172">
        <f>COUNTIF(BASE01[Columna2812],BM69)</f>
        <v>7</v>
      </c>
      <c r="BQ69" s="109">
        <f t="shared" si="49"/>
        <v>24</v>
      </c>
      <c r="BR69" s="171">
        <v>2</v>
      </c>
      <c r="BS69" s="172">
        <f>(COUNTIF(BASE01[Columna2802],BR69)*3)</f>
        <v>0</v>
      </c>
      <c r="BT69" s="172">
        <f>(COUNTIF(BASE01[Columna2813],BR69)*2)</f>
        <v>0</v>
      </c>
      <c r="BU69" s="172">
        <f>COUNTIF(BASE01[Columna28124],BR69)</f>
        <v>0</v>
      </c>
      <c r="BV69" s="109">
        <f t="shared" si="50"/>
        <v>0</v>
      </c>
      <c r="BW69" s="173">
        <v>2</v>
      </c>
      <c r="BX69" s="172">
        <f>(COUNTIF(BASE01[Columna2803],BW69)*3)</f>
        <v>0</v>
      </c>
      <c r="BY69" s="172">
        <f>(COUNTIF(BASE01[Columna2814],BW69)*2)</f>
        <v>0</v>
      </c>
      <c r="BZ69" s="172">
        <f>COUNTIF(BASE01[Columna28125],BW69)</f>
        <v>0</v>
      </c>
      <c r="CA69" s="109">
        <f t="shared" si="51"/>
        <v>0</v>
      </c>
      <c r="CB69" s="173">
        <v>2</v>
      </c>
      <c r="CC69" s="172">
        <f>(COUNTIF(BASE01[Columna2804],CB69)*3)</f>
        <v>0</v>
      </c>
      <c r="CD69" s="172">
        <f>(COUNTIF(BASE01[Columna2815],CB69)*2)</f>
        <v>0</v>
      </c>
      <c r="CE69" s="172">
        <f>COUNTIF(BASE01[Columna28126],CB69)</f>
        <v>0</v>
      </c>
      <c r="CF69" s="109">
        <f t="shared" si="52"/>
        <v>0</v>
      </c>
      <c r="CG69" s="103"/>
      <c r="CH69" s="103"/>
      <c r="DO69" s="388" t="str">
        <f t="shared" si="36"/>
        <v/>
      </c>
      <c r="DP69" s="388"/>
      <c r="DQ69" s="388"/>
      <c r="DR69" s="388"/>
      <c r="EG69" s="388" t="str">
        <f t="shared" si="35"/>
        <v/>
      </c>
      <c r="EH69" s="388"/>
      <c r="EI69" s="388"/>
      <c r="EJ69" s="388"/>
    </row>
    <row r="70" spans="2:140" ht="27.95" customHeight="1" x14ac:dyDescent="0.4">
      <c r="B70" s="102"/>
      <c r="C70" s="103"/>
      <c r="D70" s="103"/>
      <c r="E70" s="107">
        <v>4</v>
      </c>
      <c r="F70" s="108">
        <f>(COUNTIF(BASE01[1],E70)*3)</f>
        <v>0</v>
      </c>
      <c r="G70" s="172">
        <f>(COUNTIF(BASE01[2],E70)*2)</f>
        <v>0</v>
      </c>
      <c r="H70" s="172">
        <f>COUNTIF(BASE01[22],E70)</f>
        <v>2</v>
      </c>
      <c r="I70" s="426">
        <f t="shared" si="37"/>
        <v>2</v>
      </c>
      <c r="J70" s="173">
        <v>7</v>
      </c>
      <c r="K70" s="172">
        <f>(COUNTIF(BASE01[12],J70)*3)</f>
        <v>3</v>
      </c>
      <c r="L70" s="172">
        <f>(COUNTIF(BASE01[Columna2],J70)*2)</f>
        <v>2</v>
      </c>
      <c r="M70" s="172">
        <f>COUNTIF(BASE01[Columna23],J70)</f>
        <v>3</v>
      </c>
      <c r="N70" s="426">
        <f t="shared" si="38"/>
        <v>8</v>
      </c>
      <c r="O70" s="173">
        <v>5</v>
      </c>
      <c r="P70" s="172">
        <f>(COUNTIF(BASE01[Columna4],O70)*3)</f>
        <v>3</v>
      </c>
      <c r="Q70" s="172">
        <f>(COUNTIF(BASE01[Columna5],O70)*2)</f>
        <v>2</v>
      </c>
      <c r="R70" s="172">
        <f>COUNTIF(BASE01[Columna53],O70)</f>
        <v>4</v>
      </c>
      <c r="S70" s="426">
        <f t="shared" si="39"/>
        <v>9</v>
      </c>
      <c r="T70" s="173">
        <v>1</v>
      </c>
      <c r="U70" s="172">
        <f>(COUNTIF(BASE01[Columna7],T70)*3)</f>
        <v>0</v>
      </c>
      <c r="V70" s="172">
        <f>(COUNTIF(BASE01[Columna8],T70)*2)</f>
        <v>6</v>
      </c>
      <c r="W70" s="172">
        <f>COUNTIF(BASE01[Columna83],T70)</f>
        <v>3</v>
      </c>
      <c r="X70" s="426">
        <f t="shared" si="40"/>
        <v>9</v>
      </c>
      <c r="Y70" s="173">
        <v>8</v>
      </c>
      <c r="Z70" s="172">
        <f>(COUNTIF(BASE01[Columna10],Y70)*3)</f>
        <v>0</v>
      </c>
      <c r="AA70" s="172">
        <f>(COUNTIF(BASE01[Columna11],Y70)*2)</f>
        <v>4</v>
      </c>
      <c r="AB70" s="172">
        <f>COUNTIF(BASE01[Columna113],Y70)</f>
        <v>2</v>
      </c>
      <c r="AC70" s="426">
        <f t="shared" si="41"/>
        <v>6</v>
      </c>
      <c r="AD70" s="173">
        <v>9</v>
      </c>
      <c r="AE70" s="172">
        <f>(COUNTIF(BASE01[1RA],AD70)*3)</f>
        <v>0</v>
      </c>
      <c r="AF70" s="172">
        <f>(COUNTIF(BASE01[2DA],AD70)*2)</f>
        <v>0</v>
      </c>
      <c r="AG70" s="172">
        <f>COUNTIF(BASE01[2DA2],AD70)</f>
        <v>2</v>
      </c>
      <c r="AH70" s="426">
        <f t="shared" si="42"/>
        <v>2</v>
      </c>
      <c r="AI70" s="173">
        <v>2</v>
      </c>
      <c r="AJ70" s="172">
        <f>(COUNTIF(BASE01[Columna16],AI70)*3)</f>
        <v>3</v>
      </c>
      <c r="AK70" s="172">
        <f>(COUNTIF(BASE01[Columna17],AI70)*2)</f>
        <v>2</v>
      </c>
      <c r="AL70" s="172">
        <f>COUNTIF(BASE01[Columna173],AI70)</f>
        <v>3</v>
      </c>
      <c r="AM70" s="426">
        <f t="shared" si="43"/>
        <v>8</v>
      </c>
      <c r="AN70" s="173">
        <v>5</v>
      </c>
      <c r="AO70" s="172">
        <f>(COUNTIF(BASE01[123],AN70)*3)</f>
        <v>0</v>
      </c>
      <c r="AP70" s="172">
        <f>(COUNTIF(BASE01[555],AN70)*2)</f>
        <v>0</v>
      </c>
      <c r="AQ70" s="172">
        <f>COUNTIF(BASE01[556],AN70)</f>
        <v>5</v>
      </c>
      <c r="AR70" s="426">
        <f t="shared" si="44"/>
        <v>5</v>
      </c>
      <c r="AS70" s="173">
        <v>6</v>
      </c>
      <c r="AT70" s="172">
        <f>(COUNTIF(BASE01[AAAA],AS70)*3)</f>
        <v>3</v>
      </c>
      <c r="AU70" s="172">
        <f>(COUNTIF(BASE01[BBBB],AS70)*2)</f>
        <v>4</v>
      </c>
      <c r="AV70" s="172">
        <f>COUNTIF(BASE01[Columna13],AS70)</f>
        <v>4</v>
      </c>
      <c r="AW70" s="426">
        <f t="shared" si="45"/>
        <v>11</v>
      </c>
      <c r="AX70" s="173">
        <v>8</v>
      </c>
      <c r="AY70" s="172">
        <f>(COUNTIF(BASE01[Columna25],AX70)*3)</f>
        <v>3</v>
      </c>
      <c r="AZ70" s="172">
        <f>(COUNTIF(BASE01[Columna26],AX70)*2)</f>
        <v>6</v>
      </c>
      <c r="BA70" s="172">
        <f>COUNTIF(BASE01[Columna263],AX70)</f>
        <v>20</v>
      </c>
      <c r="BB70" s="426">
        <f t="shared" si="46"/>
        <v>29</v>
      </c>
      <c r="BC70" s="173">
        <v>5</v>
      </c>
      <c r="BD70" s="172">
        <f>(COUNTIF(BASE01[Columna272],BC70)*3)</f>
        <v>6</v>
      </c>
      <c r="BE70" s="172">
        <f>(COUNTIF(BASE01[Columna273],BC70)*2)</f>
        <v>2</v>
      </c>
      <c r="BF70" s="172">
        <f>COUNTIF(BASE01[Columna2732],BC70)</f>
        <v>2</v>
      </c>
      <c r="BG70" s="426">
        <f t="shared" si="47"/>
        <v>10</v>
      </c>
      <c r="BH70" s="173">
        <v>3</v>
      </c>
      <c r="BI70" s="172">
        <f>(COUNTIF(BASE01[Columna276],BH70)*3)</f>
        <v>0</v>
      </c>
      <c r="BJ70" s="172">
        <f>(COUNTIF(BASE01[Columna277],BH70)*2)</f>
        <v>4</v>
      </c>
      <c r="BK70" s="172">
        <f>COUNTIF(BASE01[Columna2772],BH70)</f>
        <v>4</v>
      </c>
      <c r="BL70" s="426">
        <f t="shared" si="48"/>
        <v>8</v>
      </c>
      <c r="BM70" s="173">
        <v>9</v>
      </c>
      <c r="BN70" s="172">
        <f>(COUNTIF(BASE01[Columna280],BM70)*3)</f>
        <v>15</v>
      </c>
      <c r="BO70" s="172">
        <f>(COUNTIF(BASE01[Columna281],BM70)*2)</f>
        <v>4</v>
      </c>
      <c r="BP70" s="172">
        <f>COUNTIF(BASE01[Columna2812],BM70)</f>
        <v>4</v>
      </c>
      <c r="BQ70" s="109">
        <f t="shared" si="49"/>
        <v>23</v>
      </c>
      <c r="BR70" s="171">
        <v>9</v>
      </c>
      <c r="BS70" s="172">
        <f>(COUNTIF(BASE01[Columna2802],BR70)*3)</f>
        <v>0</v>
      </c>
      <c r="BT70" s="172">
        <f>(COUNTIF(BASE01[Columna2813],BR70)*2)</f>
        <v>0</v>
      </c>
      <c r="BU70" s="172">
        <f>COUNTIF(BASE01[Columna28124],BR70)</f>
        <v>0</v>
      </c>
      <c r="BV70" s="109">
        <f t="shared" si="50"/>
        <v>0</v>
      </c>
      <c r="BW70" s="173">
        <v>9</v>
      </c>
      <c r="BX70" s="172">
        <f>(COUNTIF(BASE01[Columna2803],BW70)*3)</f>
        <v>0</v>
      </c>
      <c r="BY70" s="172">
        <f>(COUNTIF(BASE01[Columna2814],BW70)*2)</f>
        <v>0</v>
      </c>
      <c r="BZ70" s="172">
        <f>COUNTIF(BASE01[Columna28125],BW70)</f>
        <v>0</v>
      </c>
      <c r="CA70" s="109">
        <f t="shared" si="51"/>
        <v>0</v>
      </c>
      <c r="CB70" s="173">
        <v>9</v>
      </c>
      <c r="CC70" s="172">
        <f>(COUNTIF(BASE01[Columna2804],CB70)*3)</f>
        <v>0</v>
      </c>
      <c r="CD70" s="172">
        <f>(COUNTIF(BASE01[Columna2815],CB70)*2)</f>
        <v>0</v>
      </c>
      <c r="CE70" s="172">
        <f>COUNTIF(BASE01[Columna28126],CB70)</f>
        <v>0</v>
      </c>
      <c r="CF70" s="109">
        <f t="shared" si="52"/>
        <v>0</v>
      </c>
      <c r="CG70" s="103"/>
      <c r="CH70" s="103"/>
      <c r="DO70" s="388" t="str">
        <f t="shared" si="36"/>
        <v/>
      </c>
      <c r="DP70" s="388"/>
      <c r="DQ70" s="388"/>
      <c r="DR70" s="388"/>
      <c r="EG70" s="388" t="str">
        <f t="shared" si="35"/>
        <v/>
      </c>
      <c r="EH70" s="388"/>
      <c r="EI70" s="388"/>
      <c r="EJ70" s="388"/>
    </row>
    <row r="71" spans="2:140" ht="27.95" customHeight="1" x14ac:dyDescent="0.4">
      <c r="B71" s="102"/>
      <c r="C71" s="103"/>
      <c r="D71" s="103"/>
      <c r="E71" s="107">
        <v>5</v>
      </c>
      <c r="F71" s="108">
        <f>(COUNTIF(BASE01[1],E71)*3)</f>
        <v>0</v>
      </c>
      <c r="G71" s="172">
        <f>(COUNTIF(BASE01[2],E71)*2)</f>
        <v>0</v>
      </c>
      <c r="H71" s="172">
        <f>COUNTIF(BASE01[22],E71)</f>
        <v>0</v>
      </c>
      <c r="I71" s="426">
        <f t="shared" si="37"/>
        <v>0</v>
      </c>
      <c r="J71" s="173">
        <v>2</v>
      </c>
      <c r="K71" s="172">
        <f>(COUNTIF(BASE01[12],J71)*3)</f>
        <v>3</v>
      </c>
      <c r="L71" s="172">
        <f>(COUNTIF(BASE01[Columna2],J71)*2)</f>
        <v>0</v>
      </c>
      <c r="M71" s="172">
        <f>COUNTIF(BASE01[Columna23],J71)</f>
        <v>3</v>
      </c>
      <c r="N71" s="426">
        <f t="shared" si="38"/>
        <v>6</v>
      </c>
      <c r="O71" s="173">
        <v>1</v>
      </c>
      <c r="P71" s="172">
        <f>(COUNTIF(BASE01[Columna4],O71)*3)</f>
        <v>0</v>
      </c>
      <c r="Q71" s="172">
        <f>(COUNTIF(BASE01[Columna5],O71)*2)</f>
        <v>4</v>
      </c>
      <c r="R71" s="172">
        <f>COUNTIF(BASE01[Columna53],O71)</f>
        <v>4</v>
      </c>
      <c r="S71" s="426">
        <f t="shared" si="39"/>
        <v>8</v>
      </c>
      <c r="T71" s="173">
        <v>7</v>
      </c>
      <c r="U71" s="172">
        <f>(COUNTIF(BASE01[Columna7],T71)*3)</f>
        <v>0</v>
      </c>
      <c r="V71" s="172">
        <f>(COUNTIF(BASE01[Columna8],T71)*2)</f>
        <v>6</v>
      </c>
      <c r="W71" s="172">
        <f>COUNTIF(BASE01[Columna83],T71)</f>
        <v>2</v>
      </c>
      <c r="X71" s="426">
        <f t="shared" si="40"/>
        <v>8</v>
      </c>
      <c r="Y71" s="173">
        <v>4</v>
      </c>
      <c r="Z71" s="172">
        <f>(COUNTIF(BASE01[Columna10],Y71)*3)</f>
        <v>3</v>
      </c>
      <c r="AA71" s="172">
        <f>(COUNTIF(BASE01[Columna11],Y71)*2)</f>
        <v>0</v>
      </c>
      <c r="AB71" s="172">
        <f>COUNTIF(BASE01[Columna113],Y71)</f>
        <v>3</v>
      </c>
      <c r="AC71" s="426">
        <f t="shared" si="41"/>
        <v>6</v>
      </c>
      <c r="AD71" s="173">
        <v>6</v>
      </c>
      <c r="AE71" s="172">
        <f>(COUNTIF(BASE01[1RA],AD71)*3)</f>
        <v>0</v>
      </c>
      <c r="AF71" s="172">
        <f>(COUNTIF(BASE01[2DA],AD71)*2)</f>
        <v>2</v>
      </c>
      <c r="AG71" s="172">
        <f>COUNTIF(BASE01[2DA2],AD71)</f>
        <v>0</v>
      </c>
      <c r="AH71" s="426">
        <f t="shared" si="42"/>
        <v>2</v>
      </c>
      <c r="AI71" s="173">
        <v>6</v>
      </c>
      <c r="AJ71" s="172">
        <f>(COUNTIF(BASE01[Columna16],AI71)*3)</f>
        <v>0</v>
      </c>
      <c r="AK71" s="172">
        <f>(COUNTIF(BASE01[Columna17],AI71)*2)</f>
        <v>2</v>
      </c>
      <c r="AL71" s="172">
        <f>COUNTIF(BASE01[Columna173],AI71)</f>
        <v>1</v>
      </c>
      <c r="AM71" s="426">
        <f t="shared" si="43"/>
        <v>3</v>
      </c>
      <c r="AN71" s="173">
        <v>6</v>
      </c>
      <c r="AO71" s="172">
        <f>(COUNTIF(BASE01[123],AN71)*3)</f>
        <v>3</v>
      </c>
      <c r="AP71" s="172">
        <f>(COUNTIF(BASE01[555],AN71)*2)</f>
        <v>0</v>
      </c>
      <c r="AQ71" s="172">
        <f>COUNTIF(BASE01[556],AN71)</f>
        <v>3</v>
      </c>
      <c r="AR71" s="426">
        <f t="shared" si="44"/>
        <v>6</v>
      </c>
      <c r="AS71" s="173">
        <v>5</v>
      </c>
      <c r="AT71" s="172">
        <f>(COUNTIF(BASE01[AAAA],AS71)*3)</f>
        <v>6</v>
      </c>
      <c r="AU71" s="172">
        <f>(COUNTIF(BASE01[BBBB],AS71)*2)</f>
        <v>0</v>
      </c>
      <c r="AV71" s="172">
        <f>COUNTIF(BASE01[Columna13],AS71)</f>
        <v>2</v>
      </c>
      <c r="AW71" s="426">
        <f t="shared" si="45"/>
        <v>8</v>
      </c>
      <c r="AX71" s="173">
        <v>2</v>
      </c>
      <c r="AY71" s="172">
        <f>(COUNTIF(BASE01[Columna25],AX71)*3)</f>
        <v>0</v>
      </c>
      <c r="AZ71" s="172">
        <f>(COUNTIF(BASE01[Columna26],AX71)*2)</f>
        <v>0</v>
      </c>
      <c r="BA71" s="172">
        <f>COUNTIF(BASE01[Columna263],AX71)</f>
        <v>2</v>
      </c>
      <c r="BB71" s="426">
        <f t="shared" si="46"/>
        <v>2</v>
      </c>
      <c r="BC71" s="173">
        <v>7</v>
      </c>
      <c r="BD71" s="172">
        <f>(COUNTIF(BASE01[Columna272],BC71)*3)</f>
        <v>3</v>
      </c>
      <c r="BE71" s="172">
        <f>(COUNTIF(BASE01[Columna273],BC71)*2)</f>
        <v>2</v>
      </c>
      <c r="BF71" s="172">
        <f>COUNTIF(BASE01[Columna2732],BC71)</f>
        <v>4</v>
      </c>
      <c r="BG71" s="426">
        <f t="shared" si="47"/>
        <v>9</v>
      </c>
      <c r="BH71" s="173">
        <v>8</v>
      </c>
      <c r="BI71" s="172">
        <f>(COUNTIF(BASE01[Columna276],BH71)*3)</f>
        <v>0</v>
      </c>
      <c r="BJ71" s="172">
        <f>(COUNTIF(BASE01[Columna277],BH71)*2)</f>
        <v>0</v>
      </c>
      <c r="BK71" s="172">
        <f>COUNTIF(BASE01[Columna2772],BH71)</f>
        <v>1</v>
      </c>
      <c r="BL71" s="426">
        <f t="shared" si="48"/>
        <v>1</v>
      </c>
      <c r="BM71" s="173">
        <v>10</v>
      </c>
      <c r="BN71" s="172">
        <f>(COUNTIF(BASE01[Columna280],BM71)*3)</f>
        <v>0</v>
      </c>
      <c r="BO71" s="172">
        <f>(COUNTIF(BASE01[Columna281],BM71)*2)</f>
        <v>4</v>
      </c>
      <c r="BP71" s="172">
        <f>COUNTIF(BASE01[Columna2812],BM71)</f>
        <v>1</v>
      </c>
      <c r="BQ71" s="109">
        <f t="shared" si="49"/>
        <v>5</v>
      </c>
      <c r="BR71" s="171">
        <v>10</v>
      </c>
      <c r="BS71" s="172">
        <f>(COUNTIF(BASE01[Columna2802],BR71)*3)</f>
        <v>0</v>
      </c>
      <c r="BT71" s="172">
        <f>(COUNTIF(BASE01[Columna2813],BR71)*2)</f>
        <v>0</v>
      </c>
      <c r="BU71" s="172">
        <f>COUNTIF(BASE01[Columna28124],BR71)</f>
        <v>0</v>
      </c>
      <c r="BV71" s="109">
        <f t="shared" si="50"/>
        <v>0</v>
      </c>
      <c r="BW71" s="173">
        <v>10</v>
      </c>
      <c r="BX71" s="172">
        <f>(COUNTIF(BASE01[Columna2803],BW71)*3)</f>
        <v>0</v>
      </c>
      <c r="BY71" s="172">
        <f>(COUNTIF(BASE01[Columna2814],BW71)*2)</f>
        <v>0</v>
      </c>
      <c r="BZ71" s="172">
        <f>COUNTIF(BASE01[Columna28125],BW71)</f>
        <v>0</v>
      </c>
      <c r="CA71" s="109">
        <f t="shared" si="51"/>
        <v>0</v>
      </c>
      <c r="CB71" s="173">
        <v>10</v>
      </c>
      <c r="CC71" s="172">
        <f>(COUNTIF(BASE01[Columna2804],CB71)*3)</f>
        <v>0</v>
      </c>
      <c r="CD71" s="172">
        <f>(COUNTIF(BASE01[Columna2815],CB71)*2)</f>
        <v>0</v>
      </c>
      <c r="CE71" s="172">
        <f>COUNTIF(BASE01[Columna28126],CB71)</f>
        <v>0</v>
      </c>
      <c r="CF71" s="109">
        <f t="shared" si="52"/>
        <v>0</v>
      </c>
      <c r="CG71" s="103"/>
      <c r="CH71" s="103"/>
      <c r="DO71" s="388" t="str">
        <f t="shared" si="36"/>
        <v/>
      </c>
      <c r="DP71" s="388"/>
      <c r="DQ71" s="388"/>
      <c r="DR71" s="388"/>
      <c r="EG71" s="388" t="str">
        <f t="shared" si="35"/>
        <v/>
      </c>
      <c r="EH71" s="388"/>
      <c r="EI71" s="388"/>
      <c r="EJ71" s="388"/>
    </row>
    <row r="72" spans="2:140" ht="27.95" customHeight="1" x14ac:dyDescent="0.4">
      <c r="B72" s="102"/>
      <c r="C72" s="103"/>
      <c r="D72" s="103"/>
      <c r="E72" s="107">
        <v>7</v>
      </c>
      <c r="F72" s="108">
        <f>(COUNTIF(BASE01[1],E72)*3)</f>
        <v>0</v>
      </c>
      <c r="G72" s="172">
        <f>(COUNTIF(BASE01[2],E72)*2)</f>
        <v>0</v>
      </c>
      <c r="H72" s="172">
        <f>COUNTIF(BASE01[22],E72)</f>
        <v>0</v>
      </c>
      <c r="I72" s="426">
        <f t="shared" si="37"/>
        <v>0</v>
      </c>
      <c r="J72" s="173">
        <v>6</v>
      </c>
      <c r="K72" s="172">
        <f>(COUNTIF(BASE01[12],J72)*3)</f>
        <v>3</v>
      </c>
      <c r="L72" s="172">
        <f>(COUNTIF(BASE01[Columna2],J72)*2)</f>
        <v>0</v>
      </c>
      <c r="M72" s="172">
        <f>COUNTIF(BASE01[Columna23],J72)</f>
        <v>0</v>
      </c>
      <c r="N72" s="426">
        <f t="shared" si="38"/>
        <v>3</v>
      </c>
      <c r="O72" s="173">
        <v>7</v>
      </c>
      <c r="P72" s="172">
        <f>(COUNTIF(BASE01[Columna4],O72)*3)</f>
        <v>3</v>
      </c>
      <c r="Q72" s="172">
        <f>(COUNTIF(BASE01[Columna5],O72)*2)</f>
        <v>4</v>
      </c>
      <c r="R72" s="172">
        <f>COUNTIF(BASE01[Columna53],O72)</f>
        <v>0</v>
      </c>
      <c r="S72" s="426">
        <f t="shared" si="39"/>
        <v>7</v>
      </c>
      <c r="T72" s="173">
        <v>2</v>
      </c>
      <c r="U72" s="172">
        <f>(COUNTIF(BASE01[Columna7],T72)*3)</f>
        <v>0</v>
      </c>
      <c r="V72" s="172">
        <f>(COUNTIF(BASE01[Columna8],T72)*2)</f>
        <v>4</v>
      </c>
      <c r="W72" s="172">
        <f>COUNTIF(BASE01[Columna83],T72)</f>
        <v>4</v>
      </c>
      <c r="X72" s="426">
        <f t="shared" si="40"/>
        <v>8</v>
      </c>
      <c r="Y72" s="173">
        <v>6</v>
      </c>
      <c r="Z72" s="172">
        <f>(COUNTIF(BASE01[Columna10],Y72)*3)</f>
        <v>0</v>
      </c>
      <c r="AA72" s="172">
        <f>(COUNTIF(BASE01[Columna11],Y72)*2)</f>
        <v>4</v>
      </c>
      <c r="AB72" s="172">
        <f>COUNTIF(BASE01[Columna113],Y72)</f>
        <v>1</v>
      </c>
      <c r="AC72" s="426">
        <f t="shared" si="41"/>
        <v>5</v>
      </c>
      <c r="AD72" s="173">
        <v>4</v>
      </c>
      <c r="AE72" s="172">
        <f>(COUNTIF(BASE01[1RA],AD72)*3)</f>
        <v>0</v>
      </c>
      <c r="AF72" s="172">
        <f>(COUNTIF(BASE01[2DA],AD72)*2)</f>
        <v>0</v>
      </c>
      <c r="AG72" s="172">
        <f>COUNTIF(BASE01[2DA2],AD72)</f>
        <v>1</v>
      </c>
      <c r="AH72" s="426">
        <f t="shared" si="42"/>
        <v>1</v>
      </c>
      <c r="AI72" s="173">
        <v>8</v>
      </c>
      <c r="AJ72" s="172">
        <f>(COUNTIF(BASE01[Columna16],AI72)*3)</f>
        <v>0</v>
      </c>
      <c r="AK72" s="172">
        <f>(COUNTIF(BASE01[Columna17],AI72)*2)</f>
        <v>0</v>
      </c>
      <c r="AL72" s="172">
        <f>COUNTIF(BASE01[Columna173],AI72)</f>
        <v>1</v>
      </c>
      <c r="AM72" s="426">
        <f t="shared" si="43"/>
        <v>1</v>
      </c>
      <c r="AN72" s="173">
        <v>7</v>
      </c>
      <c r="AO72" s="172">
        <f>(COUNTIF(BASE01[123],AN72)*3)</f>
        <v>3</v>
      </c>
      <c r="AP72" s="172">
        <f>(COUNTIF(BASE01[555],AN72)*2)</f>
        <v>0</v>
      </c>
      <c r="AQ72" s="172">
        <f>COUNTIF(BASE01[556],AN72)</f>
        <v>4</v>
      </c>
      <c r="AR72" s="426">
        <f t="shared" si="44"/>
        <v>7</v>
      </c>
      <c r="AS72" s="173">
        <v>4</v>
      </c>
      <c r="AT72" s="172">
        <f>(COUNTIF(BASE01[AAAA],AS72)*3)</f>
        <v>3</v>
      </c>
      <c r="AU72" s="172">
        <f>(COUNTIF(BASE01[BBBB],AS72)*2)</f>
        <v>0</v>
      </c>
      <c r="AV72" s="172">
        <f>COUNTIF(BASE01[Columna13],AS72)</f>
        <v>3</v>
      </c>
      <c r="AW72" s="426">
        <f t="shared" si="45"/>
        <v>6</v>
      </c>
      <c r="AX72" s="173">
        <v>4</v>
      </c>
      <c r="AY72" s="172">
        <f>(COUNTIF(BASE01[Columna25],AX72)*3)</f>
        <v>0</v>
      </c>
      <c r="AZ72" s="172">
        <f>(COUNTIF(BASE01[Columna26],AX72)*2)</f>
        <v>2</v>
      </c>
      <c r="BA72" s="172">
        <f>COUNTIF(BASE01[Columna263],AX72)</f>
        <v>0</v>
      </c>
      <c r="BB72" s="426">
        <f t="shared" si="46"/>
        <v>2</v>
      </c>
      <c r="BC72" s="173">
        <v>6</v>
      </c>
      <c r="BD72" s="172">
        <f>(COUNTIF(BASE01[Columna272],BC72)*3)</f>
        <v>0</v>
      </c>
      <c r="BE72" s="172">
        <f>(COUNTIF(BASE01[Columna273],BC72)*2)</f>
        <v>6</v>
      </c>
      <c r="BF72" s="172">
        <f>COUNTIF(BASE01[Columna2732],BC72)</f>
        <v>3</v>
      </c>
      <c r="BG72" s="426">
        <f t="shared" si="47"/>
        <v>9</v>
      </c>
      <c r="BH72" s="173">
        <v>4</v>
      </c>
      <c r="BI72" s="172">
        <f>(COUNTIF(BASE01[Columna276],BH72)*3)</f>
        <v>0</v>
      </c>
      <c r="BJ72" s="172">
        <f>(COUNTIF(BASE01[Columna277],BH72)*2)</f>
        <v>0</v>
      </c>
      <c r="BK72" s="172">
        <f>COUNTIF(BASE01[Columna2772],BH72)</f>
        <v>0</v>
      </c>
      <c r="BL72" s="426">
        <f t="shared" si="48"/>
        <v>0</v>
      </c>
      <c r="BM72" s="173">
        <v>5</v>
      </c>
      <c r="BN72" s="172">
        <f>(COUNTIF(BASE01[Columna280],BM72)*3)</f>
        <v>0</v>
      </c>
      <c r="BO72" s="172">
        <f>(COUNTIF(BASE01[Columna281],BM72)*2)</f>
        <v>2</v>
      </c>
      <c r="BP72" s="172">
        <f>COUNTIF(BASE01[Columna2812],BM72)</f>
        <v>4</v>
      </c>
      <c r="BQ72" s="109">
        <f t="shared" si="49"/>
        <v>6</v>
      </c>
      <c r="BR72" s="171">
        <v>5</v>
      </c>
      <c r="BS72" s="172">
        <f>(COUNTIF(BASE01[Columna2802],BR72)*3)</f>
        <v>0</v>
      </c>
      <c r="BT72" s="172">
        <f>(COUNTIF(BASE01[Columna2813],BR72)*2)</f>
        <v>0</v>
      </c>
      <c r="BU72" s="172">
        <f>COUNTIF(BASE01[Columna28124],BR72)</f>
        <v>0</v>
      </c>
      <c r="BV72" s="109">
        <f t="shared" si="50"/>
        <v>0</v>
      </c>
      <c r="BW72" s="173">
        <v>5</v>
      </c>
      <c r="BX72" s="172">
        <f>(COUNTIF(BASE01[Columna2803],BW72)*3)</f>
        <v>0</v>
      </c>
      <c r="BY72" s="172">
        <f>(COUNTIF(BASE01[Columna2814],BW72)*2)</f>
        <v>0</v>
      </c>
      <c r="BZ72" s="172">
        <f>COUNTIF(BASE01[Columna28125],BW72)</f>
        <v>0</v>
      </c>
      <c r="CA72" s="109">
        <f t="shared" si="51"/>
        <v>0</v>
      </c>
      <c r="CB72" s="173">
        <v>5</v>
      </c>
      <c r="CC72" s="172">
        <f>(COUNTIF(BASE01[Columna2804],CB72)*3)</f>
        <v>0</v>
      </c>
      <c r="CD72" s="172">
        <f>(COUNTIF(BASE01[Columna2815],CB72)*2)</f>
        <v>0</v>
      </c>
      <c r="CE72" s="172">
        <f>COUNTIF(BASE01[Columna28126],CB72)</f>
        <v>0</v>
      </c>
      <c r="CF72" s="109">
        <f t="shared" si="52"/>
        <v>0</v>
      </c>
      <c r="CG72" s="103"/>
      <c r="CH72" s="103"/>
      <c r="DO72" s="388" t="str">
        <f t="shared" si="36"/>
        <v/>
      </c>
      <c r="DP72" s="388"/>
      <c r="DQ72" s="388"/>
      <c r="DR72" s="388"/>
      <c r="EG72" s="388" t="str">
        <f t="shared" si="35"/>
        <v/>
      </c>
      <c r="EH72" s="388"/>
      <c r="EI72" s="388"/>
      <c r="EJ72" s="388"/>
    </row>
    <row r="73" spans="2:140" ht="27.95" customHeight="1" x14ac:dyDescent="0.4">
      <c r="B73" s="102"/>
      <c r="C73" s="103"/>
      <c r="D73" s="103"/>
      <c r="E73" s="107">
        <v>3</v>
      </c>
      <c r="F73" s="108">
        <f>(COUNTIF(BASE01[1],E73)*3)</f>
        <v>0</v>
      </c>
      <c r="G73" s="172">
        <f>(COUNTIF(BASE01[2],E73)*2)</f>
        <v>0</v>
      </c>
      <c r="H73" s="172">
        <f>COUNTIF(BASE01[22],E73)</f>
        <v>0</v>
      </c>
      <c r="I73" s="426">
        <f t="shared" si="37"/>
        <v>0</v>
      </c>
      <c r="J73" s="173">
        <v>4</v>
      </c>
      <c r="K73" s="172">
        <f>(COUNTIF(BASE01[12],J73)*3)</f>
        <v>0</v>
      </c>
      <c r="L73" s="172">
        <f>(COUNTIF(BASE01[Columna2],J73)*2)</f>
        <v>0</v>
      </c>
      <c r="M73" s="172">
        <f>COUNTIF(BASE01[Columna23],J73)</f>
        <v>1</v>
      </c>
      <c r="N73" s="426">
        <f t="shared" si="38"/>
        <v>1</v>
      </c>
      <c r="O73" s="173">
        <v>4</v>
      </c>
      <c r="P73" s="172">
        <f>(COUNTIF(BASE01[Columna4],O73)*3)</f>
        <v>0</v>
      </c>
      <c r="Q73" s="172">
        <f>(COUNTIF(BASE01[Columna5],O73)*2)</f>
        <v>0</v>
      </c>
      <c r="R73" s="172">
        <f>COUNTIF(BASE01[Columna53],O73)</f>
        <v>0</v>
      </c>
      <c r="S73" s="426">
        <f t="shared" si="39"/>
        <v>0</v>
      </c>
      <c r="T73" s="173">
        <v>5</v>
      </c>
      <c r="U73" s="172">
        <f>(COUNTIF(BASE01[Columna7],T73)*3)</f>
        <v>0</v>
      </c>
      <c r="V73" s="172">
        <f>(COUNTIF(BASE01[Columna8],T73)*2)</f>
        <v>0</v>
      </c>
      <c r="W73" s="172">
        <f>COUNTIF(BASE01[Columna83],T73)</f>
        <v>1</v>
      </c>
      <c r="X73" s="426">
        <f t="shared" si="40"/>
        <v>1</v>
      </c>
      <c r="Y73" s="173">
        <v>9</v>
      </c>
      <c r="Z73" s="172">
        <f>(COUNTIF(BASE01[Columna10],Y73)*3)</f>
        <v>0</v>
      </c>
      <c r="AA73" s="172">
        <f>(COUNTIF(BASE01[Columna11],Y73)*2)</f>
        <v>0</v>
      </c>
      <c r="AB73" s="172">
        <f>COUNTIF(BASE01[Columna113],Y73)</f>
        <v>0</v>
      </c>
      <c r="AC73" s="426">
        <f t="shared" si="41"/>
        <v>0</v>
      </c>
      <c r="AD73" s="173">
        <v>8</v>
      </c>
      <c r="AE73" s="172">
        <f>(COUNTIF(BASE01[1RA],AD73)*3)</f>
        <v>0</v>
      </c>
      <c r="AF73" s="172">
        <f>(COUNTIF(BASE01[2DA],AD73)*2)</f>
        <v>0</v>
      </c>
      <c r="AG73" s="172">
        <f>COUNTIF(BASE01[2DA2],AD73)</f>
        <v>0</v>
      </c>
      <c r="AH73" s="426">
        <f t="shared" si="42"/>
        <v>0</v>
      </c>
      <c r="AI73" s="173">
        <v>5</v>
      </c>
      <c r="AJ73" s="172">
        <f>(COUNTIF(BASE01[Columna16],AI73)*3)</f>
        <v>0</v>
      </c>
      <c r="AK73" s="172">
        <f>(COUNTIF(BASE01[Columna17],AI73)*2)</f>
        <v>0</v>
      </c>
      <c r="AL73" s="172">
        <f>COUNTIF(BASE01[Columna173],AI73)</f>
        <v>0</v>
      </c>
      <c r="AM73" s="426">
        <f t="shared" si="43"/>
        <v>0</v>
      </c>
      <c r="AN73" s="173">
        <v>12</v>
      </c>
      <c r="AO73" s="172">
        <f>(COUNTIF(BASE01[123],AN73)*3)</f>
        <v>0</v>
      </c>
      <c r="AP73" s="172">
        <f>(COUNTIF(BASE01[555],AN73)*2)</f>
        <v>2</v>
      </c>
      <c r="AQ73" s="172">
        <f>COUNTIF(BASE01[556],AN73)</f>
        <v>3</v>
      </c>
      <c r="AR73" s="426">
        <f t="shared" si="44"/>
        <v>5</v>
      </c>
      <c r="AS73" s="173">
        <v>8</v>
      </c>
      <c r="AT73" s="172">
        <f>(COUNTIF(BASE01[AAAA],AS73)*3)</f>
        <v>0</v>
      </c>
      <c r="AU73" s="172">
        <f>(COUNTIF(BASE01[BBBB],AS73)*2)</f>
        <v>0</v>
      </c>
      <c r="AV73" s="172">
        <f>COUNTIF(BASE01[Columna13],AS73)</f>
        <v>2</v>
      </c>
      <c r="AW73" s="426">
        <f t="shared" si="45"/>
        <v>2</v>
      </c>
      <c r="AX73" s="173">
        <v>7</v>
      </c>
      <c r="AY73" s="172">
        <f>(COUNTIF(BASE01[Columna25],AX73)*3)</f>
        <v>0</v>
      </c>
      <c r="AZ73" s="172">
        <f>(COUNTIF(BASE01[Columna26],AX73)*2)</f>
        <v>2</v>
      </c>
      <c r="BA73" s="172">
        <f>COUNTIF(BASE01[Columna263],AX73)</f>
        <v>1</v>
      </c>
      <c r="BB73" s="426">
        <f t="shared" si="46"/>
        <v>3</v>
      </c>
      <c r="BC73" s="173">
        <v>1</v>
      </c>
      <c r="BD73" s="172">
        <f>(COUNTIF(BASE01[Columna272],BC73)*3)</f>
        <v>0</v>
      </c>
      <c r="BE73" s="172">
        <f>(COUNTIF(BASE01[Columna273],BC73)*2)</f>
        <v>0</v>
      </c>
      <c r="BF73" s="172">
        <f>COUNTIF(BASE01[Columna2732],BC73)</f>
        <v>2</v>
      </c>
      <c r="BG73" s="426">
        <f t="shared" si="47"/>
        <v>2</v>
      </c>
      <c r="BH73" s="173">
        <v>7</v>
      </c>
      <c r="BI73" s="172">
        <f>(COUNTIF(BASE01[Columna276],BH73)*3)</f>
        <v>0</v>
      </c>
      <c r="BJ73" s="172">
        <f>(COUNTIF(BASE01[Columna277],BH73)*2)</f>
        <v>0</v>
      </c>
      <c r="BK73" s="172">
        <f>COUNTIF(BASE01[Columna2772],BH73)</f>
        <v>0</v>
      </c>
      <c r="BL73" s="426">
        <f t="shared" si="48"/>
        <v>0</v>
      </c>
      <c r="BM73" s="173">
        <v>13</v>
      </c>
      <c r="BN73" s="172">
        <f>(COUNTIF(BASE01[Columna280],BM73)*3)</f>
        <v>3</v>
      </c>
      <c r="BO73" s="172">
        <f>(COUNTIF(BASE01[Columna281],BM73)*2)</f>
        <v>0</v>
      </c>
      <c r="BP73" s="172">
        <f>COUNTIF(BASE01[Columna2812],BM73)</f>
        <v>0</v>
      </c>
      <c r="BQ73" s="109">
        <f t="shared" si="49"/>
        <v>3</v>
      </c>
      <c r="BR73" s="171">
        <v>13</v>
      </c>
      <c r="BS73" s="172">
        <f>(COUNTIF(BASE01[Columna2802],BR73)*3)</f>
        <v>0</v>
      </c>
      <c r="BT73" s="172">
        <f>(COUNTIF(BASE01[Columna2813],BR73)*2)</f>
        <v>0</v>
      </c>
      <c r="BU73" s="172">
        <f>COUNTIF(BASE01[Columna28124],BR73)</f>
        <v>0</v>
      </c>
      <c r="BV73" s="109">
        <f t="shared" si="50"/>
        <v>0</v>
      </c>
      <c r="BW73" s="173">
        <v>13</v>
      </c>
      <c r="BX73" s="172">
        <f>(COUNTIF(BASE01[Columna2803],BW73)*3)</f>
        <v>0</v>
      </c>
      <c r="BY73" s="172">
        <f>(COUNTIF(BASE01[Columna2814],BW73)*2)</f>
        <v>0</v>
      </c>
      <c r="BZ73" s="172">
        <f>COUNTIF(BASE01[Columna28125],BW73)</f>
        <v>0</v>
      </c>
      <c r="CA73" s="109">
        <f t="shared" si="51"/>
        <v>0</v>
      </c>
      <c r="CB73" s="173">
        <v>13</v>
      </c>
      <c r="CC73" s="172">
        <f>(COUNTIF(BASE01[Columna2804],CB73)*3)</f>
        <v>0</v>
      </c>
      <c r="CD73" s="172">
        <f>(COUNTIF(BASE01[Columna2815],CB73)*2)</f>
        <v>0</v>
      </c>
      <c r="CE73" s="172">
        <f>COUNTIF(BASE01[Columna28126],CB73)</f>
        <v>0</v>
      </c>
      <c r="CF73" s="109">
        <f t="shared" si="52"/>
        <v>0</v>
      </c>
      <c r="CG73" s="103"/>
      <c r="CH73" s="103"/>
      <c r="DO73" s="388" t="str">
        <f t="shared" si="36"/>
        <v/>
      </c>
      <c r="DP73" s="388"/>
      <c r="DQ73" s="388"/>
      <c r="DR73" s="388"/>
      <c r="EG73" s="388" t="str">
        <f t="shared" si="35"/>
        <v/>
      </c>
      <c r="EH73" s="388"/>
      <c r="EI73" s="388"/>
      <c r="EJ73" s="388"/>
    </row>
    <row r="74" spans="2:140" ht="27.95" customHeight="1" x14ac:dyDescent="0.4">
      <c r="B74" s="102"/>
      <c r="C74" s="103"/>
      <c r="D74" s="103"/>
      <c r="E74" s="107">
        <v>9</v>
      </c>
      <c r="F74" s="108">
        <f>(COUNTIF(BASE01[1],E74)*3)</f>
        <v>0</v>
      </c>
      <c r="G74" s="172">
        <f>(COUNTIF(BASE01[2],E74)*2)</f>
        <v>0</v>
      </c>
      <c r="H74" s="172">
        <f>COUNTIF(BASE01[22],E74)</f>
        <v>0</v>
      </c>
      <c r="I74" s="426">
        <f t="shared" si="37"/>
        <v>0</v>
      </c>
      <c r="J74" s="173">
        <v>9</v>
      </c>
      <c r="K74" s="172">
        <f>(COUNTIF(BASE01[12],J74)*3)</f>
        <v>0</v>
      </c>
      <c r="L74" s="172">
        <f>(COUNTIF(BASE01[Columna2],J74)*2)</f>
        <v>0</v>
      </c>
      <c r="M74" s="172">
        <f>COUNTIF(BASE01[Columna23],J74)</f>
        <v>0</v>
      </c>
      <c r="N74" s="426">
        <f t="shared" si="38"/>
        <v>0</v>
      </c>
      <c r="O74" s="173">
        <v>9</v>
      </c>
      <c r="P74" s="172">
        <f>(COUNTIF(BASE01[Columna4],O74)*3)</f>
        <v>0</v>
      </c>
      <c r="Q74" s="172">
        <f>(COUNTIF(BASE01[Columna5],O74)*2)</f>
        <v>0</v>
      </c>
      <c r="R74" s="172">
        <f>COUNTIF(BASE01[Columna53],O74)</f>
        <v>0</v>
      </c>
      <c r="S74" s="426">
        <f t="shared" si="39"/>
        <v>0</v>
      </c>
      <c r="T74" s="173">
        <v>3</v>
      </c>
      <c r="U74" s="172">
        <f>(COUNTIF(BASE01[Columna7],T74)*3)</f>
        <v>0</v>
      </c>
      <c r="V74" s="172">
        <f>(COUNTIF(BASE01[Columna8],T74)*2)</f>
        <v>0</v>
      </c>
      <c r="W74" s="172">
        <f>COUNTIF(BASE01[Columna83],T74)</f>
        <v>0</v>
      </c>
      <c r="X74" s="426">
        <f t="shared" si="40"/>
        <v>0</v>
      </c>
      <c r="Y74" s="173">
        <v>7</v>
      </c>
      <c r="Z74" s="172">
        <f>(COUNTIF(BASE01[Columna10],Y74)*3)</f>
        <v>0</v>
      </c>
      <c r="AA74" s="172">
        <f>(COUNTIF(BASE01[Columna11],Y74)*2)</f>
        <v>0</v>
      </c>
      <c r="AB74" s="172">
        <f>COUNTIF(BASE01[Columna113],Y74)</f>
        <v>0</v>
      </c>
      <c r="AC74" s="426">
        <f t="shared" si="41"/>
        <v>0</v>
      </c>
      <c r="AD74" s="173">
        <v>1</v>
      </c>
      <c r="AE74" s="172">
        <f>(COUNTIF(BASE01[1RA],AD74)*3)</f>
        <v>0</v>
      </c>
      <c r="AF74" s="172">
        <f>(COUNTIF(BASE01[2DA],AD74)*2)</f>
        <v>0</v>
      </c>
      <c r="AG74" s="172">
        <f>COUNTIF(BASE01[2DA2],AD74)</f>
        <v>0</v>
      </c>
      <c r="AH74" s="426">
        <f t="shared" si="42"/>
        <v>0</v>
      </c>
      <c r="AI74" s="173">
        <v>9</v>
      </c>
      <c r="AJ74" s="172">
        <f>(COUNTIF(BASE01[Columna16],AI74)*3)</f>
        <v>0</v>
      </c>
      <c r="AK74" s="172">
        <f>(COUNTIF(BASE01[Columna17],AI74)*2)</f>
        <v>0</v>
      </c>
      <c r="AL74" s="172">
        <f>COUNTIF(BASE01[Columna173],AI74)</f>
        <v>0</v>
      </c>
      <c r="AM74" s="426">
        <f t="shared" si="43"/>
        <v>0</v>
      </c>
      <c r="AN74" s="173">
        <v>10</v>
      </c>
      <c r="AO74" s="172">
        <f>(COUNTIF(BASE01[123],AN74)*3)</f>
        <v>0</v>
      </c>
      <c r="AP74" s="172">
        <f>(COUNTIF(BASE01[555],AN74)*2)</f>
        <v>4</v>
      </c>
      <c r="AQ74" s="172">
        <f>COUNTIF(BASE01[556],AN74)</f>
        <v>0</v>
      </c>
      <c r="AR74" s="426">
        <f t="shared" si="44"/>
        <v>4</v>
      </c>
      <c r="AS74" s="173">
        <v>9</v>
      </c>
      <c r="AT74" s="172">
        <f>(COUNTIF(BASE01[AAAA],AS74)*3)</f>
        <v>0</v>
      </c>
      <c r="AU74" s="172">
        <f>(COUNTIF(BASE01[BBBB],AS74)*2)</f>
        <v>0</v>
      </c>
      <c r="AV74" s="172">
        <f>COUNTIF(BASE01[Columna13],AS74)</f>
        <v>0</v>
      </c>
      <c r="AW74" s="426">
        <f t="shared" si="45"/>
        <v>0</v>
      </c>
      <c r="AX74" s="173">
        <v>6</v>
      </c>
      <c r="AY74" s="172">
        <f>(COUNTIF(BASE01[Columna25],AX74)*3)</f>
        <v>0</v>
      </c>
      <c r="AZ74" s="172">
        <f>(COUNTIF(BASE01[Columna26],AX74)*2)</f>
        <v>0</v>
      </c>
      <c r="BA74" s="172">
        <f>COUNTIF(BASE01[Columna263],AX74)</f>
        <v>0</v>
      </c>
      <c r="BB74" s="426">
        <f t="shared" si="46"/>
        <v>0</v>
      </c>
      <c r="BC74" s="173">
        <v>11</v>
      </c>
      <c r="BD74" s="172">
        <f>(COUNTIF(BASE01[Columna272],BC74)*3)</f>
        <v>0</v>
      </c>
      <c r="BE74" s="172">
        <f>(COUNTIF(BASE01[Columna273],BC74)*2)</f>
        <v>0</v>
      </c>
      <c r="BF74" s="172">
        <f>COUNTIF(BASE01[Columna2732],BC74)</f>
        <v>0</v>
      </c>
      <c r="BG74" s="426">
        <f t="shared" si="47"/>
        <v>0</v>
      </c>
      <c r="BH74" s="173">
        <v>10</v>
      </c>
      <c r="BI74" s="172">
        <f>(COUNTIF(BASE01[Columna276],BH74)*3)</f>
        <v>0</v>
      </c>
      <c r="BJ74" s="172">
        <f>(COUNTIF(BASE01[Columna277],BH74)*2)</f>
        <v>0</v>
      </c>
      <c r="BK74" s="172">
        <f>COUNTIF(BASE01[Columna2772],BH74)</f>
        <v>0</v>
      </c>
      <c r="BL74" s="426">
        <f t="shared" si="48"/>
        <v>0</v>
      </c>
      <c r="BM74" s="173">
        <v>4</v>
      </c>
      <c r="BN74" s="172">
        <f>(COUNTIF(BASE01[Columna280],BM74)*3)</f>
        <v>0</v>
      </c>
      <c r="BO74" s="172">
        <f>(COUNTIF(BASE01[Columna281],BM74)*2)</f>
        <v>0</v>
      </c>
      <c r="BP74" s="172">
        <f>COUNTIF(BASE01[Columna2812],BM74)</f>
        <v>1</v>
      </c>
      <c r="BQ74" s="109">
        <f t="shared" si="49"/>
        <v>1</v>
      </c>
      <c r="BR74" s="171">
        <v>4</v>
      </c>
      <c r="BS74" s="172">
        <f>(COUNTIF(BASE01[Columna2802],BR74)*3)</f>
        <v>0</v>
      </c>
      <c r="BT74" s="172">
        <f>(COUNTIF(BASE01[Columna2813],BR74)*2)</f>
        <v>0</v>
      </c>
      <c r="BU74" s="172">
        <f>COUNTIF(BASE01[Columna28124],BR74)</f>
        <v>0</v>
      </c>
      <c r="BV74" s="109">
        <f t="shared" si="50"/>
        <v>0</v>
      </c>
      <c r="BW74" s="173">
        <v>4</v>
      </c>
      <c r="BX74" s="172">
        <f>(COUNTIF(BASE01[Columna2803],BW74)*3)</f>
        <v>0</v>
      </c>
      <c r="BY74" s="172">
        <f>(COUNTIF(BASE01[Columna2814],BW74)*2)</f>
        <v>0</v>
      </c>
      <c r="BZ74" s="172">
        <f>COUNTIF(BASE01[Columna28125],BW74)</f>
        <v>0</v>
      </c>
      <c r="CA74" s="109">
        <f t="shared" si="51"/>
        <v>0</v>
      </c>
      <c r="CB74" s="173">
        <v>4</v>
      </c>
      <c r="CC74" s="172">
        <f>(COUNTIF(BASE01[Columna2804],CB74)*3)</f>
        <v>0</v>
      </c>
      <c r="CD74" s="172">
        <f>(COUNTIF(BASE01[Columna2815],CB74)*2)</f>
        <v>0</v>
      </c>
      <c r="CE74" s="172">
        <f>COUNTIF(BASE01[Columna28126],CB74)</f>
        <v>0</v>
      </c>
      <c r="CF74" s="109">
        <f t="shared" si="52"/>
        <v>0</v>
      </c>
      <c r="CG74" s="103"/>
      <c r="CH74" s="103"/>
      <c r="CY74" s="110"/>
      <c r="DB74" s="110"/>
      <c r="DC74" s="110"/>
      <c r="DD74" s="110"/>
      <c r="DE74" s="110"/>
      <c r="DF74" s="110"/>
      <c r="DG74" s="110"/>
      <c r="DH74" s="110"/>
      <c r="DI74" s="110"/>
      <c r="DJ74" s="110"/>
      <c r="DK74" s="110"/>
      <c r="DL74" s="110"/>
      <c r="DM74" s="110"/>
      <c r="DN74" s="110"/>
      <c r="DO74" s="388" t="str">
        <f t="shared" si="36"/>
        <v/>
      </c>
      <c r="DP74" s="391"/>
      <c r="DQ74" s="391"/>
      <c r="DR74" s="391"/>
      <c r="EG74" s="388" t="str">
        <f t="shared" si="35"/>
        <v/>
      </c>
      <c r="EH74" s="388"/>
      <c r="EI74" s="388"/>
      <c r="EJ74" s="388"/>
    </row>
    <row r="75" spans="2:140" s="110" customFormat="1" ht="27.95" customHeight="1" x14ac:dyDescent="0.4">
      <c r="B75" s="102"/>
      <c r="C75" s="103"/>
      <c r="D75" s="103"/>
      <c r="E75" s="107">
        <v>10</v>
      </c>
      <c r="F75" s="108">
        <f>(COUNTIF(BASE01[1],E75)*3)</f>
        <v>0</v>
      </c>
      <c r="G75" s="172">
        <f>(COUNTIF(BASE01[2],E75)*2)</f>
        <v>0</v>
      </c>
      <c r="H75" s="172">
        <f>COUNTIF(BASE01[22],E75)</f>
        <v>0</v>
      </c>
      <c r="I75" s="426">
        <f t="shared" si="37"/>
        <v>0</v>
      </c>
      <c r="J75" s="173">
        <v>10</v>
      </c>
      <c r="K75" s="172">
        <f>(COUNTIF(BASE01[12],J75)*3)</f>
        <v>0</v>
      </c>
      <c r="L75" s="172">
        <f>(COUNTIF(BASE01[Columna2],J75)*2)</f>
        <v>0</v>
      </c>
      <c r="M75" s="172">
        <f>COUNTIF(BASE01[Columna23],J75)</f>
        <v>0</v>
      </c>
      <c r="N75" s="426">
        <f t="shared" si="38"/>
        <v>0</v>
      </c>
      <c r="O75" s="173">
        <v>10</v>
      </c>
      <c r="P75" s="172">
        <f>(COUNTIF(BASE01[Columna4],O75)*3)</f>
        <v>0</v>
      </c>
      <c r="Q75" s="172">
        <f>(COUNTIF(BASE01[Columna5],O75)*2)</f>
        <v>0</v>
      </c>
      <c r="R75" s="172">
        <f>COUNTIF(BASE01[Columna53],O75)</f>
        <v>0</v>
      </c>
      <c r="S75" s="426">
        <f t="shared" si="39"/>
        <v>0</v>
      </c>
      <c r="T75" s="173">
        <v>10</v>
      </c>
      <c r="U75" s="172">
        <f>(COUNTIF(BASE01[Columna7],T75)*3)</f>
        <v>0</v>
      </c>
      <c r="V75" s="172">
        <f>(COUNTIF(BASE01[Columna8],T75)*2)</f>
        <v>0</v>
      </c>
      <c r="W75" s="172">
        <f>COUNTIF(BASE01[Columna83],T75)</f>
        <v>0</v>
      </c>
      <c r="X75" s="426">
        <f t="shared" si="40"/>
        <v>0</v>
      </c>
      <c r="Y75" s="173">
        <v>2</v>
      </c>
      <c r="Z75" s="172">
        <f>(COUNTIF(BASE01[Columna10],Y75)*3)</f>
        <v>0</v>
      </c>
      <c r="AA75" s="172">
        <f>(COUNTIF(BASE01[Columna11],Y75)*2)</f>
        <v>0</v>
      </c>
      <c r="AB75" s="172">
        <f>COUNTIF(BASE01[Columna113],Y75)</f>
        <v>0</v>
      </c>
      <c r="AC75" s="426">
        <f t="shared" si="41"/>
        <v>0</v>
      </c>
      <c r="AD75" s="173">
        <v>10</v>
      </c>
      <c r="AE75" s="172">
        <f>(COUNTIF(BASE01[1RA],AD75)*3)</f>
        <v>0</v>
      </c>
      <c r="AF75" s="172">
        <f>(COUNTIF(BASE01[2DA],AD75)*2)</f>
        <v>0</v>
      </c>
      <c r="AG75" s="172">
        <f>COUNTIF(BASE01[2DA2],AD75)</f>
        <v>0</v>
      </c>
      <c r="AH75" s="426">
        <f t="shared" si="42"/>
        <v>0</v>
      </c>
      <c r="AI75" s="173">
        <v>10</v>
      </c>
      <c r="AJ75" s="172">
        <f>(COUNTIF(BASE01[Columna16],AI75)*3)</f>
        <v>0</v>
      </c>
      <c r="AK75" s="172">
        <f>(COUNTIF(BASE01[Columna17],AI75)*2)</f>
        <v>0</v>
      </c>
      <c r="AL75" s="172">
        <f>COUNTIF(BASE01[Columna173],AI75)</f>
        <v>0</v>
      </c>
      <c r="AM75" s="426">
        <f t="shared" si="43"/>
        <v>0</v>
      </c>
      <c r="AN75" s="173">
        <v>3</v>
      </c>
      <c r="AO75" s="172">
        <f>(COUNTIF(BASE01[123],AN75)*3)</f>
        <v>0</v>
      </c>
      <c r="AP75" s="172">
        <f>(COUNTIF(BASE01[555],AN75)*2)</f>
        <v>2</v>
      </c>
      <c r="AQ75" s="172">
        <f>COUNTIF(BASE01[556],AN75)</f>
        <v>1</v>
      </c>
      <c r="AR75" s="426">
        <f t="shared" si="44"/>
        <v>3</v>
      </c>
      <c r="AS75" s="173">
        <v>10</v>
      </c>
      <c r="AT75" s="172">
        <f>(COUNTIF(BASE01[AAAA],AS75)*3)</f>
        <v>0</v>
      </c>
      <c r="AU75" s="172">
        <f>(COUNTIF(BASE01[BBBB],AS75)*2)</f>
        <v>0</v>
      </c>
      <c r="AV75" s="172">
        <f>COUNTIF(BASE01[Columna13],AS75)</f>
        <v>0</v>
      </c>
      <c r="AW75" s="426">
        <f t="shared" si="45"/>
        <v>0</v>
      </c>
      <c r="AX75" s="173">
        <v>10</v>
      </c>
      <c r="AY75" s="172">
        <f>(COUNTIF(BASE01[Columna25],AX75)*3)</f>
        <v>0</v>
      </c>
      <c r="AZ75" s="172">
        <f>(COUNTIF(BASE01[Columna26],AX75)*2)</f>
        <v>0</v>
      </c>
      <c r="BA75" s="172">
        <f>COUNTIF(BASE01[Columna263],AX75)</f>
        <v>0</v>
      </c>
      <c r="BB75" s="426">
        <f t="shared" si="46"/>
        <v>0</v>
      </c>
      <c r="BC75" s="173">
        <v>12</v>
      </c>
      <c r="BD75" s="172">
        <f>(COUNTIF(BASE01[Columna272],BC75)*3)</f>
        <v>0</v>
      </c>
      <c r="BE75" s="172">
        <f>(COUNTIF(BASE01[Columna273],BC75)*2)</f>
        <v>0</v>
      </c>
      <c r="BF75" s="172">
        <f>COUNTIF(BASE01[Columna2732],BC75)</f>
        <v>0</v>
      </c>
      <c r="BG75" s="426">
        <f t="shared" si="47"/>
        <v>0</v>
      </c>
      <c r="BH75" s="173">
        <v>9</v>
      </c>
      <c r="BI75" s="172">
        <f>(COUNTIF(BASE01[Columna276],BH75)*3)</f>
        <v>0</v>
      </c>
      <c r="BJ75" s="172">
        <f>(COUNTIF(BASE01[Columna277],BH75)*2)</f>
        <v>0</v>
      </c>
      <c r="BK75" s="172">
        <f>COUNTIF(BASE01[Columna2772],BH75)</f>
        <v>0</v>
      </c>
      <c r="BL75" s="426">
        <f t="shared" si="48"/>
        <v>0</v>
      </c>
      <c r="BM75" s="173">
        <v>8</v>
      </c>
      <c r="BN75" s="172">
        <f>(COUNTIF(BASE01[Columna280],BM75)*3)</f>
        <v>0</v>
      </c>
      <c r="BO75" s="172">
        <f>(COUNTIF(BASE01[Columna281],BM75)*2)</f>
        <v>0</v>
      </c>
      <c r="BP75" s="172">
        <f>COUNTIF(BASE01[Columna2812],BM75)</f>
        <v>0</v>
      </c>
      <c r="BQ75" s="109">
        <f t="shared" si="49"/>
        <v>0</v>
      </c>
      <c r="BR75" s="171">
        <v>8</v>
      </c>
      <c r="BS75" s="172">
        <f>(COUNTIF(BASE01[Columna2802],BR75)*3)</f>
        <v>0</v>
      </c>
      <c r="BT75" s="172">
        <f>(COUNTIF(BASE01[Columna2813],BR75)*2)</f>
        <v>0</v>
      </c>
      <c r="BU75" s="172">
        <f>COUNTIF(BASE01[Columna28124],BR75)</f>
        <v>0</v>
      </c>
      <c r="BV75" s="109">
        <f t="shared" si="50"/>
        <v>0</v>
      </c>
      <c r="BW75" s="173">
        <v>8</v>
      </c>
      <c r="BX75" s="172">
        <f>(COUNTIF(BASE01[Columna2803],BW75)*3)</f>
        <v>0</v>
      </c>
      <c r="BY75" s="172">
        <f>(COUNTIF(BASE01[Columna2814],BW75)*2)</f>
        <v>0</v>
      </c>
      <c r="BZ75" s="172">
        <f>COUNTIF(BASE01[Columna28125],BW75)</f>
        <v>0</v>
      </c>
      <c r="CA75" s="109">
        <f t="shared" si="51"/>
        <v>0</v>
      </c>
      <c r="CB75" s="173">
        <v>8</v>
      </c>
      <c r="CC75" s="172">
        <f>(COUNTIF(BASE01[Columna2804],CB75)*3)</f>
        <v>0</v>
      </c>
      <c r="CD75" s="172">
        <f>(COUNTIF(BASE01[Columna2815],CB75)*2)</f>
        <v>0</v>
      </c>
      <c r="CE75" s="172">
        <f>COUNTIF(BASE01[Columna28126],CB75)</f>
        <v>0</v>
      </c>
      <c r="CF75" s="109">
        <f t="shared" si="52"/>
        <v>0</v>
      </c>
      <c r="CG75" s="103"/>
      <c r="CH75" s="103"/>
      <c r="DO75" s="388" t="str">
        <f t="shared" si="36"/>
        <v/>
      </c>
      <c r="DP75" s="391"/>
      <c r="DQ75" s="391"/>
      <c r="DR75" s="391"/>
      <c r="EG75" s="388" t="str">
        <f t="shared" si="35"/>
        <v/>
      </c>
      <c r="EH75" s="391"/>
      <c r="EI75" s="391"/>
      <c r="EJ75" s="391"/>
    </row>
    <row r="76" spans="2:140" s="110" customFormat="1" ht="27.95" customHeight="1" x14ac:dyDescent="0.4">
      <c r="B76" s="102"/>
      <c r="C76" s="103"/>
      <c r="D76" s="103"/>
      <c r="E76" s="107">
        <v>11</v>
      </c>
      <c r="F76" s="108">
        <f>(COUNTIF(BASE01[1],E76)*3)</f>
        <v>0</v>
      </c>
      <c r="G76" s="172">
        <f>(COUNTIF(BASE01[2],E76)*2)</f>
        <v>0</v>
      </c>
      <c r="H76" s="172">
        <f>COUNTIF(BASE01[22],E76)</f>
        <v>0</v>
      </c>
      <c r="I76" s="426">
        <f t="shared" si="37"/>
        <v>0</v>
      </c>
      <c r="J76" s="173">
        <v>11</v>
      </c>
      <c r="K76" s="172">
        <f>(COUNTIF(BASE01[12],J76)*3)</f>
        <v>0</v>
      </c>
      <c r="L76" s="172">
        <f>(COUNTIF(BASE01[Columna2],J76)*2)</f>
        <v>0</v>
      </c>
      <c r="M76" s="172">
        <f>COUNTIF(BASE01[Columna23],J76)</f>
        <v>0</v>
      </c>
      <c r="N76" s="426">
        <f t="shared" si="38"/>
        <v>0</v>
      </c>
      <c r="O76" s="173">
        <v>11</v>
      </c>
      <c r="P76" s="172">
        <f>(COUNTIF(BASE01[Columna4],O76)*3)</f>
        <v>0</v>
      </c>
      <c r="Q76" s="172">
        <f>(COUNTIF(BASE01[Columna5],O76)*2)</f>
        <v>0</v>
      </c>
      <c r="R76" s="172">
        <f>COUNTIF(BASE01[Columna53],O76)</f>
        <v>0</v>
      </c>
      <c r="S76" s="426">
        <f t="shared" si="39"/>
        <v>0</v>
      </c>
      <c r="T76" s="173">
        <v>11</v>
      </c>
      <c r="U76" s="172">
        <f>(COUNTIF(BASE01[Columna7],T76)*3)</f>
        <v>0</v>
      </c>
      <c r="V76" s="172">
        <f>(COUNTIF(BASE01[Columna8],T76)*2)</f>
        <v>0</v>
      </c>
      <c r="W76" s="172">
        <f>COUNTIF(BASE01[Columna83],T76)</f>
        <v>0</v>
      </c>
      <c r="X76" s="426">
        <f t="shared" si="40"/>
        <v>0</v>
      </c>
      <c r="Y76" s="173">
        <v>11</v>
      </c>
      <c r="Z76" s="172">
        <f>(COUNTIF(BASE01[Columna10],Y76)*3)</f>
        <v>0</v>
      </c>
      <c r="AA76" s="172">
        <f>(COUNTIF(BASE01[Columna11],Y76)*2)</f>
        <v>0</v>
      </c>
      <c r="AB76" s="172">
        <f>COUNTIF(BASE01[Columna113],Y76)</f>
        <v>0</v>
      </c>
      <c r="AC76" s="426">
        <f t="shared" si="41"/>
        <v>0</v>
      </c>
      <c r="AD76" s="173">
        <v>11</v>
      </c>
      <c r="AE76" s="172">
        <f>(COUNTIF(BASE01[1RA],AD76)*3)</f>
        <v>0</v>
      </c>
      <c r="AF76" s="172">
        <f>(COUNTIF(BASE01[2DA],AD76)*2)</f>
        <v>0</v>
      </c>
      <c r="AG76" s="172">
        <f>COUNTIF(BASE01[2DA2],AD76)</f>
        <v>0</v>
      </c>
      <c r="AH76" s="426">
        <f t="shared" si="42"/>
        <v>0</v>
      </c>
      <c r="AI76" s="173">
        <v>11</v>
      </c>
      <c r="AJ76" s="172">
        <f>(COUNTIF(BASE01[Columna16],AI76)*3)</f>
        <v>0</v>
      </c>
      <c r="AK76" s="172">
        <f>(COUNTIF(BASE01[Columna17],AI76)*2)</f>
        <v>0</v>
      </c>
      <c r="AL76" s="172">
        <f>COUNTIF(BASE01[Columna173],AI76)</f>
        <v>0</v>
      </c>
      <c r="AM76" s="426">
        <f t="shared" si="43"/>
        <v>0</v>
      </c>
      <c r="AN76" s="173">
        <v>4</v>
      </c>
      <c r="AO76" s="172">
        <f>(COUNTIF(BASE01[123],AN76)*3)</f>
        <v>0</v>
      </c>
      <c r="AP76" s="172">
        <f>(COUNTIF(BASE01[555],AN76)*2)</f>
        <v>0</v>
      </c>
      <c r="AQ76" s="172">
        <f>COUNTIF(BASE01[556],AN76)</f>
        <v>1</v>
      </c>
      <c r="AR76" s="426">
        <f t="shared" si="44"/>
        <v>1</v>
      </c>
      <c r="AS76" s="173">
        <v>11</v>
      </c>
      <c r="AT76" s="172">
        <f>(COUNTIF(BASE01[AAAA],AS76)*3)</f>
        <v>0</v>
      </c>
      <c r="AU76" s="172">
        <f>(COUNTIF(BASE01[BBBB],AS76)*2)</f>
        <v>0</v>
      </c>
      <c r="AV76" s="172">
        <f>COUNTIF(BASE01[Columna13],AS76)</f>
        <v>0</v>
      </c>
      <c r="AW76" s="426">
        <f t="shared" si="45"/>
        <v>0</v>
      </c>
      <c r="AX76" s="173">
        <v>12</v>
      </c>
      <c r="AY76" s="172">
        <f>(COUNTIF(BASE01[Columna25],AX76)*3)</f>
        <v>0</v>
      </c>
      <c r="AZ76" s="172">
        <f>(COUNTIF(BASE01[Columna26],AX76)*2)</f>
        <v>0</v>
      </c>
      <c r="BA76" s="172">
        <f>COUNTIF(BASE01[Columna263],AX76)</f>
        <v>0</v>
      </c>
      <c r="BB76" s="426">
        <f t="shared" si="46"/>
        <v>0</v>
      </c>
      <c r="BC76" s="173">
        <v>9</v>
      </c>
      <c r="BD76" s="172">
        <f>(COUNTIF(BASE01[Columna272],BC76)*3)</f>
        <v>0</v>
      </c>
      <c r="BE76" s="172">
        <f>(COUNTIF(BASE01[Columna273],BC76)*2)</f>
        <v>0</v>
      </c>
      <c r="BF76" s="172">
        <f>COUNTIF(BASE01[Columna2732],BC76)</f>
        <v>0</v>
      </c>
      <c r="BG76" s="426">
        <f t="shared" si="47"/>
        <v>0</v>
      </c>
      <c r="BH76" s="173">
        <v>11</v>
      </c>
      <c r="BI76" s="172">
        <f>(COUNTIF(BASE01[Columna276],BH76)*3)</f>
        <v>0</v>
      </c>
      <c r="BJ76" s="172">
        <f>(COUNTIF(BASE01[Columna277],BH76)*2)</f>
        <v>0</v>
      </c>
      <c r="BK76" s="172">
        <f>COUNTIF(BASE01[Columna2772],BH76)</f>
        <v>0</v>
      </c>
      <c r="BL76" s="426">
        <f t="shared" si="48"/>
        <v>0</v>
      </c>
      <c r="BM76" s="173">
        <v>6</v>
      </c>
      <c r="BN76" s="172">
        <f>(COUNTIF(BASE01[Columna280],BM76)*3)</f>
        <v>0</v>
      </c>
      <c r="BO76" s="172">
        <f>(COUNTIF(BASE01[Columna281],BM76)*2)</f>
        <v>0</v>
      </c>
      <c r="BP76" s="172">
        <f>COUNTIF(BASE01[Columna2812],BM76)</f>
        <v>0</v>
      </c>
      <c r="BQ76" s="109">
        <f t="shared" si="49"/>
        <v>0</v>
      </c>
      <c r="BR76" s="171">
        <v>6</v>
      </c>
      <c r="BS76" s="172">
        <f>(COUNTIF(BASE01[Columna2802],BR76)*3)</f>
        <v>0</v>
      </c>
      <c r="BT76" s="172">
        <f>(COUNTIF(BASE01[Columna2813],BR76)*2)</f>
        <v>0</v>
      </c>
      <c r="BU76" s="172">
        <f>COUNTIF(BASE01[Columna28124],BR76)</f>
        <v>0</v>
      </c>
      <c r="BV76" s="109">
        <f t="shared" si="50"/>
        <v>0</v>
      </c>
      <c r="BW76" s="173">
        <v>6</v>
      </c>
      <c r="BX76" s="172">
        <f>(COUNTIF(BASE01[Columna2803],BW76)*3)</f>
        <v>0</v>
      </c>
      <c r="BY76" s="172">
        <f>(COUNTIF(BASE01[Columna2814],BW76)*2)</f>
        <v>0</v>
      </c>
      <c r="BZ76" s="172">
        <f>COUNTIF(BASE01[Columna28125],BW76)</f>
        <v>0</v>
      </c>
      <c r="CA76" s="109">
        <f t="shared" si="51"/>
        <v>0</v>
      </c>
      <c r="CB76" s="173">
        <v>6</v>
      </c>
      <c r="CC76" s="172">
        <f>(COUNTIF(BASE01[Columna2804],CB76)*3)</f>
        <v>0</v>
      </c>
      <c r="CD76" s="172">
        <f>(COUNTIF(BASE01[Columna2815],CB76)*2)</f>
        <v>0</v>
      </c>
      <c r="CE76" s="172">
        <f>COUNTIF(BASE01[Columna28126],CB76)</f>
        <v>0</v>
      </c>
      <c r="CF76" s="109">
        <f t="shared" si="52"/>
        <v>0</v>
      </c>
      <c r="CG76" s="103"/>
      <c r="CH76" s="103"/>
      <c r="DO76" s="388" t="str">
        <f t="shared" si="36"/>
        <v/>
      </c>
      <c r="DP76" s="391"/>
      <c r="DQ76" s="391"/>
      <c r="DR76" s="391"/>
      <c r="EG76" s="388" t="str">
        <f t="shared" si="35"/>
        <v/>
      </c>
      <c r="EH76" s="391"/>
      <c r="EI76" s="391"/>
      <c r="EJ76" s="391"/>
    </row>
    <row r="77" spans="2:140" s="110" customFormat="1" ht="27.95" customHeight="1" x14ac:dyDescent="0.4">
      <c r="B77" s="102"/>
      <c r="C77" s="103"/>
      <c r="D77" s="103"/>
      <c r="E77" s="107">
        <v>12</v>
      </c>
      <c r="F77" s="108">
        <f>(COUNTIF(BASE01[1],E77)*3)</f>
        <v>0</v>
      </c>
      <c r="G77" s="172">
        <f>(COUNTIF(BASE01[2],E77)*2)</f>
        <v>0</v>
      </c>
      <c r="H77" s="172">
        <f>COUNTIF(BASE01[22],E77)</f>
        <v>0</v>
      </c>
      <c r="I77" s="426">
        <f t="shared" si="37"/>
        <v>0</v>
      </c>
      <c r="J77" s="173">
        <v>12</v>
      </c>
      <c r="K77" s="172">
        <f>(COUNTIF(BASE01[12],J77)*3)</f>
        <v>0</v>
      </c>
      <c r="L77" s="172">
        <f>(COUNTIF(BASE01[Columna2],J77)*2)</f>
        <v>0</v>
      </c>
      <c r="M77" s="172">
        <f>COUNTIF(BASE01[Columna23],J77)</f>
        <v>0</v>
      </c>
      <c r="N77" s="426">
        <f t="shared" si="38"/>
        <v>0</v>
      </c>
      <c r="O77" s="173">
        <v>12</v>
      </c>
      <c r="P77" s="172">
        <f>(COUNTIF(BASE01[Columna4],O77)*3)</f>
        <v>0</v>
      </c>
      <c r="Q77" s="172">
        <f>(COUNTIF(BASE01[Columna5],O77)*2)</f>
        <v>0</v>
      </c>
      <c r="R77" s="172">
        <f>COUNTIF(BASE01[Columna53],O77)</f>
        <v>0</v>
      </c>
      <c r="S77" s="426">
        <f t="shared" si="39"/>
        <v>0</v>
      </c>
      <c r="T77" s="173">
        <v>12</v>
      </c>
      <c r="U77" s="172">
        <f>(COUNTIF(BASE01[Columna7],T77)*3)</f>
        <v>0</v>
      </c>
      <c r="V77" s="172">
        <f>(COUNTIF(BASE01[Columna8],T77)*2)</f>
        <v>0</v>
      </c>
      <c r="W77" s="172">
        <f>COUNTIF(BASE01[Columna83],T77)</f>
        <v>0</v>
      </c>
      <c r="X77" s="426">
        <f t="shared" si="40"/>
        <v>0</v>
      </c>
      <c r="Y77" s="173">
        <v>12</v>
      </c>
      <c r="Z77" s="172">
        <f>(COUNTIF(BASE01[Columna10],Y77)*3)</f>
        <v>0</v>
      </c>
      <c r="AA77" s="172">
        <f>(COUNTIF(BASE01[Columna11],Y77)*2)</f>
        <v>0</v>
      </c>
      <c r="AB77" s="172">
        <f>COUNTIF(BASE01[Columna113],Y77)</f>
        <v>0</v>
      </c>
      <c r="AC77" s="426">
        <f t="shared" si="41"/>
        <v>0</v>
      </c>
      <c r="AD77" s="173">
        <v>12</v>
      </c>
      <c r="AE77" s="172">
        <f>(COUNTIF(BASE01[1RA],AD77)*3)</f>
        <v>0</v>
      </c>
      <c r="AF77" s="172">
        <f>(COUNTIF(BASE01[2DA],AD77)*2)</f>
        <v>0</v>
      </c>
      <c r="AG77" s="172">
        <f>COUNTIF(BASE01[2DA2],AD77)</f>
        <v>0</v>
      </c>
      <c r="AH77" s="426">
        <f t="shared" si="42"/>
        <v>0</v>
      </c>
      <c r="AI77" s="173">
        <v>12</v>
      </c>
      <c r="AJ77" s="172">
        <f>(COUNTIF(BASE01[Columna16],AI77)*3)</f>
        <v>0</v>
      </c>
      <c r="AK77" s="172">
        <f>(COUNTIF(BASE01[Columna17],AI77)*2)</f>
        <v>0</v>
      </c>
      <c r="AL77" s="172">
        <f>COUNTIF(BASE01[Columna173],AI77)</f>
        <v>0</v>
      </c>
      <c r="AM77" s="426">
        <f t="shared" si="43"/>
        <v>0</v>
      </c>
      <c r="AN77" s="173">
        <v>2</v>
      </c>
      <c r="AO77" s="172">
        <f>(COUNTIF(BASE01[123],AN77)*3)</f>
        <v>0</v>
      </c>
      <c r="AP77" s="172">
        <f>(COUNTIF(BASE01[555],AN77)*2)</f>
        <v>0</v>
      </c>
      <c r="AQ77" s="172">
        <f>COUNTIF(BASE01[556],AN77)</f>
        <v>0</v>
      </c>
      <c r="AR77" s="426">
        <f t="shared" si="44"/>
        <v>0</v>
      </c>
      <c r="AS77" s="173">
        <v>12</v>
      </c>
      <c r="AT77" s="172">
        <f>(COUNTIF(BASE01[AAAA],AS77)*3)</f>
        <v>0</v>
      </c>
      <c r="AU77" s="172">
        <f>(COUNTIF(BASE01[BBBB],AS77)*2)</f>
        <v>0</v>
      </c>
      <c r="AV77" s="172">
        <f>COUNTIF(BASE01[Columna13],AS77)</f>
        <v>0</v>
      </c>
      <c r="AW77" s="426">
        <f t="shared" si="45"/>
        <v>0</v>
      </c>
      <c r="AX77" s="173">
        <v>11</v>
      </c>
      <c r="AY77" s="172">
        <f>(COUNTIF(BASE01[Columna25],AX77)*3)</f>
        <v>0</v>
      </c>
      <c r="AZ77" s="172">
        <f>(COUNTIF(BASE01[Columna26],AX77)*2)</f>
        <v>0</v>
      </c>
      <c r="BA77" s="172">
        <f>COUNTIF(BASE01[Columna263],AX77)</f>
        <v>0</v>
      </c>
      <c r="BB77" s="426">
        <f t="shared" si="46"/>
        <v>0</v>
      </c>
      <c r="BC77" s="173">
        <v>10</v>
      </c>
      <c r="BD77" s="172">
        <f>(COUNTIF(BASE01[Columna272],BC77)*3)</f>
        <v>0</v>
      </c>
      <c r="BE77" s="172">
        <f>(COUNTIF(BASE01[Columna273],BC77)*2)</f>
        <v>0</v>
      </c>
      <c r="BF77" s="172">
        <f>COUNTIF(BASE01[Columna2732],BC77)</f>
        <v>0</v>
      </c>
      <c r="BG77" s="426">
        <f t="shared" si="47"/>
        <v>0</v>
      </c>
      <c r="BH77" s="173">
        <v>12</v>
      </c>
      <c r="BI77" s="172">
        <f>(COUNTIF(BASE01[Columna276],BH77)*3)</f>
        <v>0</v>
      </c>
      <c r="BJ77" s="172">
        <f>(COUNTIF(BASE01[Columna277],BH77)*2)</f>
        <v>0</v>
      </c>
      <c r="BK77" s="172">
        <f>COUNTIF(BASE01[Columna2772],BH77)</f>
        <v>0</v>
      </c>
      <c r="BL77" s="426">
        <f t="shared" si="48"/>
        <v>0</v>
      </c>
      <c r="BM77" s="173">
        <v>7</v>
      </c>
      <c r="BN77" s="172">
        <f>(COUNTIF(BASE01[Columna280],BM77)*3)</f>
        <v>0</v>
      </c>
      <c r="BO77" s="172">
        <f>(COUNTIF(BASE01[Columna281],BM77)*2)</f>
        <v>0</v>
      </c>
      <c r="BP77" s="172">
        <f>COUNTIF(BASE01[Columna2812],BM77)</f>
        <v>0</v>
      </c>
      <c r="BQ77" s="109">
        <f t="shared" si="49"/>
        <v>0</v>
      </c>
      <c r="BR77" s="171">
        <v>7</v>
      </c>
      <c r="BS77" s="172">
        <f>(COUNTIF(BASE01[Columna2802],BR77)*3)</f>
        <v>0</v>
      </c>
      <c r="BT77" s="172">
        <f>(COUNTIF(BASE01[Columna2813],BR77)*2)</f>
        <v>0</v>
      </c>
      <c r="BU77" s="172">
        <f>COUNTIF(BASE01[Columna28124],BR77)</f>
        <v>0</v>
      </c>
      <c r="BV77" s="109">
        <f t="shared" si="50"/>
        <v>0</v>
      </c>
      <c r="BW77" s="173">
        <v>7</v>
      </c>
      <c r="BX77" s="172">
        <f>(COUNTIF(BASE01[Columna2803],BW77)*3)</f>
        <v>0</v>
      </c>
      <c r="BY77" s="172">
        <f>(COUNTIF(BASE01[Columna2814],BW77)*2)</f>
        <v>0</v>
      </c>
      <c r="BZ77" s="172">
        <f>COUNTIF(BASE01[Columna28125],BW77)</f>
        <v>0</v>
      </c>
      <c r="CA77" s="109">
        <f t="shared" si="51"/>
        <v>0</v>
      </c>
      <c r="CB77" s="173">
        <v>7</v>
      </c>
      <c r="CC77" s="172">
        <f>(COUNTIF(BASE01[Columna2804],CB77)*3)</f>
        <v>0</v>
      </c>
      <c r="CD77" s="172">
        <f>(COUNTIF(BASE01[Columna2815],CB77)*2)</f>
        <v>0</v>
      </c>
      <c r="CE77" s="172">
        <f>COUNTIF(BASE01[Columna28126],CB77)</f>
        <v>0</v>
      </c>
      <c r="CF77" s="109">
        <f t="shared" si="52"/>
        <v>0</v>
      </c>
      <c r="CG77" s="103"/>
      <c r="CH77" s="103"/>
      <c r="DO77" s="388" t="str">
        <f t="shared" si="36"/>
        <v/>
      </c>
      <c r="DP77" s="391"/>
      <c r="DQ77" s="391"/>
      <c r="DR77" s="391"/>
      <c r="EG77" s="388" t="str">
        <f t="shared" si="35"/>
        <v/>
      </c>
      <c r="EH77" s="391"/>
      <c r="EI77" s="391"/>
      <c r="EJ77" s="391"/>
    </row>
    <row r="78" spans="2:140" s="110" customFormat="1" ht="27.95" customHeight="1" x14ac:dyDescent="0.4">
      <c r="B78" s="102"/>
      <c r="C78" s="103"/>
      <c r="D78" s="103"/>
      <c r="E78" s="107">
        <v>13</v>
      </c>
      <c r="F78" s="108">
        <f>(COUNTIF(BASE01[1],E78)*3)</f>
        <v>0</v>
      </c>
      <c r="G78" s="172">
        <f>(COUNTIF(BASE01[2],E78)*2)</f>
        <v>0</v>
      </c>
      <c r="H78" s="172">
        <f>COUNTIF(BASE01[22],E78)</f>
        <v>0</v>
      </c>
      <c r="I78" s="426">
        <f t="shared" si="37"/>
        <v>0</v>
      </c>
      <c r="J78" s="173">
        <v>13</v>
      </c>
      <c r="K78" s="172">
        <f>(COUNTIF(BASE01[12],J78)*3)</f>
        <v>0</v>
      </c>
      <c r="L78" s="172">
        <f>(COUNTIF(BASE01[Columna2],J78)*2)</f>
        <v>0</v>
      </c>
      <c r="M78" s="172">
        <f>COUNTIF(BASE01[Columna23],J78)</f>
        <v>0</v>
      </c>
      <c r="N78" s="426">
        <f t="shared" si="38"/>
        <v>0</v>
      </c>
      <c r="O78" s="173">
        <v>13</v>
      </c>
      <c r="P78" s="172">
        <f>(COUNTIF(BASE01[Columna4],O78)*3)</f>
        <v>0</v>
      </c>
      <c r="Q78" s="172">
        <f>(COUNTIF(BASE01[Columna5],O78)*2)</f>
        <v>0</v>
      </c>
      <c r="R78" s="172">
        <f>COUNTIF(BASE01[Columna53],O78)</f>
        <v>0</v>
      </c>
      <c r="S78" s="426">
        <f t="shared" si="39"/>
        <v>0</v>
      </c>
      <c r="T78" s="173">
        <v>13</v>
      </c>
      <c r="U78" s="172">
        <f>(COUNTIF(BASE01[Columna7],T78)*3)</f>
        <v>0</v>
      </c>
      <c r="V78" s="172">
        <f>(COUNTIF(BASE01[Columna8],T78)*2)</f>
        <v>0</v>
      </c>
      <c r="W78" s="172">
        <f>COUNTIF(BASE01[Columna83],T78)</f>
        <v>0</v>
      </c>
      <c r="X78" s="426">
        <f t="shared" si="40"/>
        <v>0</v>
      </c>
      <c r="Y78" s="173">
        <v>13</v>
      </c>
      <c r="Z78" s="172">
        <f>(COUNTIF(BASE01[Columna10],Y78)*3)</f>
        <v>0</v>
      </c>
      <c r="AA78" s="172">
        <f>(COUNTIF(BASE01[Columna11],Y78)*2)</f>
        <v>0</v>
      </c>
      <c r="AB78" s="172">
        <f>COUNTIF(BASE01[Columna113],Y78)</f>
        <v>0</v>
      </c>
      <c r="AC78" s="426">
        <f t="shared" si="41"/>
        <v>0</v>
      </c>
      <c r="AD78" s="173">
        <v>13</v>
      </c>
      <c r="AE78" s="172">
        <f>(COUNTIF(BASE01[1RA],AD78)*3)</f>
        <v>0</v>
      </c>
      <c r="AF78" s="172">
        <f>(COUNTIF(BASE01[2DA],AD78)*2)</f>
        <v>0</v>
      </c>
      <c r="AG78" s="172">
        <f>COUNTIF(BASE01[2DA2],AD78)</f>
        <v>0</v>
      </c>
      <c r="AH78" s="426">
        <f t="shared" si="42"/>
        <v>0</v>
      </c>
      <c r="AI78" s="173">
        <v>13</v>
      </c>
      <c r="AJ78" s="172">
        <f>(COUNTIF(BASE01[Columna16],AI78)*3)</f>
        <v>0</v>
      </c>
      <c r="AK78" s="172">
        <f>(COUNTIF(BASE01[Columna17],AI78)*2)</f>
        <v>0</v>
      </c>
      <c r="AL78" s="172">
        <f>COUNTIF(BASE01[Columna173],AI78)</f>
        <v>0</v>
      </c>
      <c r="AM78" s="426">
        <f t="shared" si="43"/>
        <v>0</v>
      </c>
      <c r="AN78" s="173">
        <v>13</v>
      </c>
      <c r="AO78" s="172">
        <f>(COUNTIF(BASE01[123],AN78)*3)</f>
        <v>0</v>
      </c>
      <c r="AP78" s="172">
        <f>(COUNTIF(BASE01[555],AN78)*2)</f>
        <v>0</v>
      </c>
      <c r="AQ78" s="172">
        <f>COUNTIF(BASE01[556],AN78)</f>
        <v>0</v>
      </c>
      <c r="AR78" s="426">
        <f t="shared" si="44"/>
        <v>0</v>
      </c>
      <c r="AS78" s="173">
        <v>13</v>
      </c>
      <c r="AT78" s="172">
        <f>(COUNTIF(BASE01[AAAA],AS78)*3)</f>
        <v>0</v>
      </c>
      <c r="AU78" s="172">
        <f>(COUNTIF(BASE01[BBBB],AS78)*2)</f>
        <v>0</v>
      </c>
      <c r="AV78" s="172">
        <f>COUNTIF(BASE01[Columna13],AS78)</f>
        <v>0</v>
      </c>
      <c r="AW78" s="426">
        <f t="shared" si="45"/>
        <v>0</v>
      </c>
      <c r="AX78" s="173">
        <v>13</v>
      </c>
      <c r="AY78" s="172">
        <f>(COUNTIF(BASE01[Columna25],AX78)*3)</f>
        <v>0</v>
      </c>
      <c r="AZ78" s="172">
        <f>(COUNTIF(BASE01[Columna26],AX78)*2)</f>
        <v>0</v>
      </c>
      <c r="BA78" s="172">
        <f>COUNTIF(BASE01[Columna263],AX78)</f>
        <v>0</v>
      </c>
      <c r="BB78" s="426">
        <f t="shared" si="46"/>
        <v>0</v>
      </c>
      <c r="BC78" s="173">
        <v>13</v>
      </c>
      <c r="BD78" s="172">
        <f>(COUNTIF(BASE01[Columna272],BC78)*3)</f>
        <v>0</v>
      </c>
      <c r="BE78" s="172">
        <f>(COUNTIF(BASE01[Columna273],BC78)*2)</f>
        <v>0</v>
      </c>
      <c r="BF78" s="172">
        <f>COUNTIF(BASE01[Columna2732],BC78)</f>
        <v>0</v>
      </c>
      <c r="BG78" s="426">
        <f t="shared" si="47"/>
        <v>0</v>
      </c>
      <c r="BH78" s="173">
        <v>13</v>
      </c>
      <c r="BI78" s="172">
        <f>(COUNTIF(BASE01[Columna276],BH78)*3)</f>
        <v>0</v>
      </c>
      <c r="BJ78" s="172">
        <f>(COUNTIF(BASE01[Columna277],BH78)*2)</f>
        <v>0</v>
      </c>
      <c r="BK78" s="172">
        <f>COUNTIF(BASE01[Columna2772],BH78)</f>
        <v>0</v>
      </c>
      <c r="BL78" s="426">
        <f t="shared" si="48"/>
        <v>0</v>
      </c>
      <c r="BM78" s="173">
        <v>11</v>
      </c>
      <c r="BN78" s="172">
        <f>(COUNTIF(BASE01[Columna280],BM78)*3)</f>
        <v>0</v>
      </c>
      <c r="BO78" s="172">
        <f>(COUNTIF(BASE01[Columna281],BM78)*2)</f>
        <v>0</v>
      </c>
      <c r="BP78" s="172">
        <f>COUNTIF(BASE01[Columna2812],BM78)</f>
        <v>0</v>
      </c>
      <c r="BQ78" s="109">
        <f t="shared" si="49"/>
        <v>0</v>
      </c>
      <c r="BR78" s="171">
        <v>11</v>
      </c>
      <c r="BS78" s="172">
        <f>(COUNTIF(BASE01[Columna2802],BR78)*3)</f>
        <v>0</v>
      </c>
      <c r="BT78" s="172">
        <f>(COUNTIF(BASE01[Columna2813],BR78)*2)</f>
        <v>0</v>
      </c>
      <c r="BU78" s="172">
        <f>COUNTIF(BASE01[Columna28124],BR78)</f>
        <v>0</v>
      </c>
      <c r="BV78" s="109">
        <f t="shared" si="50"/>
        <v>0</v>
      </c>
      <c r="BW78" s="173">
        <v>11</v>
      </c>
      <c r="BX78" s="172">
        <f>(COUNTIF(BASE01[Columna2803],BW78)*3)</f>
        <v>0</v>
      </c>
      <c r="BY78" s="172">
        <f>(COUNTIF(BASE01[Columna2814],BW78)*2)</f>
        <v>0</v>
      </c>
      <c r="BZ78" s="172">
        <f>COUNTIF(BASE01[Columna28125],BW78)</f>
        <v>0</v>
      </c>
      <c r="CA78" s="109">
        <f t="shared" si="51"/>
        <v>0</v>
      </c>
      <c r="CB78" s="173">
        <v>11</v>
      </c>
      <c r="CC78" s="172">
        <f>(COUNTIF(BASE01[Columna2804],CB78)*3)</f>
        <v>0</v>
      </c>
      <c r="CD78" s="172">
        <f>(COUNTIF(BASE01[Columna2815],CB78)*2)</f>
        <v>0</v>
      </c>
      <c r="CE78" s="172">
        <f>COUNTIF(BASE01[Columna28126],CB78)</f>
        <v>0</v>
      </c>
      <c r="CF78" s="109">
        <f t="shared" si="52"/>
        <v>0</v>
      </c>
      <c r="CG78" s="103"/>
      <c r="CH78" s="103"/>
      <c r="DO78" s="388" t="str">
        <f t="shared" si="36"/>
        <v/>
      </c>
      <c r="DP78" s="391"/>
      <c r="DQ78" s="391"/>
      <c r="DR78" s="391"/>
      <c r="EG78" s="388" t="str">
        <f t="shared" si="35"/>
        <v/>
      </c>
      <c r="EH78" s="391"/>
      <c r="EI78" s="391"/>
      <c r="EJ78" s="391"/>
    </row>
    <row r="79" spans="2:140" s="110" customFormat="1" ht="27.95" customHeight="1" thickBot="1" x14ac:dyDescent="0.45">
      <c r="B79" s="102"/>
      <c r="C79" s="103"/>
      <c r="D79" s="103"/>
      <c r="E79" s="111">
        <v>14</v>
      </c>
      <c r="F79" s="112">
        <f>(COUNTIF(BASE01[1],E79)*3)</f>
        <v>0</v>
      </c>
      <c r="G79" s="113">
        <f>(COUNTIF(BASE01[2],E79)*2)</f>
        <v>0</v>
      </c>
      <c r="H79" s="113">
        <f>COUNTIF(BASE01[22],E79)</f>
        <v>0</v>
      </c>
      <c r="I79" s="114">
        <f t="shared" si="37"/>
        <v>0</v>
      </c>
      <c r="J79" s="115">
        <v>14</v>
      </c>
      <c r="K79" s="113">
        <f>(COUNTIF(BASE01[12],J79)*3)</f>
        <v>0</v>
      </c>
      <c r="L79" s="113">
        <f>(COUNTIF(BASE01[Columna2],J79)*2)</f>
        <v>0</v>
      </c>
      <c r="M79" s="113">
        <f>COUNTIF(BASE01[Columna23],J79)</f>
        <v>0</v>
      </c>
      <c r="N79" s="114">
        <f t="shared" si="38"/>
        <v>0</v>
      </c>
      <c r="O79" s="115">
        <v>14</v>
      </c>
      <c r="P79" s="113">
        <f>(COUNTIF(BASE01[Columna4],O79)*3)</f>
        <v>0</v>
      </c>
      <c r="Q79" s="113">
        <f>(COUNTIF(BASE01[Columna5],O79)*2)</f>
        <v>0</v>
      </c>
      <c r="R79" s="113">
        <f>COUNTIF(BASE01[Columna53],O79)</f>
        <v>0</v>
      </c>
      <c r="S79" s="114">
        <f t="shared" si="39"/>
        <v>0</v>
      </c>
      <c r="T79" s="115">
        <v>14</v>
      </c>
      <c r="U79" s="113">
        <f>(COUNTIF(BASE01[Columna7],T79)*3)</f>
        <v>0</v>
      </c>
      <c r="V79" s="113">
        <f>(COUNTIF(BASE01[Columna8],T79)*2)</f>
        <v>0</v>
      </c>
      <c r="W79" s="113">
        <f>COUNTIF(BASE01[Columna83],T79)</f>
        <v>0</v>
      </c>
      <c r="X79" s="114">
        <f t="shared" si="40"/>
        <v>0</v>
      </c>
      <c r="Y79" s="115">
        <v>14</v>
      </c>
      <c r="Z79" s="113">
        <f>(COUNTIF(BASE01[Columna10],Y79)*3)</f>
        <v>0</v>
      </c>
      <c r="AA79" s="113">
        <f>(COUNTIF(BASE01[Columna11],Y79)*2)</f>
        <v>0</v>
      </c>
      <c r="AB79" s="113">
        <f>COUNTIF(BASE01[Columna113],Y79)</f>
        <v>0</v>
      </c>
      <c r="AC79" s="114">
        <f t="shared" si="41"/>
        <v>0</v>
      </c>
      <c r="AD79" s="115">
        <v>14</v>
      </c>
      <c r="AE79" s="113">
        <f>(COUNTIF(BASE01[1RA],AD79)*3)</f>
        <v>0</v>
      </c>
      <c r="AF79" s="113">
        <f>(COUNTIF(BASE01[2DA],AD79)*2)</f>
        <v>0</v>
      </c>
      <c r="AG79" s="113">
        <f>COUNTIF(BASE01[2DA2],AD79)</f>
        <v>0</v>
      </c>
      <c r="AH79" s="114">
        <f t="shared" si="42"/>
        <v>0</v>
      </c>
      <c r="AI79" s="115">
        <v>14</v>
      </c>
      <c r="AJ79" s="113">
        <f>(COUNTIF(BASE01[Columna16],AI79)*3)</f>
        <v>0</v>
      </c>
      <c r="AK79" s="113">
        <f>(COUNTIF(BASE01[Columna17],AI79)*2)</f>
        <v>0</v>
      </c>
      <c r="AL79" s="113">
        <f>COUNTIF(BASE01[Columna173],AI79)</f>
        <v>0</v>
      </c>
      <c r="AM79" s="114">
        <f t="shared" si="43"/>
        <v>0</v>
      </c>
      <c r="AN79" s="115">
        <v>14</v>
      </c>
      <c r="AO79" s="113">
        <f>(COUNTIF(BASE01[123],AN79)*3)</f>
        <v>0</v>
      </c>
      <c r="AP79" s="113">
        <f>(COUNTIF(BASE01[555],AN79)*2)</f>
        <v>0</v>
      </c>
      <c r="AQ79" s="113">
        <f>COUNTIF(BASE01[556],AN79)</f>
        <v>0</v>
      </c>
      <c r="AR79" s="114">
        <f t="shared" si="44"/>
        <v>0</v>
      </c>
      <c r="AS79" s="115">
        <v>14</v>
      </c>
      <c r="AT79" s="113">
        <f>(COUNTIF(BASE01[AAAA],AS79)*3)</f>
        <v>0</v>
      </c>
      <c r="AU79" s="113">
        <f>(COUNTIF(BASE01[BBBB],AS79)*2)</f>
        <v>0</v>
      </c>
      <c r="AV79" s="113">
        <f>COUNTIF(BASE01[Columna13],AS79)</f>
        <v>0</v>
      </c>
      <c r="AW79" s="114">
        <f t="shared" si="45"/>
        <v>0</v>
      </c>
      <c r="AX79" s="115">
        <v>14</v>
      </c>
      <c r="AY79" s="113">
        <f>(COUNTIF(BASE01[Columna25],AX79)*3)</f>
        <v>0</v>
      </c>
      <c r="AZ79" s="113">
        <f>(COUNTIF(BASE01[Columna26],AX79)*2)</f>
        <v>0</v>
      </c>
      <c r="BA79" s="113">
        <f>COUNTIF(BASE01[Columna263],AX79)</f>
        <v>0</v>
      </c>
      <c r="BB79" s="114">
        <f t="shared" si="46"/>
        <v>0</v>
      </c>
      <c r="BC79" s="115">
        <v>14</v>
      </c>
      <c r="BD79" s="113">
        <f>(COUNTIF(BASE01[Columna272],BC79)*3)</f>
        <v>0</v>
      </c>
      <c r="BE79" s="113">
        <f>(COUNTIF(BASE01[Columna273],BC79)*2)</f>
        <v>0</v>
      </c>
      <c r="BF79" s="113">
        <f>COUNTIF(BASE01[Columna2732],BC79)</f>
        <v>0</v>
      </c>
      <c r="BG79" s="114">
        <f t="shared" si="47"/>
        <v>0</v>
      </c>
      <c r="BH79" s="115">
        <v>14</v>
      </c>
      <c r="BI79" s="113">
        <f>(COUNTIF(BASE01[Columna276],BH79)*3)</f>
        <v>0</v>
      </c>
      <c r="BJ79" s="113">
        <f>(COUNTIF(BASE01[Columna277],BH79)*2)</f>
        <v>0</v>
      </c>
      <c r="BK79" s="113">
        <f>COUNTIF(BASE01[Columna2772],BH79)</f>
        <v>0</v>
      </c>
      <c r="BL79" s="114">
        <f t="shared" si="48"/>
        <v>0</v>
      </c>
      <c r="BM79" s="115">
        <v>14</v>
      </c>
      <c r="BN79" s="113">
        <f>(COUNTIF(BASE01[Columna280],BM79)*3)</f>
        <v>0</v>
      </c>
      <c r="BO79" s="113">
        <f>(COUNTIF(BASE01[Columna281],BM79)*2)</f>
        <v>0</v>
      </c>
      <c r="BP79" s="113">
        <f>COUNTIF(BASE01[Columna2812],BM79)</f>
        <v>0</v>
      </c>
      <c r="BQ79" s="116">
        <f t="shared" si="49"/>
        <v>0</v>
      </c>
      <c r="BR79" s="174">
        <v>14</v>
      </c>
      <c r="BS79" s="113">
        <f>(COUNTIF(BASE01[Columna2802],BR79)*3)</f>
        <v>0</v>
      </c>
      <c r="BT79" s="113">
        <f>(COUNTIF(BASE01[Columna2813],BR79)*2)</f>
        <v>0</v>
      </c>
      <c r="BU79" s="113">
        <f>COUNTIF(BASE01[Columna28124],BR79)</f>
        <v>0</v>
      </c>
      <c r="BV79" s="116">
        <f t="shared" si="50"/>
        <v>0</v>
      </c>
      <c r="BW79" s="115">
        <v>14</v>
      </c>
      <c r="BX79" s="113">
        <f>(COUNTIF(BASE01[Columna2803],BW79)*3)</f>
        <v>0</v>
      </c>
      <c r="BY79" s="113">
        <f>(COUNTIF(BASE01[Columna2814],BW79)*2)</f>
        <v>0</v>
      </c>
      <c r="BZ79" s="113">
        <f>COUNTIF(BASE01[Columna28125],BW79)</f>
        <v>0</v>
      </c>
      <c r="CA79" s="116">
        <f t="shared" si="51"/>
        <v>0</v>
      </c>
      <c r="CB79" s="115">
        <v>14</v>
      </c>
      <c r="CC79" s="113">
        <f>(COUNTIF(BASE01[Columna2804],CB79)*3)</f>
        <v>0</v>
      </c>
      <c r="CD79" s="113">
        <f>(COUNTIF(BASE01[Columna2815],CB79)*2)</f>
        <v>0</v>
      </c>
      <c r="CE79" s="113">
        <f>COUNTIF(BASE01[Columna28126],CB79)</f>
        <v>0</v>
      </c>
      <c r="CF79" s="116">
        <f t="shared" si="52"/>
        <v>0</v>
      </c>
      <c r="CG79" s="103"/>
      <c r="CH79" s="103"/>
      <c r="DO79" s="388" t="str">
        <f t="shared" si="36"/>
        <v/>
      </c>
      <c r="DP79" s="391"/>
      <c r="DQ79" s="391"/>
      <c r="DR79" s="391"/>
      <c r="EG79" s="388" t="str">
        <f t="shared" si="35"/>
        <v/>
      </c>
      <c r="EH79" s="391"/>
      <c r="EI79" s="391"/>
      <c r="EJ79" s="391"/>
    </row>
    <row r="80" spans="2:140" s="110" customFormat="1" ht="20.100000000000001" customHeight="1" x14ac:dyDescent="0.4">
      <c r="B80" s="102"/>
      <c r="C80" s="103"/>
      <c r="D80" s="103"/>
      <c r="E80" s="103"/>
      <c r="F80" s="103"/>
      <c r="G80" s="103">
        <v>1</v>
      </c>
      <c r="H80" s="103"/>
      <c r="I80" s="103"/>
      <c r="J80" s="103"/>
      <c r="K80" s="103"/>
      <c r="L80" s="103">
        <v>2</v>
      </c>
      <c r="M80" s="103"/>
      <c r="N80" s="103"/>
      <c r="O80" s="103"/>
      <c r="P80" s="103"/>
      <c r="Q80" s="103">
        <v>3</v>
      </c>
      <c r="R80" s="103"/>
      <c r="S80" s="103"/>
      <c r="T80" s="103"/>
      <c r="U80" s="103"/>
      <c r="V80" s="103">
        <v>4</v>
      </c>
      <c r="W80" s="103"/>
      <c r="X80" s="103"/>
      <c r="Y80" s="103"/>
      <c r="Z80" s="103"/>
      <c r="AA80" s="103">
        <v>5</v>
      </c>
      <c r="AB80" s="103"/>
      <c r="AC80" s="103"/>
      <c r="AD80" s="103"/>
      <c r="AE80" s="103"/>
      <c r="AF80" s="103">
        <v>6</v>
      </c>
      <c r="AG80" s="103"/>
      <c r="AH80" s="103"/>
      <c r="AI80" s="103"/>
      <c r="AJ80" s="103"/>
      <c r="AK80" s="103">
        <v>7</v>
      </c>
      <c r="AL80" s="103"/>
      <c r="AM80" s="103"/>
      <c r="AN80" s="103"/>
      <c r="AO80" s="103"/>
      <c r="AP80" s="103">
        <v>8</v>
      </c>
      <c r="AQ80" s="103"/>
      <c r="AR80" s="103"/>
      <c r="AS80" s="103"/>
      <c r="AT80" s="103"/>
      <c r="AU80" s="103">
        <v>9</v>
      </c>
      <c r="AV80" s="103"/>
      <c r="AW80" s="103"/>
      <c r="AX80" s="103"/>
      <c r="AY80" s="103"/>
      <c r="AZ80" s="103">
        <v>10</v>
      </c>
      <c r="BA80" s="103"/>
      <c r="BB80" s="103"/>
      <c r="BC80" s="103"/>
      <c r="BD80" s="103"/>
      <c r="BE80" s="103">
        <v>11</v>
      </c>
      <c r="BF80" s="103"/>
      <c r="BG80" s="117"/>
      <c r="BH80" s="103"/>
      <c r="BI80" s="103"/>
      <c r="BJ80" s="103">
        <v>12</v>
      </c>
      <c r="BK80" s="103"/>
      <c r="BL80" s="117"/>
      <c r="BM80" s="103"/>
      <c r="BN80" s="103"/>
      <c r="BO80" s="103">
        <v>13</v>
      </c>
      <c r="BP80" s="103"/>
      <c r="BQ80" s="103"/>
      <c r="BR80" s="103"/>
      <c r="BS80" s="103"/>
      <c r="BT80" s="103">
        <v>14</v>
      </c>
      <c r="BU80" s="103"/>
      <c r="BV80" s="103"/>
      <c r="BW80" s="103"/>
      <c r="BX80" s="103"/>
      <c r="BY80" s="103">
        <v>15</v>
      </c>
      <c r="BZ80" s="103"/>
      <c r="CA80" s="103"/>
      <c r="CB80" s="103"/>
      <c r="CC80" s="103"/>
      <c r="CD80" s="103">
        <v>16</v>
      </c>
      <c r="CE80" s="103"/>
      <c r="CF80" s="103"/>
      <c r="CG80" s="103"/>
      <c r="CH80" s="103"/>
      <c r="DO80" s="388" t="str">
        <f t="shared" si="36"/>
        <v/>
      </c>
      <c r="DP80" s="388"/>
      <c r="DQ80" s="388"/>
      <c r="DR80" s="388"/>
      <c r="EG80" s="388" t="str">
        <f t="shared" si="35"/>
        <v/>
      </c>
      <c r="EH80" s="391"/>
      <c r="EI80" s="391"/>
      <c r="EJ80" s="391"/>
    </row>
    <row r="81" spans="1:140" ht="15.75" customHeight="1" thickBot="1" x14ac:dyDescent="0.45">
      <c r="B81" s="102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17"/>
      <c r="BH81" s="103"/>
      <c r="BI81" s="103"/>
      <c r="BJ81" s="103"/>
      <c r="BK81" s="103"/>
      <c r="BL81" s="117"/>
      <c r="BM81" s="103"/>
      <c r="BN81" s="103"/>
      <c r="BO81" s="103"/>
      <c r="BP81" s="103"/>
      <c r="BQ81" s="103"/>
      <c r="BR81" s="103"/>
      <c r="BS81" s="103"/>
      <c r="BT81" s="103"/>
      <c r="BU81" s="103"/>
      <c r="BV81" s="103"/>
      <c r="BW81" s="103"/>
      <c r="BX81" s="103"/>
      <c r="BY81" s="103"/>
      <c r="BZ81" s="103"/>
      <c r="CA81" s="103"/>
      <c r="CB81" s="103"/>
      <c r="CC81" s="103"/>
      <c r="CD81" s="103"/>
      <c r="CE81" s="103"/>
      <c r="CF81" s="103"/>
      <c r="CG81" s="103"/>
      <c r="CH81" s="103"/>
      <c r="DA81" s="110"/>
      <c r="DO81" s="388" t="str">
        <f t="shared" si="36"/>
        <v/>
      </c>
      <c r="EG81" s="388" t="str">
        <f t="shared" si="35"/>
        <v/>
      </c>
      <c r="EH81" s="388"/>
      <c r="EI81" s="388"/>
      <c r="EJ81" s="388"/>
    </row>
    <row r="82" spans="1:140" ht="36" customHeight="1" x14ac:dyDescent="0.5">
      <c r="A82" s="3"/>
      <c r="B82" s="118"/>
      <c r="C82" s="119"/>
      <c r="D82" s="120"/>
      <c r="E82" s="120"/>
      <c r="F82" s="120"/>
      <c r="G82" s="120"/>
      <c r="H82" s="120"/>
      <c r="I82" s="119"/>
      <c r="J82" s="119" t="s">
        <v>284</v>
      </c>
      <c r="K82" s="119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19"/>
      <c r="AF82" s="121"/>
      <c r="AG82" s="119" t="s">
        <v>279</v>
      </c>
      <c r="AH82" s="121"/>
      <c r="AI82" s="121"/>
      <c r="AJ82" s="119"/>
      <c r="AK82" s="121"/>
      <c r="AL82" s="122" t="str">
        <f>D3</f>
        <v>06/09/2026</v>
      </c>
      <c r="AM82" s="120"/>
      <c r="AN82" s="120"/>
      <c r="AO82" s="120"/>
      <c r="AP82" s="120"/>
      <c r="AQ82" s="120"/>
      <c r="AR82" s="120"/>
      <c r="AS82" s="120"/>
      <c r="AT82" s="120"/>
      <c r="AU82" s="120"/>
      <c r="AV82" s="120"/>
      <c r="AW82" s="120"/>
      <c r="AX82" s="123"/>
      <c r="AY82" s="120"/>
      <c r="AZ82" s="120"/>
      <c r="BA82" s="120"/>
      <c r="BB82" s="120"/>
      <c r="BC82" s="120"/>
      <c r="BD82" s="120"/>
      <c r="BE82" s="120"/>
      <c r="BF82" s="124"/>
      <c r="BG82" s="123"/>
      <c r="BH82" s="120"/>
      <c r="BI82" s="120"/>
      <c r="BJ82" s="120"/>
      <c r="BK82" s="120"/>
      <c r="BL82" s="120"/>
      <c r="BM82" s="120"/>
      <c r="BN82" s="120"/>
      <c r="BO82" s="124"/>
      <c r="BP82" s="123"/>
      <c r="BQ82" s="103"/>
      <c r="BR82" s="103"/>
      <c r="BS82" s="103"/>
      <c r="BT82" s="103"/>
      <c r="BU82" s="103"/>
      <c r="BV82" s="103"/>
      <c r="BW82" s="103"/>
      <c r="BX82" s="103"/>
      <c r="BY82" s="103"/>
      <c r="BZ82" s="103"/>
      <c r="CA82" s="103"/>
      <c r="CB82" s="103"/>
      <c r="CC82" s="103"/>
      <c r="CD82" s="103"/>
      <c r="CE82" s="103"/>
      <c r="CF82" s="103"/>
      <c r="CG82" s="103"/>
      <c r="DO82" s="388" t="str">
        <f t="shared" si="36"/>
        <v/>
      </c>
      <c r="EG82" s="388" t="str">
        <f t="shared" si="35"/>
        <v/>
      </c>
      <c r="EH82" s="388"/>
      <c r="EI82" s="388"/>
      <c r="EJ82" s="388"/>
    </row>
    <row r="83" spans="1:140" ht="36" customHeight="1" x14ac:dyDescent="0.4">
      <c r="A83" s="3"/>
      <c r="B83" s="541">
        <f>E4</f>
        <v>1</v>
      </c>
      <c r="C83" s="181"/>
      <c r="D83" s="181"/>
      <c r="E83" s="182"/>
      <c r="F83" s="542">
        <f>J4</f>
        <v>2</v>
      </c>
      <c r="G83" s="183"/>
      <c r="H83" s="183"/>
      <c r="I83" s="183"/>
      <c r="J83" s="183"/>
      <c r="K83" s="183"/>
      <c r="L83" s="183"/>
      <c r="M83" s="183"/>
      <c r="N83" s="184"/>
      <c r="O83" s="542">
        <f>O4</f>
        <v>3</v>
      </c>
      <c r="P83" s="183"/>
      <c r="Q83" s="183"/>
      <c r="R83" s="183"/>
      <c r="S83" s="183"/>
      <c r="T83" s="183"/>
      <c r="U83" s="183"/>
      <c r="V83" s="183"/>
      <c r="W83" s="184"/>
      <c r="X83" s="542">
        <f>T4</f>
        <v>4</v>
      </c>
      <c r="Y83" s="183"/>
      <c r="Z83" s="183"/>
      <c r="AA83" s="183"/>
      <c r="AB83" s="183"/>
      <c r="AC83" s="183"/>
      <c r="AD83" s="183"/>
      <c r="AE83" s="183"/>
      <c r="AF83" s="184"/>
      <c r="AG83" s="542">
        <f>Y4</f>
        <v>5</v>
      </c>
      <c r="AH83" s="183"/>
      <c r="AI83" s="183"/>
      <c r="AJ83" s="183"/>
      <c r="AK83" s="183"/>
      <c r="AL83" s="183"/>
      <c r="AM83" s="183"/>
      <c r="AN83" s="183"/>
      <c r="AO83" s="184"/>
      <c r="AP83" s="542">
        <f>AD4</f>
        <v>6</v>
      </c>
      <c r="AQ83" s="183"/>
      <c r="AR83" s="183"/>
      <c r="AS83" s="183"/>
      <c r="AT83" s="183"/>
      <c r="AU83" s="183"/>
      <c r="AV83" s="183"/>
      <c r="AW83" s="183"/>
      <c r="AX83" s="184"/>
      <c r="AY83" s="542">
        <f>AI4</f>
        <v>7</v>
      </c>
      <c r="AZ83" s="183"/>
      <c r="BA83" s="183"/>
      <c r="BB83" s="183"/>
      <c r="BC83" s="183"/>
      <c r="BD83" s="183"/>
      <c r="BE83" s="183"/>
      <c r="BF83" s="183"/>
      <c r="BG83" s="184"/>
      <c r="BH83" s="542">
        <f>AN4</f>
        <v>8</v>
      </c>
      <c r="BI83" s="183"/>
      <c r="BJ83" s="183"/>
      <c r="BK83" s="183"/>
      <c r="BL83" s="183"/>
      <c r="BM83" s="183"/>
      <c r="BN83" s="183"/>
      <c r="BO83" s="183"/>
      <c r="BP83" s="184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EG83" s="388" t="str">
        <f t="shared" si="35"/>
        <v/>
      </c>
      <c r="EH83" s="388"/>
      <c r="EI83" s="388"/>
      <c r="EJ83" s="388"/>
    </row>
    <row r="84" spans="1:140" ht="30" customHeight="1" x14ac:dyDescent="0.4">
      <c r="A84" s="3"/>
      <c r="B84" s="125" t="s">
        <v>280</v>
      </c>
      <c r="C84" s="127" t="s">
        <v>285</v>
      </c>
      <c r="D84" s="127"/>
      <c r="E84" s="126" t="s">
        <v>165</v>
      </c>
      <c r="F84" s="125" t="s">
        <v>280</v>
      </c>
      <c r="G84" s="127" t="s">
        <v>285</v>
      </c>
      <c r="H84" s="127"/>
      <c r="I84" s="127"/>
      <c r="J84" s="127"/>
      <c r="K84" s="127"/>
      <c r="L84" s="127"/>
      <c r="M84" s="127"/>
      <c r="N84" s="126" t="s">
        <v>165</v>
      </c>
      <c r="O84" s="125" t="s">
        <v>280</v>
      </c>
      <c r="P84" s="127" t="s">
        <v>285</v>
      </c>
      <c r="Q84" s="127"/>
      <c r="R84" s="127"/>
      <c r="S84" s="127"/>
      <c r="T84" s="127"/>
      <c r="U84" s="127"/>
      <c r="V84" s="127"/>
      <c r="W84" s="126" t="s">
        <v>165</v>
      </c>
      <c r="X84" s="125" t="s">
        <v>280</v>
      </c>
      <c r="Y84" s="127" t="s">
        <v>285</v>
      </c>
      <c r="Z84" s="127"/>
      <c r="AA84" s="127"/>
      <c r="AB84" s="127"/>
      <c r="AC84" s="127"/>
      <c r="AD84" s="127"/>
      <c r="AE84" s="127"/>
      <c r="AF84" s="126" t="s">
        <v>165</v>
      </c>
      <c r="AG84" s="125" t="s">
        <v>280</v>
      </c>
      <c r="AH84" s="127" t="s">
        <v>285</v>
      </c>
      <c r="AI84" s="127"/>
      <c r="AJ84" s="127"/>
      <c r="AK84" s="127"/>
      <c r="AL84" s="127"/>
      <c r="AM84" s="127"/>
      <c r="AN84" s="127"/>
      <c r="AO84" s="126" t="s">
        <v>165</v>
      </c>
      <c r="AP84" s="125" t="s">
        <v>280</v>
      </c>
      <c r="AQ84" s="127" t="s">
        <v>285</v>
      </c>
      <c r="AR84" s="127"/>
      <c r="AS84" s="127"/>
      <c r="AT84" s="127"/>
      <c r="AU84" s="127"/>
      <c r="AV84" s="127"/>
      <c r="AW84" s="127"/>
      <c r="AX84" s="126" t="s">
        <v>165</v>
      </c>
      <c r="AY84" s="125" t="s">
        <v>280</v>
      </c>
      <c r="AZ84" s="127" t="s">
        <v>285</v>
      </c>
      <c r="BA84" s="127"/>
      <c r="BB84" s="127"/>
      <c r="BC84" s="127"/>
      <c r="BD84" s="127"/>
      <c r="BE84" s="127"/>
      <c r="BF84" s="127"/>
      <c r="BG84" s="126" t="s">
        <v>165</v>
      </c>
      <c r="BH84" s="125" t="s">
        <v>280</v>
      </c>
      <c r="BI84" s="127" t="s">
        <v>285</v>
      </c>
      <c r="BJ84" s="127"/>
      <c r="BK84" s="127"/>
      <c r="BL84" s="127"/>
      <c r="BM84" s="127"/>
      <c r="BN84" s="127"/>
      <c r="BO84" s="127"/>
      <c r="BP84" s="126" t="s">
        <v>165</v>
      </c>
      <c r="BQ84" s="103"/>
      <c r="BR84" s="103"/>
      <c r="BS84" s="103"/>
      <c r="BT84" s="103"/>
      <c r="BU84" s="103"/>
      <c r="BV84" s="103"/>
      <c r="BW84" s="103"/>
      <c r="BX84" s="103"/>
      <c r="BY84" s="103"/>
      <c r="BZ84" s="103"/>
      <c r="CA84" s="103"/>
      <c r="CB84" s="103"/>
      <c r="CC84" s="103"/>
      <c r="CD84" s="103"/>
      <c r="CE84" s="103"/>
      <c r="CF84" s="103"/>
      <c r="CG84" s="103"/>
      <c r="EG84" s="388" t="str">
        <f t="shared" si="35"/>
        <v/>
      </c>
      <c r="EH84" s="388"/>
      <c r="EI84" s="388"/>
      <c r="EJ84" s="388"/>
    </row>
    <row r="85" spans="1:140" ht="30" customHeight="1" x14ac:dyDescent="0.4">
      <c r="A85" s="3"/>
      <c r="B85" s="128">
        <f t="shared" ref="B85:B90" si="53">E66</f>
        <v>1</v>
      </c>
      <c r="C85" s="175" t="str">
        <f t="array" ref="C85">_xlfn._xlws.FILTER('[1]ALFABETICO SEM'!$M$1:$M$196, ('[1]ALFABETICO SEM'!$L$1:$L$196 = $B$83) * ('[1]ALFABETICO SEM'!$N$1:$N$196 = B85), " - ")</f>
        <v>XTAL</v>
      </c>
      <c r="D85" s="103"/>
      <c r="E85" s="129">
        <f t="shared" ref="E85:F90" si="54">I66</f>
        <v>81</v>
      </c>
      <c r="F85" s="128">
        <f t="shared" si="54"/>
        <v>8</v>
      </c>
      <c r="G85" s="175" t="str">
        <f t="array" ref="G85">_xlfn._xlws.FILTER('[1]ALFABETICO SEM'!$M$1:$M$196, ('[1]ALFABETICO SEM'!$L$1:$L$196 = $F$83) * ('[1]ALFABETICO SEM'!$N$1:$N$196 = F85), " - ")</f>
        <v>QUEEN VANEMAR</v>
      </c>
      <c r="H85" s="176"/>
      <c r="I85" s="176"/>
      <c r="J85" s="176"/>
      <c r="K85" s="176"/>
      <c r="L85" s="176"/>
      <c r="M85" s="176"/>
      <c r="N85" s="129">
        <f t="shared" ref="N85:O90" si="55">N66</f>
        <v>90</v>
      </c>
      <c r="O85" s="128">
        <f t="shared" si="55"/>
        <v>3</v>
      </c>
      <c r="P85" s="175" t="str">
        <f t="array" ref="P85">_xlfn._xlws.FILTER('[1]ALFABETICO SEM'!$M$1:$M$196, ('[1]ALFABETICO SEM'!$L$1:$L$196 = O$83) * ('[1]ALFABETICO SEM'!$N$1:$N$196 = O85), " - ")</f>
        <v>FORTY TIME</v>
      </c>
      <c r="Q85" s="176"/>
      <c r="R85" s="176"/>
      <c r="S85" s="176"/>
      <c r="T85" s="176"/>
      <c r="U85" s="176"/>
      <c r="V85" s="176"/>
      <c r="W85" s="129">
        <f t="shared" ref="W85:X90" si="56">S66</f>
        <v>75</v>
      </c>
      <c r="X85" s="128">
        <f t="shared" si="56"/>
        <v>6</v>
      </c>
      <c r="Y85" s="175" t="str">
        <f t="array" ref="Y85">_xlfn._xlws.FILTER('[1]ALFABETICO SEM'!$M$1:$M$196, ('[1]ALFABETICO SEM'!$L$1:$L$196 = X$83) * ('[1]ALFABETICO SEM'!$N$1:$N$196 = X85), " - ")</f>
        <v>ANASOLI</v>
      </c>
      <c r="Z85" s="142"/>
      <c r="AA85" s="142"/>
      <c r="AB85" s="142"/>
      <c r="AC85" s="142"/>
      <c r="AD85" s="142"/>
      <c r="AE85" s="142"/>
      <c r="AF85" s="141">
        <f t="shared" ref="AF85:AG90" si="57">X66</f>
        <v>111</v>
      </c>
      <c r="AG85" s="128">
        <f t="shared" si="57"/>
        <v>5</v>
      </c>
      <c r="AH85" s="175" t="str">
        <f t="array" ref="AH85">_xlfn._xlws.FILTER('[1]ALFABETICO SEM'!$M$1:$M$196, ('[1]ALFABETICO SEM'!$L$1:$L$196 = AG$83) * ('[1]ALFABETICO SEM'!$N$1:$N$196 = AG85), " - ")</f>
        <v>EL GRAN ELADIO</v>
      </c>
      <c r="AI85" s="142"/>
      <c r="AJ85" s="142"/>
      <c r="AK85" s="142"/>
      <c r="AL85" s="142"/>
      <c r="AM85" s="142"/>
      <c r="AN85" s="142"/>
      <c r="AO85" s="141">
        <f t="shared" ref="AO85:AP90" si="58">AC66</f>
        <v>113</v>
      </c>
      <c r="AP85" s="128">
        <f t="shared" si="58"/>
        <v>7</v>
      </c>
      <c r="AQ85" s="175" t="str">
        <f t="array" ref="AQ85">_xlfn._xlws.FILTER('[1]ALFABETICO SEM'!$M$1:$M$196, ('[1]ALFABETICO SEM'!$L$1:$L$196 = AP$83) * ('[1]ALFABETICO SEM'!$N$1:$N$196 = AP85), " - ")</f>
        <v>ALANA</v>
      </c>
      <c r="AR85" s="176"/>
      <c r="AS85" s="176"/>
      <c r="AT85" s="176"/>
      <c r="AU85" s="176"/>
      <c r="AV85" s="176"/>
      <c r="AW85" s="176"/>
      <c r="AX85" s="129">
        <f t="shared" ref="AX85:AY90" si="59">AH66</f>
        <v>81</v>
      </c>
      <c r="AY85" s="128">
        <f t="shared" si="59"/>
        <v>4</v>
      </c>
      <c r="AZ85" s="175" t="str">
        <f t="array" ref="AZ85">_xlfn._xlws.FILTER('[1]ALFABETICO SEM'!$M$1:$M$196, ('[1]ALFABETICO SEM'!$L$1:$L$196 = AY$83) * ('[1]ALFABETICO SEM'!$N$1:$N$196 = AY85), " - ")</f>
        <v>TIO CARLITOS</v>
      </c>
      <c r="BA85" s="142"/>
      <c r="BB85" s="142"/>
      <c r="BC85" s="142"/>
      <c r="BD85" s="142"/>
      <c r="BE85" s="142"/>
      <c r="BF85" s="142"/>
      <c r="BG85" s="141">
        <f t="shared" ref="BG85:BH90" si="60">AM66</f>
        <v>70</v>
      </c>
      <c r="BH85" s="128">
        <f t="shared" si="60"/>
        <v>8</v>
      </c>
      <c r="BI85" s="175" t="str">
        <f t="array" ref="BI85">_xlfn._xlws.FILTER('[1]ALFABETICO SEM'!$M$1:$M$196, ('[1]ALFABETICO SEM'!$L$1:$L$196 = BH$83) * ('[1]ALFABETICO SEM'!$N$1:$N$196 = BH85), " - ")</f>
        <v>KING NYSOS</v>
      </c>
      <c r="BJ85" s="142"/>
      <c r="BK85" s="142"/>
      <c r="BL85" s="142"/>
      <c r="BM85" s="142"/>
      <c r="BN85" s="142"/>
      <c r="BO85" s="142"/>
      <c r="BP85" s="141">
        <f t="shared" ref="BP85:BP90" si="61">AR66</f>
        <v>84</v>
      </c>
      <c r="BQ85" s="103"/>
      <c r="BR85" s="103"/>
      <c r="BS85" s="103"/>
      <c r="BT85" s="103"/>
      <c r="BU85" s="103"/>
      <c r="BV85" s="103"/>
      <c r="BW85" s="103"/>
      <c r="BX85" s="103"/>
      <c r="BY85" s="103"/>
      <c r="BZ85" s="103"/>
      <c r="CA85" s="103"/>
      <c r="CB85" s="103"/>
      <c r="CC85" s="103"/>
      <c r="CD85" s="103"/>
      <c r="CE85" s="103"/>
      <c r="CF85" s="103"/>
      <c r="CG85" s="103"/>
      <c r="EG85" s="388" t="str">
        <f t="shared" si="35"/>
        <v/>
      </c>
      <c r="EH85" s="388"/>
      <c r="EI85" s="388"/>
      <c r="EJ85" s="388"/>
    </row>
    <row r="86" spans="1:140" ht="30" customHeight="1" x14ac:dyDescent="0.4">
      <c r="A86" s="3"/>
      <c r="B86" s="128">
        <f t="shared" si="53"/>
        <v>6</v>
      </c>
      <c r="C86" s="175" t="str">
        <f t="array" ref="C86">_xlfn._xlws.FILTER('[1]ALFABETICO SEM'!$M$1:$M$196, ('[1]ALFABETICO SEM'!$L$1:$L$196 = $B$83) * ('[1]ALFABETICO SEM'!$N$1:$N$196 = B86), " - ")</f>
        <v>DOCTOR ELY</v>
      </c>
      <c r="D86" s="103"/>
      <c r="E86" s="129">
        <f t="shared" si="54"/>
        <v>65</v>
      </c>
      <c r="F86" s="128">
        <f t="shared" si="54"/>
        <v>3</v>
      </c>
      <c r="G86" s="175" t="str">
        <f t="array" ref="G86">_xlfn._xlws.FILTER('[1]ALFABETICO SEM'!$M$1:$M$196, ('[1]ALFABETICO SEM'!$L$1:$L$196 = $F$83) * ('[1]ALFABETICO SEM'!$N$1:$N$196 = F86), " - ")</f>
        <v>MANCHEGA</v>
      </c>
      <c r="H86" s="142"/>
      <c r="I86" s="142"/>
      <c r="J86" s="142"/>
      <c r="K86" s="142"/>
      <c r="L86" s="142"/>
      <c r="M86" s="142"/>
      <c r="N86" s="141">
        <f t="shared" si="55"/>
        <v>79</v>
      </c>
      <c r="O86" s="128">
        <f t="shared" si="55"/>
        <v>8</v>
      </c>
      <c r="P86" s="175" t="str">
        <f t="array" ref="P86">_xlfn._xlws.FILTER('[1]ALFABETICO SEM'!$M$1:$M$196, ('[1]ALFABETICO SEM'!$L$1:$L$196 = O$83) * ('[1]ALFABETICO SEM'!$N$1:$N$196 = O86), " - ")</f>
        <v>DEEP ATTACK</v>
      </c>
      <c r="Q86" s="176"/>
      <c r="R86" s="176"/>
      <c r="S86" s="176"/>
      <c r="T86" s="176"/>
      <c r="U86" s="176"/>
      <c r="V86" s="176"/>
      <c r="W86" s="129">
        <f t="shared" si="56"/>
        <v>51</v>
      </c>
      <c r="X86" s="128">
        <f t="shared" si="56"/>
        <v>8</v>
      </c>
      <c r="Y86" s="175" t="str">
        <f t="array" ref="Y86">_xlfn._xlws.FILTER('[1]ALFABETICO SEM'!$M$1:$M$196, ('[1]ALFABETICO SEM'!$L$1:$L$196 = X$83) * ('[1]ALFABETICO SEM'!$N$1:$N$196 = X86), " - ")</f>
        <v>VIENNA DINAMITA</v>
      </c>
      <c r="Z86" s="176"/>
      <c r="AA86" s="176"/>
      <c r="AB86" s="176"/>
      <c r="AC86" s="176"/>
      <c r="AD86" s="176"/>
      <c r="AE86" s="176"/>
      <c r="AF86" s="129">
        <f t="shared" si="57"/>
        <v>36</v>
      </c>
      <c r="AG86" s="128">
        <f t="shared" si="57"/>
        <v>3</v>
      </c>
      <c r="AH86" s="175" t="str">
        <f t="array" ref="AH86">_xlfn._xlws.FILTER('[1]ALFABETICO SEM'!$M$1:$M$196, ('[1]ALFABETICO SEM'!$L$1:$L$196 = AG$83) * ('[1]ALFABETICO SEM'!$N$1:$N$196 = AG86), " - ")</f>
        <v>THE LAST DANCE</v>
      </c>
      <c r="AI86" s="176"/>
      <c r="AJ86" s="176"/>
      <c r="AK86" s="176"/>
      <c r="AL86" s="176"/>
      <c r="AM86" s="176"/>
      <c r="AN86" s="176"/>
      <c r="AO86" s="129">
        <f t="shared" si="58"/>
        <v>19</v>
      </c>
      <c r="AP86" s="128">
        <f t="shared" si="58"/>
        <v>2</v>
      </c>
      <c r="AQ86" s="175" t="str">
        <f t="array" ref="AQ86">_xlfn._xlws.FILTER('[1]ALFABETICO SEM'!$M$1:$M$196, ('[1]ALFABETICO SEM'!$L$1:$L$196 = AP$83) * ('[1]ALFABETICO SEM'!$N$1:$N$196 = AP86), " - ")</f>
        <v>YANKEE LAKE</v>
      </c>
      <c r="AR86" s="142"/>
      <c r="AS86" s="142"/>
      <c r="AT86" s="142"/>
      <c r="AU86" s="142"/>
      <c r="AV86" s="142"/>
      <c r="AW86" s="142"/>
      <c r="AX86" s="141">
        <f t="shared" si="59"/>
        <v>75</v>
      </c>
      <c r="AY86" s="128">
        <f t="shared" si="59"/>
        <v>7</v>
      </c>
      <c r="AZ86" s="175" t="str">
        <f t="array" ref="AZ86">_xlfn._xlws.FILTER('[1]ALFABETICO SEM'!$M$1:$M$196, ('[1]ALFABETICO SEM'!$L$1:$L$196 = AY$83) * ('[1]ALFABETICO SEM'!$N$1:$N$196 = AY86), " - ")</f>
        <v>SILK EYES</v>
      </c>
      <c r="BA86" s="176"/>
      <c r="BB86" s="176"/>
      <c r="BC86" s="176"/>
      <c r="BD86" s="176"/>
      <c r="BE86" s="176"/>
      <c r="BF86" s="176"/>
      <c r="BG86" s="129">
        <f t="shared" si="60"/>
        <v>66</v>
      </c>
      <c r="BH86" s="128">
        <f t="shared" si="60"/>
        <v>9</v>
      </c>
      <c r="BI86" s="175">
        <f t="array" ref="BI86">_xlfn._xlws.FILTER('[1]ALFABETICO SEM'!$M$1:$M$196, ('[1]ALFABETICO SEM'!$L$1:$L$196 = BH$83) * ('[1]ALFABETICO SEM'!$N$1:$N$196 = BH86), " - ")</f>
        <v>0</v>
      </c>
      <c r="BJ86" s="176"/>
      <c r="BK86" s="176"/>
      <c r="BL86" s="176"/>
      <c r="BM86" s="176"/>
      <c r="BN86" s="176"/>
      <c r="BO86" s="176"/>
      <c r="BP86" s="141">
        <f t="shared" si="61"/>
        <v>74</v>
      </c>
      <c r="BQ86" s="103"/>
      <c r="BR86" s="103"/>
      <c r="BS86" s="103"/>
      <c r="BT86" s="103"/>
      <c r="BU86" s="103"/>
      <c r="BV86" s="103"/>
      <c r="BW86" s="103"/>
      <c r="BX86" s="103"/>
      <c r="BY86" s="103"/>
      <c r="BZ86" s="103"/>
      <c r="CA86" s="103"/>
      <c r="CB86" s="103"/>
      <c r="CC86" s="103"/>
      <c r="CD86" s="103"/>
      <c r="CE86" s="103"/>
      <c r="CF86" s="103"/>
      <c r="CG86" s="103"/>
      <c r="EG86" s="388" t="str">
        <f t="shared" si="35"/>
        <v/>
      </c>
      <c r="EH86" s="388"/>
      <c r="EI86" s="388"/>
      <c r="EJ86" s="388"/>
    </row>
    <row r="87" spans="1:140" ht="24.75" customHeight="1" x14ac:dyDescent="0.4">
      <c r="A87" s="3"/>
      <c r="B87" s="128">
        <f t="shared" si="53"/>
        <v>8</v>
      </c>
      <c r="C87" s="175" t="str">
        <f t="array" ref="C87">_xlfn._xlws.FILTER('[1]ALFABETICO SEM'!$M$1:$M$196, ('[1]ALFABETICO SEM'!$L$1:$L$196 = $B$83) * ('[1]ALFABETICO SEM'!$N$1:$N$196 = B87), " - ")</f>
        <v>QUEEN VANEMAR</v>
      </c>
      <c r="D87" s="140"/>
      <c r="E87" s="141">
        <f t="shared" si="54"/>
        <v>67</v>
      </c>
      <c r="F87" s="128">
        <f t="shared" si="54"/>
        <v>5</v>
      </c>
      <c r="G87" s="175" t="str">
        <f t="array" ref="G87">_xlfn._xlws.FILTER('[1]ALFABETICO SEM'!$M$1:$M$196, ('[1]ALFABETICO SEM'!$L$1:$L$196 = $F$83) * ('[1]ALFABETICO SEM'!$N$1:$N$196 = F87), " - ")</f>
        <v>BOILED MILK</v>
      </c>
      <c r="H87" s="176"/>
      <c r="I87" s="176"/>
      <c r="J87" s="176"/>
      <c r="K87" s="176"/>
      <c r="L87" s="176"/>
      <c r="M87" s="176"/>
      <c r="N87" s="129">
        <f t="shared" si="55"/>
        <v>21</v>
      </c>
      <c r="O87" s="128">
        <f t="shared" si="55"/>
        <v>6</v>
      </c>
      <c r="P87" s="175" t="str">
        <f t="array" ref="P87">_xlfn._xlws.FILTER('[1]ALFABETICO SEM'!$M$1:$M$196, ('[1]ALFABETICO SEM'!$L$1:$L$196 = O$83) * ('[1]ALFABETICO SEM'!$N$1:$N$196 = O87), " - ")</f>
        <v>DON CACAYO</v>
      </c>
      <c r="Q87" s="142"/>
      <c r="R87" s="142"/>
      <c r="S87" s="142"/>
      <c r="T87" s="142"/>
      <c r="U87" s="142"/>
      <c r="V87" s="142"/>
      <c r="W87" s="141">
        <f t="shared" si="56"/>
        <v>43</v>
      </c>
      <c r="X87" s="128">
        <f t="shared" si="56"/>
        <v>4</v>
      </c>
      <c r="Y87" s="175" t="str">
        <f t="array" ref="Y87">_xlfn._xlws.FILTER('[1]ALFABETICO SEM'!$M$1:$M$196, ('[1]ALFABETICO SEM'!$L$1:$L$196 = X$83) * ('[1]ALFABETICO SEM'!$N$1:$N$196 = X87), " - ")</f>
        <v>FRANCISS ROSE</v>
      </c>
      <c r="Z87" s="176"/>
      <c r="AA87" s="176"/>
      <c r="AB87" s="176"/>
      <c r="AC87" s="176"/>
      <c r="AD87" s="176"/>
      <c r="AE87" s="176"/>
      <c r="AF87" s="129">
        <f t="shared" si="57"/>
        <v>18</v>
      </c>
      <c r="AG87" s="128">
        <f t="shared" si="57"/>
        <v>10</v>
      </c>
      <c r="AH87" s="175">
        <f t="array" ref="AH87">_xlfn._xlws.FILTER('[1]ALFABETICO SEM'!$M$1:$M$196, ('[1]ALFABETICO SEM'!$L$1:$L$196 = AG$83) * ('[1]ALFABETICO SEM'!$N$1:$N$196 = AG87), " - ")</f>
        <v>0</v>
      </c>
      <c r="AI87" s="176"/>
      <c r="AJ87" s="176"/>
      <c r="AK87" s="176"/>
      <c r="AL87" s="176"/>
      <c r="AM87" s="176"/>
      <c r="AN87" s="176"/>
      <c r="AO87" s="129">
        <f t="shared" si="58"/>
        <v>19</v>
      </c>
      <c r="AP87" s="128">
        <f t="shared" si="58"/>
        <v>5</v>
      </c>
      <c r="AQ87" s="175" t="str">
        <f t="array" ref="AQ87">_xlfn._xlws.FILTER('[1]ALFABETICO SEM'!$M$1:$M$196, ('[1]ALFABETICO SEM'!$L$1:$L$196 = AP$83) * ('[1]ALFABETICO SEM'!$N$1:$N$196 = AP87), " - ")</f>
        <v>MAJESTIC SHOT</v>
      </c>
      <c r="AR87" s="176"/>
      <c r="AS87" s="176"/>
      <c r="AT87" s="176"/>
      <c r="AU87" s="176"/>
      <c r="AV87" s="176"/>
      <c r="AW87" s="176"/>
      <c r="AX87" s="129">
        <f t="shared" si="59"/>
        <v>59</v>
      </c>
      <c r="AY87" s="128">
        <f t="shared" si="59"/>
        <v>3</v>
      </c>
      <c r="AZ87" s="175" t="str">
        <f t="array" ref="AZ87">_xlfn._xlws.FILTER('[1]ALFABETICO SEM'!$M$1:$M$196, ('[1]ALFABETICO SEM'!$L$1:$L$196 = AY$83) * ('[1]ALFABETICO SEM'!$N$1:$N$196 = AY87), " - ")</f>
        <v>GRANDIOSSUS</v>
      </c>
      <c r="BA87" s="176"/>
      <c r="BB87" s="176"/>
      <c r="BC87" s="176"/>
      <c r="BD87" s="176"/>
      <c r="BE87" s="176"/>
      <c r="BF87" s="176"/>
      <c r="BG87" s="129">
        <f t="shared" si="60"/>
        <v>68</v>
      </c>
      <c r="BH87" s="128">
        <f t="shared" si="60"/>
        <v>11</v>
      </c>
      <c r="BI87" s="175">
        <f t="array" ref="BI87">_xlfn._xlws.FILTER('[1]ALFABETICO SEM'!$M$1:$M$196, ('[1]ALFABETICO SEM'!$L$1:$L$196 = BH$83) * ('[1]ALFABETICO SEM'!$N$1:$N$196 = BH87), " - ")</f>
        <v>0</v>
      </c>
      <c r="BJ87" s="176"/>
      <c r="BK87" s="176"/>
      <c r="BL87" s="176"/>
      <c r="BM87" s="176"/>
      <c r="BN87" s="176"/>
      <c r="BO87" s="176"/>
      <c r="BP87" s="141">
        <f t="shared" si="61"/>
        <v>32</v>
      </c>
      <c r="BQ87" s="103"/>
      <c r="BR87" s="103"/>
      <c r="BS87" s="103"/>
      <c r="BT87" s="103"/>
      <c r="BU87" s="103"/>
      <c r="BV87" s="103"/>
      <c r="BW87" s="103"/>
      <c r="BX87" s="103"/>
      <c r="BY87" s="103"/>
      <c r="BZ87" s="103"/>
      <c r="CA87" s="103"/>
      <c r="CB87" s="103"/>
      <c r="CC87" s="103"/>
      <c r="CD87" s="103"/>
      <c r="CE87" s="103"/>
      <c r="CF87" s="103"/>
      <c r="CG87" s="103"/>
      <c r="EG87" s="388" t="str">
        <f t="shared" si="35"/>
        <v/>
      </c>
      <c r="EH87" s="388"/>
      <c r="EI87" s="388"/>
      <c r="EJ87" s="388"/>
    </row>
    <row r="88" spans="1:140" ht="30" customHeight="1" x14ac:dyDescent="0.4">
      <c r="A88" s="3"/>
      <c r="B88" s="128">
        <f t="shared" si="53"/>
        <v>2</v>
      </c>
      <c r="C88" s="175" t="str">
        <f t="array" ref="C88">_xlfn._xlws.FILTER('[1]ALFABETICO SEM'!$M$1:$M$196, ('[1]ALFABETICO SEM'!$L$1:$L$196 = $B$83) * ('[1]ALFABETICO SEM'!$N$1:$N$196 = B88), " - ")</f>
        <v>TALENTOSO</v>
      </c>
      <c r="D88" s="103"/>
      <c r="E88" s="129">
        <f t="shared" si="54"/>
        <v>13</v>
      </c>
      <c r="F88" s="128">
        <f t="shared" si="54"/>
        <v>1</v>
      </c>
      <c r="G88" s="175" t="str">
        <f t="array" ref="G88">_xlfn._xlws.FILTER('[1]ALFABETICO SEM'!$M$1:$M$196, ('[1]ALFABETICO SEM'!$L$1:$L$196 = $F$83) * ('[1]ALFABETICO SEM'!$N$1:$N$196 = F88), " - ")</f>
        <v>MOSTAZA</v>
      </c>
      <c r="H88" s="176"/>
      <c r="I88" s="176"/>
      <c r="J88" s="176"/>
      <c r="K88" s="176"/>
      <c r="L88" s="176"/>
      <c r="M88" s="176"/>
      <c r="N88" s="129">
        <f t="shared" si="55"/>
        <v>17</v>
      </c>
      <c r="O88" s="128">
        <f t="shared" si="55"/>
        <v>2</v>
      </c>
      <c r="P88" s="175" t="str">
        <f t="array" ref="P88">_xlfn._xlws.FILTER('[1]ALFABETICO SEM'!$M$1:$M$196, ('[1]ALFABETICO SEM'!$L$1:$L$196 = O$83) * ('[1]ALFABETICO SEM'!$N$1:$N$196 = O88), " - ")</f>
        <v>POLOROID</v>
      </c>
      <c r="Q88" s="176"/>
      <c r="R88" s="176"/>
      <c r="S88" s="176"/>
      <c r="T88" s="176"/>
      <c r="U88" s="176"/>
      <c r="V88" s="176"/>
      <c r="W88" s="129">
        <f t="shared" si="56"/>
        <v>35</v>
      </c>
      <c r="X88" s="128">
        <f t="shared" si="56"/>
        <v>9</v>
      </c>
      <c r="Y88" s="175">
        <f t="array" ref="Y88">_xlfn._xlws.FILTER('[1]ALFABETICO SEM'!$M$1:$M$196, ('[1]ALFABETICO SEM'!$L$1:$L$196 = X$83) * ('[1]ALFABETICO SEM'!$N$1:$N$196 = X88), " - ")</f>
        <v>0</v>
      </c>
      <c r="Z88" s="176"/>
      <c r="AA88" s="176"/>
      <c r="AB88" s="176"/>
      <c r="AC88" s="176"/>
      <c r="AD88" s="176"/>
      <c r="AE88" s="176"/>
      <c r="AF88" s="129">
        <f t="shared" si="57"/>
        <v>13</v>
      </c>
      <c r="AG88" s="128">
        <f t="shared" si="57"/>
        <v>1</v>
      </c>
      <c r="AH88" s="175" t="str">
        <f t="array" ref="AH88">_xlfn._xlws.FILTER('[1]ALFABETICO SEM'!$M$1:$M$196, ('[1]ALFABETICO SEM'!$L$1:$L$196 = AG$83) * ('[1]ALFABETICO SEM'!$N$1:$N$196 = AG88), " - ")</f>
        <v>TIME REPORT</v>
      </c>
      <c r="AI88" s="176"/>
      <c r="AJ88" s="176"/>
      <c r="AK88" s="176"/>
      <c r="AL88" s="176"/>
      <c r="AM88" s="176"/>
      <c r="AN88" s="176"/>
      <c r="AO88" s="129">
        <f t="shared" si="58"/>
        <v>6</v>
      </c>
      <c r="AP88" s="128">
        <f t="shared" si="58"/>
        <v>3</v>
      </c>
      <c r="AQ88" s="175" t="str">
        <f t="array" ref="AQ88">_xlfn._xlws.FILTER('[1]ALFABETICO SEM'!$M$1:$M$196, ('[1]ALFABETICO SEM'!$L$1:$L$196 = AP$83) * ('[1]ALFABETICO SEM'!$N$1:$N$196 = AP88), " - ")</f>
        <v>WAY TOO MUCH</v>
      </c>
      <c r="AR88" s="176"/>
      <c r="AS88" s="176"/>
      <c r="AT88" s="176"/>
      <c r="AU88" s="176"/>
      <c r="AV88" s="176"/>
      <c r="AW88" s="176"/>
      <c r="AX88" s="129">
        <f t="shared" si="59"/>
        <v>5</v>
      </c>
      <c r="AY88" s="128">
        <f t="shared" si="59"/>
        <v>1</v>
      </c>
      <c r="AZ88" s="175" t="str">
        <f t="array" ref="AZ88">_xlfn._xlws.FILTER('[1]ALFABETICO SEM'!$M$1:$M$196, ('[1]ALFABETICO SEM'!$L$1:$L$196 = AY$83) * ('[1]ALFABETICO SEM'!$N$1:$N$196 = AY88), " - ")</f>
        <v>GANBATTE</v>
      </c>
      <c r="BA88" s="176"/>
      <c r="BB88" s="176"/>
      <c r="BC88" s="176"/>
      <c r="BD88" s="176"/>
      <c r="BE88" s="176"/>
      <c r="BF88" s="176"/>
      <c r="BG88" s="129">
        <f t="shared" si="60"/>
        <v>12</v>
      </c>
      <c r="BH88" s="128">
        <f t="shared" si="60"/>
        <v>1</v>
      </c>
      <c r="BI88" s="175" t="str">
        <f t="array" ref="BI88">_xlfn._xlws.FILTER('[1]ALFABETICO SEM'!$M$1:$M$196, ('[1]ALFABETICO SEM'!$L$1:$L$196 = BH$83) * ('[1]ALFABETICO SEM'!$N$1:$N$196 = BH88), " - ")</f>
        <v>KOSHO</v>
      </c>
      <c r="BJ88" s="176"/>
      <c r="BK88" s="176"/>
      <c r="BL88" s="176"/>
      <c r="BM88" s="176"/>
      <c r="BN88" s="176"/>
      <c r="BO88" s="176"/>
      <c r="BP88" s="141">
        <f t="shared" si="61"/>
        <v>7</v>
      </c>
      <c r="BQ88" s="103"/>
      <c r="BR88" s="103"/>
      <c r="BS88" s="103"/>
      <c r="BT88" s="103"/>
      <c r="BU88" s="103"/>
      <c r="BV88" s="103"/>
      <c r="BW88" s="103"/>
      <c r="BX88" s="103"/>
      <c r="BY88" s="103"/>
      <c r="BZ88" s="103"/>
      <c r="CA88" s="103"/>
      <c r="CB88" s="103"/>
      <c r="CC88" s="103"/>
      <c r="CD88" s="103"/>
      <c r="CE88" s="103"/>
      <c r="CF88" s="103"/>
      <c r="CG88" s="103"/>
      <c r="EG88" s="388" t="str">
        <f t="shared" si="35"/>
        <v/>
      </c>
      <c r="EH88" s="388"/>
      <c r="EI88" s="388"/>
      <c r="EJ88" s="388"/>
    </row>
    <row r="89" spans="1:140" ht="30" customHeight="1" x14ac:dyDescent="0.4">
      <c r="A89" s="3"/>
      <c r="B89" s="128">
        <f t="shared" si="53"/>
        <v>4</v>
      </c>
      <c r="C89" s="175" t="str">
        <f t="array" ref="C89">_xlfn._xlws.FILTER('[1]ALFABETICO SEM'!$M$1:$M$196, ('[1]ALFABETICO SEM'!$L$1:$L$196 = $B$83) * ('[1]ALFABETICO SEM'!$N$1:$N$196 = B89), " - ")</f>
        <v>BELIEVE ANDREW</v>
      </c>
      <c r="D89" s="103"/>
      <c r="E89" s="129">
        <f t="shared" si="54"/>
        <v>2</v>
      </c>
      <c r="F89" s="128">
        <f t="shared" si="54"/>
        <v>7</v>
      </c>
      <c r="G89" s="175" t="str">
        <f t="array" ref="G89">_xlfn._xlws.FILTER('[1]ALFABETICO SEM'!$M$1:$M$196, ('[1]ALFABETICO SEM'!$L$1:$L$196 = $F$83) * ('[1]ALFABETICO SEM'!$N$1:$N$196 = F89), " - ")</f>
        <v>SALOME</v>
      </c>
      <c r="H89" s="176"/>
      <c r="I89" s="176"/>
      <c r="J89" s="176"/>
      <c r="K89" s="176"/>
      <c r="L89" s="176"/>
      <c r="M89" s="176"/>
      <c r="N89" s="129">
        <f t="shared" si="55"/>
        <v>8</v>
      </c>
      <c r="O89" s="128">
        <f t="shared" si="55"/>
        <v>5</v>
      </c>
      <c r="P89" s="175" t="str">
        <f t="array" ref="P89">_xlfn._xlws.FILTER('[1]ALFABETICO SEM'!$M$1:$M$196, ('[1]ALFABETICO SEM'!$L$1:$L$196 = O$83) * ('[1]ALFABETICO SEM'!$N$1:$N$196 = O89), " - ")</f>
        <v>RED TIME</v>
      </c>
      <c r="Q89" s="176"/>
      <c r="R89" s="176"/>
      <c r="S89" s="176"/>
      <c r="T89" s="176"/>
      <c r="U89" s="176"/>
      <c r="V89" s="176"/>
      <c r="W89" s="129">
        <f t="shared" si="56"/>
        <v>9</v>
      </c>
      <c r="X89" s="128">
        <f t="shared" si="56"/>
        <v>1</v>
      </c>
      <c r="Y89" s="175" t="str">
        <f t="array" ref="Y89">_xlfn._xlws.FILTER('[1]ALFABETICO SEM'!$M$1:$M$196, ('[1]ALFABETICO SEM'!$L$1:$L$196 = X$83) * ('[1]ALFABETICO SEM'!$N$1:$N$196 = X89), " - ")</f>
        <v>RUE DU BAC</v>
      </c>
      <c r="Z89" s="176"/>
      <c r="AA89" s="176"/>
      <c r="AB89" s="176"/>
      <c r="AC89" s="176"/>
      <c r="AD89" s="176"/>
      <c r="AE89" s="176"/>
      <c r="AF89" s="129">
        <f t="shared" si="57"/>
        <v>9</v>
      </c>
      <c r="AG89" s="128">
        <f t="shared" si="57"/>
        <v>8</v>
      </c>
      <c r="AH89" s="175">
        <f t="array" ref="AH89">_xlfn._xlws.FILTER('[1]ALFABETICO SEM'!$M$1:$M$196, ('[1]ALFABETICO SEM'!$L$1:$L$196 = AG$83) * ('[1]ALFABETICO SEM'!$N$1:$N$196 = AG89), " - ")</f>
        <v>0</v>
      </c>
      <c r="AI89" s="176"/>
      <c r="AJ89" s="176"/>
      <c r="AK89" s="176"/>
      <c r="AL89" s="176"/>
      <c r="AM89" s="176"/>
      <c r="AN89" s="176"/>
      <c r="AO89" s="129">
        <f t="shared" si="58"/>
        <v>6</v>
      </c>
      <c r="AP89" s="128">
        <f t="shared" si="58"/>
        <v>9</v>
      </c>
      <c r="AQ89" s="175" t="str">
        <f t="array" ref="AQ89">_xlfn._xlws.FILTER('[1]ALFABETICO SEM'!$M$1:$M$196, ('[1]ALFABETICO SEM'!$L$1:$L$196 = AP$83) * ('[1]ALFABETICO SEM'!$N$1:$N$196 = AP89), " - ")</f>
        <v>ARDENTIA</v>
      </c>
      <c r="AR89" s="176"/>
      <c r="AS89" s="176"/>
      <c r="AT89" s="176"/>
      <c r="AU89" s="176"/>
      <c r="AV89" s="176"/>
      <c r="AW89" s="176"/>
      <c r="AX89" s="129">
        <f t="shared" si="59"/>
        <v>2</v>
      </c>
      <c r="AY89" s="128">
        <f t="shared" si="59"/>
        <v>2</v>
      </c>
      <c r="AZ89" s="175" t="str">
        <f t="array" ref="AZ89">_xlfn._xlws.FILTER('[1]ALFABETICO SEM'!$M$1:$M$196, ('[1]ALFABETICO SEM'!$L$1:$L$196 = AY$83) * ('[1]ALFABETICO SEM'!$N$1:$N$196 = AY89), " - ")</f>
        <v>ABUELO</v>
      </c>
      <c r="BA89" s="176"/>
      <c r="BB89" s="176"/>
      <c r="BC89" s="176"/>
      <c r="BD89" s="176"/>
      <c r="BE89" s="176"/>
      <c r="BF89" s="176"/>
      <c r="BG89" s="129">
        <f t="shared" si="60"/>
        <v>8</v>
      </c>
      <c r="BH89" s="128">
        <f t="shared" si="60"/>
        <v>5</v>
      </c>
      <c r="BI89" s="175" t="str">
        <f t="array" ref="BI89">_xlfn._xlws.FILTER('[1]ALFABETICO SEM'!$M$1:$M$196, ('[1]ALFABETICO SEM'!$L$1:$L$196 = BH$83) * ('[1]ALFABETICO SEM'!$N$1:$N$196 = BH89), " - ")</f>
        <v>NIÑO DE ORO</v>
      </c>
      <c r="BJ89" s="176"/>
      <c r="BK89" s="176"/>
      <c r="BL89" s="176"/>
      <c r="BM89" s="176"/>
      <c r="BN89" s="176"/>
      <c r="BO89" s="176"/>
      <c r="BP89" s="141">
        <f t="shared" si="61"/>
        <v>5</v>
      </c>
      <c r="BQ89" s="103"/>
      <c r="BR89" s="103"/>
      <c r="BS89" s="103"/>
      <c r="BT89" s="103"/>
      <c r="BU89" s="103"/>
      <c r="BV89" s="103"/>
      <c r="BW89" s="103"/>
      <c r="BX89" s="103"/>
      <c r="BY89" s="103"/>
      <c r="BZ89" s="103"/>
      <c r="CA89" s="103"/>
      <c r="CB89" s="103"/>
      <c r="CC89" s="103"/>
      <c r="CD89" s="103"/>
      <c r="CE89" s="103"/>
      <c r="CF89" s="103"/>
      <c r="CG89" s="103"/>
      <c r="EG89" s="388" t="str">
        <f t="shared" si="35"/>
        <v/>
      </c>
      <c r="EH89" s="388"/>
      <c r="EI89" s="388"/>
      <c r="EJ89" s="388"/>
    </row>
    <row r="90" spans="1:140" ht="24.75" customHeight="1" x14ac:dyDescent="0.4">
      <c r="A90" s="3"/>
      <c r="B90" s="130">
        <f t="shared" si="53"/>
        <v>5</v>
      </c>
      <c r="C90" s="175" t="str">
        <f t="array" ref="C90">_xlfn._xlws.FILTER('[1]ALFABETICO SEM'!$M$1:$M$196, ('[1]ALFABETICO SEM'!$L$1:$L$196 = $B$83) * ('[1]ALFABETICO SEM'!$N$1:$N$196 = B90), " - ")</f>
        <v>VISION</v>
      </c>
      <c r="D90" s="132"/>
      <c r="E90" s="133">
        <f t="shared" si="54"/>
        <v>0</v>
      </c>
      <c r="F90" s="130">
        <f t="shared" si="54"/>
        <v>2</v>
      </c>
      <c r="G90" s="175" t="str">
        <f t="array" ref="G90">_xlfn._xlws.FILTER('[1]ALFABETICO SEM'!$M$1:$M$196, ('[1]ALFABETICO SEM'!$L$1:$L$196 = $F$83) * ('[1]ALFABETICO SEM'!$N$1:$N$196 = F90), " - ")</f>
        <v>DECIDIDA</v>
      </c>
      <c r="H90" s="134"/>
      <c r="I90" s="134"/>
      <c r="J90" s="134"/>
      <c r="K90" s="134"/>
      <c r="L90" s="134"/>
      <c r="M90" s="134"/>
      <c r="N90" s="133">
        <f t="shared" si="55"/>
        <v>6</v>
      </c>
      <c r="O90" s="130">
        <f t="shared" si="55"/>
        <v>1</v>
      </c>
      <c r="P90" s="175" t="str">
        <f t="array" ref="P90">_xlfn._xlws.FILTER('[1]ALFABETICO SEM'!$M$1:$M$196, ('[1]ALFABETICO SEM'!$L$1:$L$196 = O$83) * ('[1]ALFABETICO SEM'!$N$1:$N$196 = O90), " - ")</f>
        <v>FURETTO</v>
      </c>
      <c r="Q90" s="134"/>
      <c r="R90" s="134"/>
      <c r="S90" s="134"/>
      <c r="T90" s="134"/>
      <c r="U90" s="134"/>
      <c r="V90" s="134"/>
      <c r="W90" s="133">
        <f t="shared" si="56"/>
        <v>8</v>
      </c>
      <c r="X90" s="130">
        <f t="shared" si="56"/>
        <v>7</v>
      </c>
      <c r="Y90" s="175" t="str">
        <f t="array" ref="Y90">_xlfn._xlws.FILTER('[1]ALFABETICO SEM'!$M$1:$M$196, ('[1]ALFABETICO SEM'!$L$1:$L$196 = X$83) * ('[1]ALFABETICO SEM'!$N$1:$N$196 = X90), " - ")</f>
        <v>GRAN FERONIA</v>
      </c>
      <c r="Z90" s="134"/>
      <c r="AA90" s="134"/>
      <c r="AB90" s="134"/>
      <c r="AC90" s="134"/>
      <c r="AD90" s="134"/>
      <c r="AE90" s="134"/>
      <c r="AF90" s="133">
        <f t="shared" si="57"/>
        <v>8</v>
      </c>
      <c r="AG90" s="130">
        <f t="shared" si="57"/>
        <v>4</v>
      </c>
      <c r="AH90" s="175" t="str">
        <f t="array" ref="AH90">_xlfn._xlws.FILTER('[1]ALFABETICO SEM'!$M$1:$M$196, ('[1]ALFABETICO SEM'!$L$1:$L$196 = AG$83) * ('[1]ALFABETICO SEM'!$N$1:$N$196 = AG90), " - ")</f>
        <v>MAXIMUS FORTUNE</v>
      </c>
      <c r="AI90" s="134"/>
      <c r="AJ90" s="134"/>
      <c r="AK90" s="134"/>
      <c r="AL90" s="134"/>
      <c r="AM90" s="134"/>
      <c r="AN90" s="134"/>
      <c r="AO90" s="133">
        <f t="shared" si="58"/>
        <v>6</v>
      </c>
      <c r="AP90" s="128">
        <f t="shared" si="58"/>
        <v>6</v>
      </c>
      <c r="AQ90" s="175" t="str">
        <f t="array" ref="AQ90">_xlfn._xlws.FILTER('[1]ALFABETICO SEM'!$M$1:$M$196, ('[1]ALFABETICO SEM'!$L$1:$L$196 = AP$83) * ('[1]ALFABETICO SEM'!$N$1:$N$196 = AP90), " - ")</f>
        <v>CRAIGH NA DUN</v>
      </c>
      <c r="AR90" s="134"/>
      <c r="AS90" s="134"/>
      <c r="AT90" s="134"/>
      <c r="AU90" s="134"/>
      <c r="AV90" s="134"/>
      <c r="AW90" s="134"/>
      <c r="AX90" s="129">
        <f t="shared" si="59"/>
        <v>2</v>
      </c>
      <c r="AY90" s="128">
        <f t="shared" si="59"/>
        <v>6</v>
      </c>
      <c r="AZ90" s="175" t="str">
        <f t="array" ref="AZ90">_xlfn._xlws.FILTER('[1]ALFABETICO SEM'!$M$1:$M$196, ('[1]ALFABETICO SEM'!$L$1:$L$196 = AY$83) * ('[1]ALFABETICO SEM'!$N$1:$N$196 = AY90), " - ")</f>
        <v>ZEPPELIN</v>
      </c>
      <c r="BA90" s="176"/>
      <c r="BB90" s="176"/>
      <c r="BC90" s="176"/>
      <c r="BD90" s="176"/>
      <c r="BE90" s="176"/>
      <c r="BF90" s="176"/>
      <c r="BG90" s="129">
        <f t="shared" si="60"/>
        <v>3</v>
      </c>
      <c r="BH90" s="128">
        <f t="shared" si="60"/>
        <v>6</v>
      </c>
      <c r="BI90" s="175" t="str">
        <f t="array" ref="BI90">_xlfn._xlws.FILTER('[1]ALFABETICO SEM'!$M$1:$M$196, ('[1]ALFABETICO SEM'!$L$1:$L$196 = BH$83) * ('[1]ALFABETICO SEM'!$N$1:$N$196 = BH90), " - ")</f>
        <v>BUCEFALO</v>
      </c>
      <c r="BJ90" s="176"/>
      <c r="BK90" s="176"/>
      <c r="BL90" s="176"/>
      <c r="BM90" s="176"/>
      <c r="BN90" s="176"/>
      <c r="BO90" s="176"/>
      <c r="BP90" s="141">
        <f t="shared" si="61"/>
        <v>6</v>
      </c>
      <c r="BQ90" s="103"/>
      <c r="BR90" s="103"/>
      <c r="BS90" s="103"/>
      <c r="BT90" s="103"/>
      <c r="BU90" s="103"/>
      <c r="BV90" s="103"/>
      <c r="BW90" s="103"/>
      <c r="BX90" s="103"/>
      <c r="BY90" s="103"/>
      <c r="BZ90" s="103"/>
      <c r="CA90" s="103"/>
      <c r="CB90" s="103"/>
      <c r="CC90" s="103"/>
      <c r="CD90" s="103"/>
      <c r="CE90" s="103"/>
      <c r="CF90" s="103"/>
      <c r="CG90" s="103"/>
      <c r="EG90" s="388" t="str">
        <f t="shared" si="35"/>
        <v/>
      </c>
      <c r="EH90" s="388"/>
      <c r="EI90" s="388"/>
      <c r="EJ90" s="388"/>
    </row>
    <row r="91" spans="1:140" ht="30" customHeight="1" x14ac:dyDescent="0.4">
      <c r="A91" s="3"/>
      <c r="B91" s="541">
        <f>(B5 + 1)</f>
        <v>8</v>
      </c>
      <c r="C91" s="183"/>
      <c r="D91" s="183"/>
      <c r="E91" s="184"/>
      <c r="F91" s="541">
        <f>($B$5 + 2)</f>
        <v>9</v>
      </c>
      <c r="G91" s="183"/>
      <c r="H91" s="183"/>
      <c r="I91" s="183"/>
      <c r="J91" s="183"/>
      <c r="K91" s="183"/>
      <c r="L91" s="183"/>
      <c r="M91" s="183"/>
      <c r="N91" s="184"/>
      <c r="O91" s="541">
        <f>($B$5 + 3)</f>
        <v>10</v>
      </c>
      <c r="P91" s="183"/>
      <c r="Q91" s="183"/>
      <c r="R91" s="183"/>
      <c r="S91" s="183"/>
      <c r="T91" s="183"/>
      <c r="U91" s="183"/>
      <c r="V91" s="183"/>
      <c r="W91" s="184"/>
      <c r="X91" s="541">
        <f>($B$5 + 4)</f>
        <v>11</v>
      </c>
      <c r="Y91" s="183"/>
      <c r="Z91" s="183"/>
      <c r="AA91" s="183"/>
      <c r="AB91" s="183"/>
      <c r="AC91" s="183"/>
      <c r="AD91" s="183"/>
      <c r="AE91" s="183"/>
      <c r="AF91" s="184"/>
      <c r="AG91" s="541">
        <f>($B$5 + 5)</f>
        <v>12</v>
      </c>
      <c r="AH91" s="183"/>
      <c r="AI91" s="183"/>
      <c r="AJ91" s="183"/>
      <c r="AK91" s="183"/>
      <c r="AL91" s="183"/>
      <c r="AM91" s="183"/>
      <c r="AN91" s="183"/>
      <c r="AO91" s="184"/>
      <c r="AP91" s="541">
        <f>($B$5 + 6)</f>
        <v>13</v>
      </c>
      <c r="AQ91" s="183"/>
      <c r="AR91" s="183"/>
      <c r="AS91" s="183"/>
      <c r="AT91" s="183"/>
      <c r="AU91" s="183"/>
      <c r="AV91" s="183"/>
      <c r="AW91" s="183"/>
      <c r="AX91" s="184"/>
      <c r="AY91" s="541">
        <f>($B$5 + 7)</f>
        <v>14</v>
      </c>
      <c r="AZ91" s="183"/>
      <c r="BA91" s="183"/>
      <c r="BB91" s="183"/>
      <c r="BC91" s="183"/>
      <c r="BD91" s="183"/>
      <c r="BE91" s="183"/>
      <c r="BF91" s="183"/>
      <c r="BG91" s="184"/>
      <c r="BH91" s="541">
        <f>($B$5 + 8)</f>
        <v>15</v>
      </c>
      <c r="BI91" s="183"/>
      <c r="BJ91" s="183"/>
      <c r="BK91" s="183"/>
      <c r="BL91" s="183"/>
      <c r="BM91" s="183"/>
      <c r="BN91" s="183"/>
      <c r="BO91" s="183"/>
      <c r="BP91" s="184"/>
      <c r="EG91" s="388" t="str">
        <f t="shared" si="35"/>
        <v/>
      </c>
      <c r="EH91" s="388"/>
      <c r="EI91" s="388"/>
      <c r="EJ91" s="388"/>
    </row>
    <row r="92" spans="1:140" ht="30" customHeight="1" x14ac:dyDescent="0.35">
      <c r="A92" s="3"/>
      <c r="B92" s="269" t="s">
        <v>280</v>
      </c>
      <c r="C92" s="178" t="s">
        <v>285</v>
      </c>
      <c r="D92" s="178"/>
      <c r="E92" s="135" t="s">
        <v>165</v>
      </c>
      <c r="F92" s="269" t="s">
        <v>280</v>
      </c>
      <c r="G92" s="178" t="s">
        <v>285</v>
      </c>
      <c r="H92" s="178"/>
      <c r="I92" s="178"/>
      <c r="J92" s="178"/>
      <c r="K92" s="178"/>
      <c r="L92" s="178"/>
      <c r="M92" s="178"/>
      <c r="N92" s="135" t="s">
        <v>165</v>
      </c>
      <c r="O92" s="269" t="s">
        <v>280</v>
      </c>
      <c r="P92" s="178" t="s">
        <v>285</v>
      </c>
      <c r="Q92" s="178"/>
      <c r="R92" s="178"/>
      <c r="S92" s="178"/>
      <c r="T92" s="178"/>
      <c r="U92" s="178"/>
      <c r="V92" s="178"/>
      <c r="W92" s="135" t="s">
        <v>165</v>
      </c>
      <c r="X92" s="269" t="s">
        <v>280</v>
      </c>
      <c r="Y92" s="178" t="s">
        <v>285</v>
      </c>
      <c r="Z92" s="178"/>
      <c r="AA92" s="178"/>
      <c r="AB92" s="178"/>
      <c r="AC92" s="178"/>
      <c r="AD92" s="178"/>
      <c r="AE92" s="178"/>
      <c r="AF92" s="135" t="s">
        <v>165</v>
      </c>
      <c r="AG92" s="269" t="s">
        <v>280</v>
      </c>
      <c r="AH92" s="178" t="s">
        <v>285</v>
      </c>
      <c r="AI92" s="178"/>
      <c r="AJ92" s="178"/>
      <c r="AK92" s="178"/>
      <c r="AL92" s="178"/>
      <c r="AM92" s="178"/>
      <c r="AN92" s="178"/>
      <c r="AO92" s="177" t="s">
        <v>165</v>
      </c>
      <c r="AP92" s="269" t="s">
        <v>280</v>
      </c>
      <c r="AQ92" s="178" t="s">
        <v>285</v>
      </c>
      <c r="AR92" s="178"/>
      <c r="AS92" s="178"/>
      <c r="AT92" s="178"/>
      <c r="AU92" s="178"/>
      <c r="AV92" s="178"/>
      <c r="AW92" s="178"/>
      <c r="AX92" s="135" t="s">
        <v>165</v>
      </c>
      <c r="AY92" s="269" t="s">
        <v>280</v>
      </c>
      <c r="AZ92" s="178" t="s">
        <v>285</v>
      </c>
      <c r="BA92" s="178"/>
      <c r="BB92" s="178"/>
      <c r="BC92" s="178"/>
      <c r="BD92" s="178"/>
      <c r="BE92" s="178"/>
      <c r="BF92" s="178"/>
      <c r="BG92" s="135" t="s">
        <v>165</v>
      </c>
      <c r="BH92" s="269" t="s">
        <v>280</v>
      </c>
      <c r="BI92" s="178" t="s">
        <v>285</v>
      </c>
      <c r="BJ92" s="178"/>
      <c r="BK92" s="178"/>
      <c r="BL92" s="178"/>
      <c r="BM92" s="178"/>
      <c r="BN92" s="178"/>
      <c r="BO92" s="178"/>
      <c r="BP92" s="135" t="s">
        <v>165</v>
      </c>
      <c r="EG92" s="388" t="str">
        <f t="shared" si="35"/>
        <v/>
      </c>
      <c r="EH92" s="388"/>
      <c r="EI92" s="388"/>
      <c r="EJ92" s="388"/>
    </row>
    <row r="93" spans="1:140" ht="24.75" customHeight="1" x14ac:dyDescent="0.4">
      <c r="A93" s="3"/>
      <c r="B93" s="179">
        <f t="array" ref="B93">INDEX(66:66,B5*5 + 5)</f>
        <v>8</v>
      </c>
      <c r="C93" s="136" t="str">
        <f t="array" ref="C93">_xlfn._xlws.FILTER('[1]ALFABETICO SEM'!$M$1:$M$196, ('[1]ALFABETICO SEM'!$L$1:$L$196 = B$91) * ('[1]ALFABETICO SEM'!$N$1:$N$196 = B93), " - ")</f>
        <v>KING NYSOS</v>
      </c>
      <c r="D93" s="137"/>
      <c r="E93" s="138">
        <f t="array" ref="E93">INDEX(66:66, 'SEM 2'!$B$5*5 + 9)</f>
        <v>84</v>
      </c>
      <c r="F93" s="179">
        <f t="array" ref="F93">INDEX(66:66, 'SEM 2'!$B$5*5+1 + 9)</f>
        <v>1</v>
      </c>
      <c r="G93" s="136" t="str">
        <f t="array" ref="G93">_xlfn._xlws.FILTER('[1]ALFABETICO SEM'!$M$1:$M$196, ('[1]ALFABETICO SEM'!$L$1:$L$196 = F$91) * ('[1]ALFABETICO SEM'!$N$1:$N$196 = F93), " - ")</f>
        <v>EL GRAN CAMPEON</v>
      </c>
      <c r="H93" s="137"/>
      <c r="I93" s="137"/>
      <c r="J93" s="137"/>
      <c r="K93" s="137"/>
      <c r="L93" s="137"/>
      <c r="M93" s="137"/>
      <c r="N93" s="138">
        <f t="array" ref="N93">INDEX(66:66, 'SEM 2'!$B$5*5 + 14)</f>
        <v>83</v>
      </c>
      <c r="O93" s="179">
        <f t="array" ref="O93">INDEX(66:66, 'SEM 2'!$B$5*5+1 + 14)</f>
        <v>9</v>
      </c>
      <c r="P93" s="136" t="str">
        <f t="array" ref="P93">_xlfn._xlws.FILTER('[1]ALFABETICO SEM'!$M$1:$M$196, ('[1]ALFABETICO SEM'!$L$1:$L$196 = O$91) * ('[1]ALFABETICO SEM'!$N$1:$N$196 = O93), " - ")</f>
        <v>REY SATURNO</v>
      </c>
      <c r="Q93" s="137"/>
      <c r="R93" s="137"/>
      <c r="S93" s="137"/>
      <c r="T93" s="137"/>
      <c r="U93" s="137"/>
      <c r="V93" s="137"/>
      <c r="W93" s="138">
        <f t="array" ref="W93">INDEX(66:66, 'SEM 2'!$B$5*5 + 19)</f>
        <v>86</v>
      </c>
      <c r="X93" s="179">
        <f t="array" ref="X93">INDEX(66:66, 'SEM 2'!$B$5*5+1 + 19)</f>
        <v>4</v>
      </c>
      <c r="Y93" s="136" t="str">
        <f t="array" ref="Y93">_xlfn._xlws.FILTER('[1]ALFABETICO SEM'!$M$1:$M$196, ('[1]ALFABETICO SEM'!$L$1:$L$196 = X$91) * ('[1]ALFABETICO SEM'!$N$1:$N$196 = X93), " - ")</f>
        <v>AURA ROMANA</v>
      </c>
      <c r="Z93" s="137"/>
      <c r="AA93" s="137"/>
      <c r="AB93" s="137"/>
      <c r="AC93" s="137"/>
      <c r="AD93" s="137"/>
      <c r="AE93" s="137"/>
      <c r="AF93" s="138">
        <f t="array" ref="AF93">INDEX(66:66, 'SEM 2'!$B$5*5 + 24)</f>
        <v>93</v>
      </c>
      <c r="AG93" s="179">
        <f t="array" ref="AG93">INDEX(66:66, 'SEM 2'!$B$5*5+1 + 24)</f>
        <v>5</v>
      </c>
      <c r="AH93" s="136" t="str">
        <f t="array" ref="AH93">_xlfn._xlws.FILTER('[1]ALFABETICO SEM'!$M$1:$M$196, ('[1]ALFABETICO SEM'!$L$1:$L$196 = AG$91) * ('[1]ALFABETICO SEM'!$N$1:$N$196 = AG93), " - ")</f>
        <v>THE FIELDHER JR.</v>
      </c>
      <c r="AI93" s="137"/>
      <c r="AJ93" s="137"/>
      <c r="AK93" s="137"/>
      <c r="AL93" s="137"/>
      <c r="AM93" s="137"/>
      <c r="AN93" s="137"/>
      <c r="AO93" s="138">
        <f t="array" ref="AO93">INDEX(66:66, 'SEM 2'!$B$5*5 + 29)</f>
        <v>97</v>
      </c>
      <c r="AP93" s="179">
        <f t="array" ref="AP93">INDEX(66:66, 'SEM 2'!$B$5*5+1 + 29)</f>
        <v>1</v>
      </c>
      <c r="AQ93" s="136" t="str">
        <f t="array" ref="AQ93">_xlfn._xlws.FILTER('[1]ALFABETICO SEM'!$M$1:$M$196, ('[1]ALFABETICO SEM'!$L$1:$L$196 = AP$91) * ('[1]ALFABETICO SEM'!$N$1:$N$196 = AP93), " - ")</f>
        <v>FURIA</v>
      </c>
      <c r="AR93" s="137"/>
      <c r="AS93" s="137"/>
      <c r="AT93" s="137"/>
      <c r="AU93" s="137"/>
      <c r="AV93" s="137"/>
      <c r="AW93" s="137"/>
      <c r="AX93" s="138">
        <f t="array" ref="AX93">INDEX(66:66, 'SEM 2'!$B$5*5 + 34)</f>
        <v>66</v>
      </c>
      <c r="AY93" s="179">
        <f t="array" ref="AY93">INDEX(66:66, 'SEM 2'!$B$5*5+1 + 34)</f>
        <v>1</v>
      </c>
      <c r="AZ93" s="136" t="str">
        <f t="array" ref="AZ93">_xlfn._xlws.FILTER('[1]ALFABETICO SEM'!$M$1:$M$196, ('[1]ALFABETICO SEM'!$L$1:$L$196 = AY$91) * ('[1]ALFABETICO SEM'!$N$1:$N$196 = AY93), " - ")</f>
        <v>GRAN CUMANESA</v>
      </c>
      <c r="BA93" s="180"/>
      <c r="BB93" s="180"/>
      <c r="BC93" s="180"/>
      <c r="BD93" s="180"/>
      <c r="BE93" s="180"/>
      <c r="BF93" s="180"/>
      <c r="BG93" s="138">
        <f t="array" ref="BG93">INDEX(66:66, 'SEM 2'!$B$5*5 + 39)</f>
        <v>0</v>
      </c>
      <c r="BH93" s="179">
        <f t="array" ref="BH93">INDEX(66:66, 'SEM 2'!$B$5*5+1 + 34)</f>
        <v>1</v>
      </c>
      <c r="BI93" s="136" t="str">
        <f t="array" ref="BI93">_xlfn._xlws.FILTER('[1]ALFABETICO SEM'!$M$1:$M$196, ('[1]ALFABETICO SEM'!$L$1:$L$196 = BH$91) * ('[1]ALFABETICO SEM'!$N$1:$N$196 = BH93), " - ")</f>
        <v xml:space="preserve"> - </v>
      </c>
      <c r="BJ93" s="180"/>
      <c r="BK93" s="180"/>
      <c r="BL93" s="180"/>
      <c r="BM93" s="180"/>
      <c r="BN93" s="180"/>
      <c r="BO93" s="180"/>
      <c r="BP93" s="138">
        <f t="array" ref="BP93">INDEX(66:66, 'SEM 2'!$B$5*5 + 39)</f>
        <v>0</v>
      </c>
      <c r="EG93" s="388" t="str">
        <f t="shared" si="35"/>
        <v/>
      </c>
      <c r="EH93" s="388"/>
      <c r="EI93" s="388"/>
      <c r="EJ93" s="388"/>
    </row>
    <row r="94" spans="1:140" ht="27.75" customHeight="1" x14ac:dyDescent="0.4">
      <c r="A94" s="3"/>
      <c r="B94" s="179">
        <f t="array" ref="B94">INDEX(67:67, 'SEM 2'!$B$5*5 + 5)</f>
        <v>9</v>
      </c>
      <c r="C94" s="175">
        <f t="array" ref="C94">_xlfn._xlws.FILTER('[1]ALFABETICO SEM'!$M$1:$M$196, ('[1]ALFABETICO SEM'!$L$1:$L$196 = B$91) * ('[1]ALFABETICO SEM'!$N$1:$N$196 = B94), " - ")</f>
        <v>0</v>
      </c>
      <c r="D94" s="176"/>
      <c r="E94" s="129">
        <f t="array" ref="E94">INDEX(67:67, 'SEM 2'!$B$5*5 + 9)</f>
        <v>74</v>
      </c>
      <c r="F94" s="179">
        <f t="array" ref="F94">INDEX(67:67, 'SEM 2'!$B$5*5+1 + 9)</f>
        <v>7</v>
      </c>
      <c r="G94" s="175" t="str">
        <f t="array" ref="G94">_xlfn._xlws.FILTER('[1]ALFABETICO SEM'!$M$1:$M$196, ('[1]ALFABETICO SEM'!$L$1:$L$196 = F$91) * ('[1]ALFABETICO SEM'!$N$1:$N$196 = F94), " - ")</f>
        <v>EROS</v>
      </c>
      <c r="H94" s="176"/>
      <c r="I94" s="176"/>
      <c r="J94" s="176"/>
      <c r="K94" s="176"/>
      <c r="L94" s="176"/>
      <c r="M94" s="176"/>
      <c r="N94" s="129">
        <f t="array" ref="N94">INDEX(67:67, 'SEM 2'!$B$5*5 + 14)</f>
        <v>72</v>
      </c>
      <c r="O94" s="179">
        <f t="array" ref="O94">INDEX(67:67, 'SEM 2'!$B$5*5+1 + 14)</f>
        <v>1</v>
      </c>
      <c r="P94" s="175" t="str">
        <f t="array" ref="P94">_xlfn._xlws.FILTER('[1]ALFABETICO SEM'!$M$1:$M$196, ('[1]ALFABETICO SEM'!$L$1:$L$196 = O$91) * ('[1]ALFABETICO SEM'!$N$1:$N$196 = O94), " - ")</f>
        <v>KING JULIEN</v>
      </c>
      <c r="Q94" s="176"/>
      <c r="R94" s="176"/>
      <c r="S94" s="176"/>
      <c r="T94" s="176"/>
      <c r="U94" s="176"/>
      <c r="V94" s="176"/>
      <c r="W94" s="129">
        <f t="array" ref="W94">INDEX(67:67, 'SEM 2'!$B$5*5 + 19)</f>
        <v>80</v>
      </c>
      <c r="X94" s="179">
        <f t="array" ref="X94">INDEX(67:67, 'SEM 2'!$B$5*5+1 + 19)</f>
        <v>2</v>
      </c>
      <c r="Y94" s="175" t="str">
        <f t="array" ref="Y94">_xlfn._xlws.FILTER('[1]ALFABETICO SEM'!$M$1:$M$196, ('[1]ALFABETICO SEM'!$L$1:$L$196 = X$91) * ('[1]ALFABETICO SEM'!$N$1:$N$196 = X94), " - ")</f>
        <v>NONNA YACHINTA</v>
      </c>
      <c r="Z94" s="176"/>
      <c r="AA94" s="176"/>
      <c r="AB94" s="176"/>
      <c r="AC94" s="176"/>
      <c r="AD94" s="176"/>
      <c r="AE94" s="176"/>
      <c r="AF94" s="129">
        <f t="array" ref="AF94">INDEX(67:67, 'SEM 2'!$B$5*5 + 24)</f>
        <v>53</v>
      </c>
      <c r="AG94" s="179">
        <f t="array" ref="AG94">INDEX(67:67, 'SEM 2'!$B$5*5+1 + 24)</f>
        <v>1</v>
      </c>
      <c r="AH94" s="175" t="str">
        <f t="array" ref="AH94">_xlfn._xlws.FILTER('[1]ALFABETICO SEM'!$M$1:$M$196, ('[1]ALFABETICO SEM'!$L$1:$L$196 = AG$91) * ('[1]ALFABETICO SEM'!$N$1:$N$196 = AG94), " - ")</f>
        <v>INVADER</v>
      </c>
      <c r="AI94" s="176"/>
      <c r="AJ94" s="176"/>
      <c r="AK94" s="176"/>
      <c r="AL94" s="176"/>
      <c r="AM94" s="176"/>
      <c r="AN94" s="176"/>
      <c r="AO94" s="129">
        <f t="array" ref="AO94">INDEX(67:67, 'SEM 2'!$B$5*5 + 29)</f>
        <v>60</v>
      </c>
      <c r="AP94" s="179">
        <f t="array" ref="AP94">INDEX(67:67, 'SEM 2'!$B$5*5+1 + 29)</f>
        <v>3</v>
      </c>
      <c r="AQ94" s="175" t="str">
        <f t="array" ref="AQ94">_xlfn._xlws.FILTER('[1]ALFABETICO SEM'!$M$1:$M$196, ('[1]ALFABETICO SEM'!$L$1:$L$196 = AP$91) * ('[1]ALFABETICO SEM'!$N$1:$N$196 = AP94), " - ")</f>
        <v>EMPLOYEEOFTHEMONTH</v>
      </c>
      <c r="AR94" s="176"/>
      <c r="AS94" s="176"/>
      <c r="AT94" s="176"/>
      <c r="AU94" s="176"/>
      <c r="AV94" s="176"/>
      <c r="AW94" s="176"/>
      <c r="AX94" s="129">
        <f t="array" ref="AX94">INDEX(67:67, 'SEM 2'!$B$5*5 + 34)</f>
        <v>58</v>
      </c>
      <c r="AY94" s="179">
        <f t="array" ref="AY94">INDEX(67:67, 'SEM 2'!$B$5*5+1 + 34)</f>
        <v>3</v>
      </c>
      <c r="AZ94" s="175" t="str">
        <f t="array" ref="AZ94">_xlfn._xlws.FILTER('[1]ALFABETICO SEM'!$M$1:$M$196, ('[1]ALFABETICO SEM'!$L$1:$L$196 = AY$91) * ('[1]ALFABETICO SEM'!$N$1:$N$196 = AY94), " - ")</f>
        <v>REYSGAR</v>
      </c>
      <c r="BA94" s="176"/>
      <c r="BB94" s="176"/>
      <c r="BC94" s="176"/>
      <c r="BD94" s="176"/>
      <c r="BE94" s="176"/>
      <c r="BF94" s="176"/>
      <c r="BG94" s="129">
        <f t="array" ref="BG94">INDEX(67:67, 'SEM 2'!$B$5*5 + 39)</f>
        <v>0</v>
      </c>
      <c r="BH94" s="179">
        <f t="array" ref="BH94">INDEX(67:67, 'SEM 2'!$B$5*5+1 + 34)</f>
        <v>3</v>
      </c>
      <c r="BI94" s="175" t="str">
        <f t="array" ref="BI94">_xlfn._xlws.FILTER('[1]ALFABETICO SEM'!$M$1:$M$196, ('[1]ALFABETICO SEM'!$L$1:$L$196 = BH$91) * ('[1]ALFABETICO SEM'!$N$1:$N$196 = BH94), " - ")</f>
        <v xml:space="preserve"> - </v>
      </c>
      <c r="BJ94" s="176"/>
      <c r="BK94" s="176"/>
      <c r="BL94" s="176"/>
      <c r="BM94" s="176"/>
      <c r="BN94" s="176"/>
      <c r="BO94" s="176"/>
      <c r="BP94" s="129">
        <f t="array" ref="BP94">INDEX(67:67, 'SEM 2'!$B$5*5 + 39)</f>
        <v>0</v>
      </c>
      <c r="EG94" s="388" t="str">
        <f t="shared" si="35"/>
        <v/>
      </c>
      <c r="EH94" s="388"/>
      <c r="EI94" s="388"/>
      <c r="EJ94" s="388"/>
    </row>
    <row r="95" spans="1:140" ht="27.75" customHeight="1" x14ac:dyDescent="0.4">
      <c r="A95" s="3"/>
      <c r="B95" s="179">
        <f t="array" ref="B95">INDEX(68:68, 'SEM 2'!$B$5*5 + 5)</f>
        <v>11</v>
      </c>
      <c r="C95" s="175">
        <f t="array" ref="C95">_xlfn._xlws.FILTER('[1]ALFABETICO SEM'!$M$1:$M$196, ('[1]ALFABETICO SEM'!$L$1:$L$196 = B$91) * ('[1]ALFABETICO SEM'!$N$1:$N$196 = B95), " - ")</f>
        <v>0</v>
      </c>
      <c r="D95" s="176"/>
      <c r="E95" s="129">
        <f t="array" ref="E95">INDEX(68:68, 'SEM 2'!$B$5*5 + 9)</f>
        <v>32</v>
      </c>
      <c r="F95" s="179">
        <f t="array" ref="F95">INDEX(68:68, 'SEM 2'!$B$5*5+1 + 9)</f>
        <v>2</v>
      </c>
      <c r="G95" s="175" t="str">
        <f t="array" ref="G95">_xlfn._xlws.FILTER('[1]ALFABETICO SEM'!$M$1:$M$196, ('[1]ALFABETICO SEM'!$L$1:$L$196 = F$91) * ('[1]ALFABETICO SEM'!$N$1:$N$196 = F95), " - ")</f>
        <v>SOY SABANERO</v>
      </c>
      <c r="H95" s="176"/>
      <c r="I95" s="176"/>
      <c r="J95" s="176"/>
      <c r="K95" s="176"/>
      <c r="L95" s="176"/>
      <c r="M95" s="176"/>
      <c r="N95" s="129">
        <f t="array" ref="N95">INDEX(68:68, 'SEM 2'!$B$5*5 + 14)</f>
        <v>30</v>
      </c>
      <c r="O95" s="179">
        <f t="array" ref="O95">INDEX(68:68, 'SEM 2'!$B$5*5+1 + 14)</f>
        <v>5</v>
      </c>
      <c r="P95" s="175" t="str">
        <f t="array" ref="P95">_xlfn._xlws.FILTER('[1]ALFABETICO SEM'!$M$1:$M$196, ('[1]ALFABETICO SEM'!$L$1:$L$196 = O$91) * ('[1]ALFABETICO SEM'!$N$1:$N$196 = O95), " - ")</f>
        <v>LUMIERE</v>
      </c>
      <c r="Q95" s="176"/>
      <c r="R95" s="176"/>
      <c r="S95" s="176"/>
      <c r="T95" s="176"/>
      <c r="U95" s="176"/>
      <c r="V95" s="176"/>
      <c r="W95" s="129">
        <f t="array" ref="W95">INDEX(68:68, 'SEM 2'!$B$5*5 + 19)</f>
        <v>3</v>
      </c>
      <c r="X95" s="179">
        <f t="array" ref="X95">INDEX(68:68, 'SEM 2'!$B$5*5+1 + 19)</f>
        <v>3</v>
      </c>
      <c r="Y95" s="175" t="str">
        <f t="array" ref="Y95">_xlfn._xlws.FILTER('[1]ALFABETICO SEM'!$M$1:$M$196, ('[1]ALFABETICO SEM'!$L$1:$L$196 = X$91) * ('[1]ALFABETICO SEM'!$N$1:$N$196 = X95), " - ")</f>
        <v>RYBAKINA</v>
      </c>
      <c r="Z95" s="176"/>
      <c r="AA95" s="176"/>
      <c r="AB95" s="176"/>
      <c r="AC95" s="176"/>
      <c r="AD95" s="176"/>
      <c r="AE95" s="176"/>
      <c r="AF95" s="129">
        <f t="array" ref="AF95">INDEX(68:68, 'SEM 2'!$B$5*5 + 24)</f>
        <v>29</v>
      </c>
      <c r="AG95" s="179">
        <f t="array" ref="AG95">INDEX(68:68, 'SEM 2'!$B$5*5+1 + 24)</f>
        <v>2</v>
      </c>
      <c r="AH95" s="175" t="str">
        <f t="array" ref="AH95">_xlfn._xlws.FILTER('[1]ALFABETICO SEM'!$M$1:$M$196, ('[1]ALFABETICO SEM'!$L$1:$L$196 = AG$91) * ('[1]ALFABETICO SEM'!$N$1:$N$196 = AG95), " - ")</f>
        <v>MUFASA</v>
      </c>
      <c r="AI95" s="176"/>
      <c r="AJ95" s="176"/>
      <c r="AK95" s="176"/>
      <c r="AL95" s="176"/>
      <c r="AM95" s="176"/>
      <c r="AN95" s="176"/>
      <c r="AO95" s="129">
        <f t="array" ref="AO95">INDEX(68:68, 'SEM 2'!$B$5*5 + 29)</f>
        <v>27</v>
      </c>
      <c r="AP95" s="179">
        <f t="array" ref="AP95">INDEX(68:68, 'SEM 2'!$B$5*5+1 + 29)</f>
        <v>12</v>
      </c>
      <c r="AQ95" s="175">
        <f t="array" ref="AQ95">_xlfn._xlws.FILTER('[1]ALFABETICO SEM'!$M$1:$M$196, ('[1]ALFABETICO SEM'!$L$1:$L$196 = AP$91) * ('[1]ALFABETICO SEM'!$N$1:$N$196 = AP95), " - ")</f>
        <v>0</v>
      </c>
      <c r="AR95" s="176"/>
      <c r="AS95" s="176"/>
      <c r="AT95" s="176"/>
      <c r="AU95" s="176"/>
      <c r="AV95" s="176"/>
      <c r="AW95" s="176"/>
      <c r="AX95" s="129">
        <f t="array" ref="AX95">INDEX(68:68, 'SEM 2'!$B$5*5 + 34)</f>
        <v>42</v>
      </c>
      <c r="AY95" s="179">
        <f t="array" ref="AY95">INDEX(68:68, 'SEM 2'!$B$5*5+1 + 34)</f>
        <v>12</v>
      </c>
      <c r="AZ95" s="175" t="str">
        <f t="array" ref="AZ95">_xlfn._xlws.FILTER('[1]ALFABETICO SEM'!$M$1:$M$196, ('[1]ALFABETICO SEM'!$L$1:$L$196 = AY$91) * ('[1]ALFABETICO SEM'!$N$1:$N$196 = AY95), " - ")</f>
        <v>NEGRITA HERMOSA</v>
      </c>
      <c r="BA95" s="176"/>
      <c r="BB95" s="176"/>
      <c r="BC95" s="176"/>
      <c r="BD95" s="176"/>
      <c r="BE95" s="176"/>
      <c r="BF95" s="176"/>
      <c r="BG95" s="129">
        <f t="array" ref="BG95">INDEX(68:68, 'SEM 2'!$B$5*5 + 39)</f>
        <v>0</v>
      </c>
      <c r="BH95" s="179">
        <f t="array" ref="BH95">INDEX(68:68, 'SEM 2'!$B$5*5+1 + 34)</f>
        <v>12</v>
      </c>
      <c r="BI95" s="175" t="str">
        <f t="array" ref="BI95">_xlfn._xlws.FILTER('[1]ALFABETICO SEM'!$M$1:$M$196, ('[1]ALFABETICO SEM'!$L$1:$L$196 = BH$91) * ('[1]ALFABETICO SEM'!$N$1:$N$196 = BH95), " - ")</f>
        <v xml:space="preserve"> - </v>
      </c>
      <c r="BJ95" s="176"/>
      <c r="BK95" s="176"/>
      <c r="BL95" s="176"/>
      <c r="BM95" s="176"/>
      <c r="BN95" s="176"/>
      <c r="BO95" s="176"/>
      <c r="BP95" s="129">
        <f t="array" ref="BP95">INDEX(68:68, 'SEM 2'!$B$5*5 + 39)</f>
        <v>0</v>
      </c>
      <c r="EG95" s="388" t="str">
        <f t="shared" ref="EG95:EG126" si="62">IF(EH95="","",$EG$59)</f>
        <v/>
      </c>
      <c r="EH95" s="388"/>
      <c r="EI95" s="388"/>
      <c r="EJ95" s="388"/>
    </row>
    <row r="96" spans="1:140" ht="27.75" customHeight="1" x14ac:dyDescent="0.4">
      <c r="A96" s="3"/>
      <c r="B96" s="179">
        <f t="array" ref="B96">INDEX(69:69, 'SEM 2'!$B$5*5 + 5)</f>
        <v>1</v>
      </c>
      <c r="C96" s="175" t="str">
        <f t="array" ref="C96">_xlfn._xlws.FILTER('[1]ALFABETICO SEM'!$M$1:$M$196, ('[1]ALFABETICO SEM'!$L$1:$L$196 = B$91) * ('[1]ALFABETICO SEM'!$N$1:$N$196 = B96), " - ")</f>
        <v>KOSHO</v>
      </c>
      <c r="D96" s="176"/>
      <c r="E96" s="129">
        <f t="array" ref="E96">INDEX(69:69, 'SEM 2'!$B$5*5 + 9)</f>
        <v>7</v>
      </c>
      <c r="F96" s="179">
        <f t="array" ref="F96">INDEX(69:69, 'SEM 2'!$B$5*5+1 + 9)</f>
        <v>3</v>
      </c>
      <c r="G96" s="175" t="str">
        <f t="array" ref="G96">_xlfn._xlws.FILTER('[1]ALFABETICO SEM'!$M$1:$M$196, ('[1]ALFABETICO SEM'!$L$1:$L$196 = F$91) * ('[1]ALFABETICO SEM'!$N$1:$N$196 = F96), " - ")</f>
        <v>EL TORO FLORES</v>
      </c>
      <c r="H96" s="176"/>
      <c r="I96" s="176"/>
      <c r="J96" s="176"/>
      <c r="K96" s="176"/>
      <c r="L96" s="176"/>
      <c r="M96" s="176"/>
      <c r="N96" s="129">
        <f t="array" ref="N96">INDEX(69:69, 'SEM 2'!$B$5*5 + 14)</f>
        <v>13</v>
      </c>
      <c r="O96" s="179">
        <f t="array" ref="O96">INDEX(69:69, 'SEM 2'!$B$5*5+1 + 14)</f>
        <v>3</v>
      </c>
      <c r="P96" s="175" t="str">
        <f t="array" ref="P96">_xlfn._xlws.FILTER('[1]ALFABETICO SEM'!$M$1:$M$196, ('[1]ALFABETICO SEM'!$L$1:$L$196 = O$91) * ('[1]ALFABETICO SEM'!$N$1:$N$196 = O96), " - ")</f>
        <v>QUALITAT</v>
      </c>
      <c r="Q96" s="176"/>
      <c r="R96" s="176"/>
      <c r="S96" s="176"/>
      <c r="T96" s="176"/>
      <c r="U96" s="176"/>
      <c r="V96" s="176"/>
      <c r="W96" s="129">
        <f t="array" ref="W96">INDEX(69:69, 'SEM 2'!$B$5*5 + 19)</f>
        <v>17</v>
      </c>
      <c r="X96" s="179">
        <f t="array" ref="X96">INDEX(69:69, 'SEM 2'!$B$5*5+1 + 19)</f>
        <v>8</v>
      </c>
      <c r="Y96" s="175" t="str">
        <f t="array" ref="Y96">_xlfn._xlws.FILTER('[1]ALFABETICO SEM'!$M$1:$M$196, ('[1]ALFABETICO SEM'!$L$1:$L$196 = X$91) * ('[1]ALFABETICO SEM'!$N$1:$N$196 = X96), " - ")</f>
        <v>AITANA PRINCESS</v>
      </c>
      <c r="Z96" s="176"/>
      <c r="AA96" s="176"/>
      <c r="AB96" s="176"/>
      <c r="AC96" s="176"/>
      <c r="AD96" s="176"/>
      <c r="AE96" s="176"/>
      <c r="AF96" s="129">
        <f t="array" ref="AF96">INDEX(69:69, 'SEM 2'!$B$5*5 + 24)</f>
        <v>14</v>
      </c>
      <c r="AG96" s="179">
        <f t="array" ref="AG96">INDEX(69:69, 'SEM 2'!$B$5*5+1 + 24)</f>
        <v>6</v>
      </c>
      <c r="AH96" s="175" t="str">
        <f t="array" ref="AH96">_xlfn._xlws.FILTER('[1]ALFABETICO SEM'!$M$1:$M$196, ('[1]ALFABETICO SEM'!$L$1:$L$196 = AG$91) * ('[1]ALFABETICO SEM'!$N$1:$N$196 = AG96), " - ")</f>
        <v>PAN DE AZUCAR</v>
      </c>
      <c r="AI96" s="176"/>
      <c r="AJ96" s="176"/>
      <c r="AK96" s="176"/>
      <c r="AL96" s="176"/>
      <c r="AM96" s="176"/>
      <c r="AN96" s="176"/>
      <c r="AO96" s="129">
        <f t="array" ref="AO96">INDEX(69:69, 'SEM 2'!$B$5*5 + 29)</f>
        <v>29</v>
      </c>
      <c r="AP96" s="179">
        <f t="array" ref="AP96">INDEX(69:69, 'SEM 2'!$B$5*5+1 + 29)</f>
        <v>2</v>
      </c>
      <c r="AQ96" s="175" t="str">
        <f t="array" ref="AQ96">_xlfn._xlws.FILTER('[1]ALFABETICO SEM'!$M$1:$M$196, ('[1]ALFABETICO SEM'!$L$1:$L$196 = AP$91) * ('[1]ALFABETICO SEM'!$N$1:$N$196 = AP96), " - ")</f>
        <v>POTENCIADA</v>
      </c>
      <c r="AR96" s="176"/>
      <c r="AS96" s="176"/>
      <c r="AT96" s="176"/>
      <c r="AU96" s="176"/>
      <c r="AV96" s="176"/>
      <c r="AW96" s="176"/>
      <c r="AX96" s="129">
        <f t="array" ref="AX96">INDEX(69:69, 'SEM 2'!$B$5*5 + 34)</f>
        <v>24</v>
      </c>
      <c r="AY96" s="179">
        <f t="array" ref="AY96">INDEX(69:69, 'SEM 2'!$B$5*5+1 + 34)</f>
        <v>2</v>
      </c>
      <c r="AZ96" s="175" t="str">
        <f t="array" ref="AZ96">_xlfn._xlws.FILTER('[1]ALFABETICO SEM'!$M$1:$M$196, ('[1]ALFABETICO SEM'!$L$1:$L$196 = AY$91) * ('[1]ALFABETICO SEM'!$N$1:$N$196 = AY96), " - ")</f>
        <v>SPRING CLEAN</v>
      </c>
      <c r="BA96" s="176"/>
      <c r="BB96" s="176"/>
      <c r="BC96" s="176"/>
      <c r="BD96" s="176"/>
      <c r="BE96" s="176"/>
      <c r="BF96" s="176"/>
      <c r="BG96" s="129">
        <f t="array" ref="BG96">INDEX(69:69, 'SEM 2'!$B$5*5 + 39)</f>
        <v>0</v>
      </c>
      <c r="BH96" s="179">
        <f t="array" ref="BH96">INDEX(69:69, 'SEM 2'!$B$5*5+1 + 34)</f>
        <v>2</v>
      </c>
      <c r="BI96" s="175" t="str">
        <f t="array" ref="BI96">_xlfn._xlws.FILTER('[1]ALFABETICO SEM'!$M$1:$M$196, ('[1]ALFABETICO SEM'!$L$1:$L$196 = BH$91) * ('[1]ALFABETICO SEM'!$N$1:$N$196 = BH96), " - ")</f>
        <v xml:space="preserve"> - </v>
      </c>
      <c r="BJ96" s="176"/>
      <c r="BK96" s="176"/>
      <c r="BL96" s="176"/>
      <c r="BM96" s="176"/>
      <c r="BN96" s="176"/>
      <c r="BO96" s="176"/>
      <c r="BP96" s="129">
        <f t="array" ref="BP96">INDEX(69:69, 'SEM 2'!$B$5*5 + 39)</f>
        <v>0</v>
      </c>
      <c r="EG96" s="388" t="str">
        <f t="shared" si="62"/>
        <v/>
      </c>
      <c r="EH96" s="388"/>
      <c r="EI96" s="388"/>
      <c r="EJ96" s="388"/>
    </row>
    <row r="97" spans="1:140" ht="27.75" customHeight="1" x14ac:dyDescent="0.4">
      <c r="A97" s="3"/>
      <c r="B97" s="179">
        <f t="array" ref="B97">INDEX(70:70, 'SEM 2'!$B$5*5 + 5)</f>
        <v>5</v>
      </c>
      <c r="C97" s="175" t="str">
        <f t="array" ref="C97">_xlfn._xlws.FILTER('[1]ALFABETICO SEM'!$M$1:$M$196, ('[1]ALFABETICO SEM'!$L$1:$L$196 = B$91) * ('[1]ALFABETICO SEM'!$N$1:$N$196 = B97), " - ")</f>
        <v>NIÑO DE ORO</v>
      </c>
      <c r="D97" s="176"/>
      <c r="E97" s="129">
        <f t="array" ref="E97">INDEX(70:70, 'SEM 2'!$B$5*5 + 9)</f>
        <v>5</v>
      </c>
      <c r="F97" s="179">
        <f t="array" ref="F97">INDEX(70:70, 'SEM 2'!$B$5*5+1 + 9)</f>
        <v>6</v>
      </c>
      <c r="G97" s="175" t="str">
        <f t="array" ref="G97">_xlfn._xlws.FILTER('[1]ALFABETICO SEM'!$M$1:$M$196, ('[1]ALFABETICO SEM'!$L$1:$L$196 = F$91) * ('[1]ALFABETICO SEM'!$N$1:$N$196 = F97), " - ")</f>
        <v>GRAN WARRIOR</v>
      </c>
      <c r="H97" s="176"/>
      <c r="I97" s="176"/>
      <c r="J97" s="176"/>
      <c r="K97" s="176"/>
      <c r="L97" s="176"/>
      <c r="M97" s="176"/>
      <c r="N97" s="129">
        <f t="array" ref="N97">INDEX(70:70, 'SEM 2'!$B$5*5 + 14)</f>
        <v>11</v>
      </c>
      <c r="O97" s="179">
        <f t="array" ref="O97">INDEX(70:70, 'SEM 2'!$B$5*5+1 + 14)</f>
        <v>8</v>
      </c>
      <c r="P97" s="175" t="str">
        <f t="array" ref="P97">_xlfn._xlws.FILTER('[1]ALFABETICO SEM'!$M$1:$M$196, ('[1]ALFABETICO SEM'!$L$1:$L$196 = O$91) * ('[1]ALFABETICO SEM'!$N$1:$N$196 = O97), " - ")</f>
        <v>HURACAN LUIS</v>
      </c>
      <c r="Q97" s="176"/>
      <c r="R97" s="176"/>
      <c r="S97" s="176"/>
      <c r="T97" s="176"/>
      <c r="U97" s="176"/>
      <c r="V97" s="176"/>
      <c r="W97" s="129">
        <f t="array" ref="W97">INDEX(70:70, 'SEM 2'!$B$5*5 + 19)</f>
        <v>29</v>
      </c>
      <c r="X97" s="179">
        <f t="array" ref="X97">INDEX(70:70, 'SEM 2'!$B$5*5+1 + 19)</f>
        <v>5</v>
      </c>
      <c r="Y97" s="175" t="str">
        <f t="array" ref="Y97">_xlfn._xlws.FILTER('[1]ALFABETICO SEM'!$M$1:$M$196, ('[1]ALFABETICO SEM'!$L$1:$L$196 = X$91) * ('[1]ALFABETICO SEM'!$N$1:$N$196 = X97), " - ")</f>
        <v>MEHEBLE</v>
      </c>
      <c r="Z97" s="176"/>
      <c r="AA97" s="176"/>
      <c r="AB97" s="176"/>
      <c r="AC97" s="176"/>
      <c r="AD97" s="176"/>
      <c r="AE97" s="176"/>
      <c r="AF97" s="129">
        <f t="array" ref="AF97">INDEX(70:70, 'SEM 2'!$B$5*5 + 24)</f>
        <v>10</v>
      </c>
      <c r="AG97" s="179">
        <f t="array" ref="AG97">INDEX(70:70, 'SEM 2'!$B$5*5+1 + 24)</f>
        <v>3</v>
      </c>
      <c r="AH97" s="175" t="str">
        <f t="array" ref="AH97">_xlfn._xlws.FILTER('[1]ALFABETICO SEM'!$M$1:$M$196, ('[1]ALFABETICO SEM'!$L$1:$L$196 = AG$91) * ('[1]ALFABETICO SEM'!$N$1:$N$196 = AG97), " - ")</f>
        <v>REY JOAQUIN</v>
      </c>
      <c r="AI97" s="176"/>
      <c r="AJ97" s="176"/>
      <c r="AK97" s="176"/>
      <c r="AL97" s="176"/>
      <c r="AM97" s="176"/>
      <c r="AN97" s="176"/>
      <c r="AO97" s="129">
        <f t="array" ref="AO97">INDEX(70:70, 'SEM 2'!$B$5*5 + 29)</f>
        <v>8</v>
      </c>
      <c r="AP97" s="179">
        <f t="array" ref="AP97">INDEX(70:70, 'SEM 2'!$B$5*5+1 + 29)</f>
        <v>9</v>
      </c>
      <c r="AQ97" s="175" t="str">
        <f t="array" ref="AQ97">_xlfn._xlws.FILTER('[1]ALFABETICO SEM'!$M$1:$M$196, ('[1]ALFABETICO SEM'!$L$1:$L$196 = AP$91) * ('[1]ALFABETICO SEM'!$N$1:$N$196 = AP97), " - ")</f>
        <v>ETERNA AMANDA</v>
      </c>
      <c r="AR97" s="176"/>
      <c r="AS97" s="176"/>
      <c r="AT97" s="176"/>
      <c r="AU97" s="176"/>
      <c r="AV97" s="176"/>
      <c r="AW97" s="176"/>
      <c r="AX97" s="129">
        <f t="array" ref="AX97">INDEX(70:70, 'SEM 2'!$B$5*5 + 34)</f>
        <v>23</v>
      </c>
      <c r="AY97" s="179">
        <f t="array" ref="AY97">INDEX(70:70, 'SEM 2'!$B$5*5+1 + 34)</f>
        <v>9</v>
      </c>
      <c r="AZ97" s="175" t="str">
        <f t="array" ref="AZ97">_xlfn._xlws.FILTER('[1]ALFABETICO SEM'!$M$1:$M$196, ('[1]ALFABETICO SEM'!$L$1:$L$196 = AY$91) * ('[1]ALFABETICO SEM'!$N$1:$N$196 = AY97), " - ")</f>
        <v>BARBARA GUADALUPE</v>
      </c>
      <c r="BA97" s="176"/>
      <c r="BB97" s="176"/>
      <c r="BC97" s="176"/>
      <c r="BD97" s="176"/>
      <c r="BE97" s="176"/>
      <c r="BF97" s="176"/>
      <c r="BG97" s="129">
        <f t="array" ref="BG97">INDEX(70:70, 'SEM 2'!$B$5*5 + 39)</f>
        <v>0</v>
      </c>
      <c r="BH97" s="179">
        <f t="array" ref="BH97">INDEX(70:70, 'SEM 2'!$B$5*5+1 + 34)</f>
        <v>9</v>
      </c>
      <c r="BI97" s="175" t="str">
        <f t="array" ref="BI97">_xlfn._xlws.FILTER('[1]ALFABETICO SEM'!$M$1:$M$196, ('[1]ALFABETICO SEM'!$L$1:$L$196 = BH$91) * ('[1]ALFABETICO SEM'!$N$1:$N$196 = BH97), " - ")</f>
        <v xml:space="preserve"> - </v>
      </c>
      <c r="BJ97" s="176"/>
      <c r="BK97" s="176"/>
      <c r="BL97" s="176"/>
      <c r="BM97" s="176"/>
      <c r="BN97" s="176"/>
      <c r="BO97" s="176"/>
      <c r="BP97" s="129">
        <f t="array" ref="BP97">INDEX(70:70, 'SEM 2'!$B$5*5 + 39)</f>
        <v>0</v>
      </c>
      <c r="EG97" s="388" t="str">
        <f t="shared" si="62"/>
        <v/>
      </c>
      <c r="EH97" s="388"/>
      <c r="EI97" s="388"/>
      <c r="EJ97" s="388"/>
    </row>
    <row r="98" spans="1:140" ht="27.75" customHeight="1" x14ac:dyDescent="0.4">
      <c r="A98" s="1"/>
      <c r="B98" s="139">
        <f t="array" ref="B98">INDEX(71:71, 'SEM 2'!$B$5*5 + 5)</f>
        <v>6</v>
      </c>
      <c r="C98" s="131" t="str">
        <f t="array" ref="C98">_xlfn._xlws.FILTER('[1]ALFABETICO SEM'!$M$1:$M$196, ('[1]ALFABETICO SEM'!$L$1:$L$196 = B$91) * ('[1]ALFABETICO SEM'!$N$1:$N$196 = B98), " - ")</f>
        <v>BUCEFALO</v>
      </c>
      <c r="D98" s="134"/>
      <c r="E98" s="133">
        <f t="array" ref="E98">INDEX(71:71, 'SEM 2'!$B$5*5 + 9)</f>
        <v>6</v>
      </c>
      <c r="F98" s="139">
        <f t="array" ref="F98">INDEX(71:71, 'SEM 2'!$B$5*5+1 + 9)</f>
        <v>5</v>
      </c>
      <c r="G98" s="131" t="str">
        <f t="array" ref="G98">_xlfn._xlws.FILTER('[1]ALFABETICO SEM'!$M$1:$M$196, ('[1]ALFABETICO SEM'!$L$1:$L$196 = F$91) * ('[1]ALFABETICO SEM'!$N$1:$N$196 = F98), " - ")</f>
        <v>COMING HOME</v>
      </c>
      <c r="H98" s="134"/>
      <c r="I98" s="134"/>
      <c r="J98" s="134"/>
      <c r="K98" s="134"/>
      <c r="L98" s="134"/>
      <c r="M98" s="134"/>
      <c r="N98" s="133">
        <f t="array" ref="N98">INDEX(71:71, 'SEM 2'!$B$5*5 + 14)</f>
        <v>8</v>
      </c>
      <c r="O98" s="139">
        <f t="array" ref="O98">INDEX(71:71, 'SEM 2'!$B$5*5+1 + 14)</f>
        <v>2</v>
      </c>
      <c r="P98" s="131" t="str">
        <f t="array" ref="P98">_xlfn._xlws.FILTER('[1]ALFABETICO SEM'!$M$1:$M$196, ('[1]ALFABETICO SEM'!$L$1:$L$196 = O$91) * ('[1]ALFABETICO SEM'!$N$1:$N$196 = O98), " - ")</f>
        <v>NEIGH SAYER</v>
      </c>
      <c r="Q98" s="134"/>
      <c r="R98" s="134"/>
      <c r="S98" s="134"/>
      <c r="T98" s="134"/>
      <c r="U98" s="134"/>
      <c r="V98" s="134"/>
      <c r="W98" s="133">
        <f t="array" ref="W98">INDEX(71:71, 'SEM 2'!$B$5*5 + 19)</f>
        <v>2</v>
      </c>
      <c r="X98" s="139">
        <f t="array" ref="X98">INDEX(71:71, 'SEM 2'!$B$5*5+1 + 19)</f>
        <v>7</v>
      </c>
      <c r="Y98" s="131" t="str">
        <f t="array" ref="Y98">_xlfn._xlws.FILTER('[1]ALFABETICO SEM'!$M$1:$M$196, ('[1]ALFABETICO SEM'!$L$1:$L$196 = X$91) * ('[1]ALFABETICO SEM'!$N$1:$N$196 = X98), " - ")</f>
        <v>MOON WHITE</v>
      </c>
      <c r="Z98" s="134"/>
      <c r="AA98" s="134"/>
      <c r="AB98" s="134"/>
      <c r="AC98" s="134"/>
      <c r="AD98" s="134"/>
      <c r="AE98" s="134"/>
      <c r="AF98" s="133">
        <f t="array" ref="AF98">INDEX(71:71, 'SEM 2'!$B$5*5 + 24)</f>
        <v>9</v>
      </c>
      <c r="AG98" s="139">
        <f t="array" ref="AG98">INDEX(71:71, 'SEM 2'!$B$5*5+1 + 24)</f>
        <v>8</v>
      </c>
      <c r="AH98" s="131" t="str">
        <f t="array" ref="AH98">_xlfn._xlws.FILTER('[1]ALFABETICO SEM'!$M$1:$M$196, ('[1]ALFABETICO SEM'!$L$1:$L$196 = AG$91) * ('[1]ALFABETICO SEM'!$N$1:$N$196 = AG98), " - ")</f>
        <v>TORO SALVAJE</v>
      </c>
      <c r="AI98" s="134"/>
      <c r="AJ98" s="134"/>
      <c r="AK98" s="134"/>
      <c r="AL98" s="134"/>
      <c r="AM98" s="134"/>
      <c r="AN98" s="134"/>
      <c r="AO98" s="133">
        <f t="array" ref="AO98">INDEX(71:71, 'SEM 2'!$B$5*5 + 29)</f>
        <v>1</v>
      </c>
      <c r="AP98" s="139">
        <f t="array" ref="AP98">INDEX(71:71, 'SEM 2'!$B$5*5+1 + 29)</f>
        <v>10</v>
      </c>
      <c r="AQ98" s="131" t="str">
        <f t="array" ref="AQ98">_xlfn._xlws.FILTER('[1]ALFABETICO SEM'!$M$1:$M$196, ('[1]ALFABETICO SEM'!$L$1:$L$196 = AP$91) * ('[1]ALFABETICO SEM'!$N$1:$N$196 = AP98), " - ")</f>
        <v>ABOVE THE SKY</v>
      </c>
      <c r="AR98" s="134"/>
      <c r="AS98" s="134"/>
      <c r="AT98" s="134"/>
      <c r="AU98" s="134"/>
      <c r="AV98" s="134"/>
      <c r="AW98" s="134"/>
      <c r="AX98" s="133">
        <f t="array" ref="AX98">INDEX(71:71, 'SEM 2'!$B$5*5 + 34)</f>
        <v>5</v>
      </c>
      <c r="AY98" s="139">
        <f t="array" ref="AY98">INDEX(71:71, 'SEM 2'!$B$5*5+1 + 34)</f>
        <v>10</v>
      </c>
      <c r="AZ98" s="131" t="str">
        <f t="array" ref="AZ98">_xlfn._xlws.FILTER('[1]ALFABETICO SEM'!$M$1:$M$196, ('[1]ALFABETICO SEM'!$L$1:$L$196 = AY$91) * ('[1]ALFABETICO SEM'!$N$1:$N$196 = AY98), " - ")</f>
        <v>BEYONCE CHAMP</v>
      </c>
      <c r="BA98" s="134"/>
      <c r="BB98" s="134"/>
      <c r="BC98" s="134"/>
      <c r="BD98" s="134"/>
      <c r="BE98" s="134"/>
      <c r="BF98" s="134"/>
      <c r="BG98" s="133">
        <f t="array" ref="BG98">INDEX(71:71, 'SEM 2'!$B$5*5 + 39)</f>
        <v>0</v>
      </c>
      <c r="BH98" s="139">
        <f t="array" ref="BH98">INDEX(71:71, 'SEM 2'!$B$5*5+1 + 34)</f>
        <v>10</v>
      </c>
      <c r="BI98" s="131" t="str">
        <f t="array" ref="BI98">_xlfn._xlws.FILTER('[1]ALFABETICO SEM'!$M$1:$M$196, ('[1]ALFABETICO SEM'!$L$1:$L$196 = BH$91) * ('[1]ALFABETICO SEM'!$N$1:$N$196 = BH98), " - ")</f>
        <v xml:space="preserve"> - </v>
      </c>
      <c r="BJ98" s="134"/>
      <c r="BK98" s="134"/>
      <c r="BL98" s="134"/>
      <c r="BM98" s="134"/>
      <c r="BN98" s="134"/>
      <c r="BO98" s="134"/>
      <c r="BP98" s="133">
        <f t="array" ref="BP98">INDEX(71:71, 'SEM 2'!$B$5*5 + 39)</f>
        <v>0</v>
      </c>
      <c r="EG98" s="388" t="str">
        <f t="shared" si="62"/>
        <v/>
      </c>
      <c r="EH98" s="388"/>
      <c r="EI98" s="388"/>
      <c r="EJ98" s="388"/>
    </row>
    <row r="99" spans="1:140" ht="27.75" customHeight="1" x14ac:dyDescent="0.35">
      <c r="A99" s="1"/>
      <c r="EG99" s="388" t="str">
        <f t="shared" si="62"/>
        <v/>
      </c>
      <c r="EH99" s="388"/>
      <c r="EI99" s="388"/>
      <c r="EJ99" s="388"/>
    </row>
    <row r="100" spans="1:140" ht="30" customHeight="1" x14ac:dyDescent="0.35">
      <c r="EG100" s="388" t="str">
        <f t="shared" si="62"/>
        <v/>
      </c>
      <c r="EH100" s="388"/>
      <c r="EI100" s="388"/>
      <c r="EJ100" s="388"/>
    </row>
    <row r="101" spans="1:140" ht="31.5" customHeight="1" x14ac:dyDescent="0.35">
      <c r="B101" s="159" t="s">
        <v>286</v>
      </c>
      <c r="C101" s="154" t="s">
        <v>253</v>
      </c>
      <c r="D101" s="172" t="s">
        <v>287</v>
      </c>
      <c r="F101" s="157" t="s">
        <v>288</v>
      </c>
      <c r="G101" s="158"/>
      <c r="H101" s="160">
        <v>100</v>
      </c>
      <c r="I101" s="161"/>
      <c r="BI101" s="351"/>
      <c r="BN101" s="351"/>
      <c r="EG101" s="388" t="str">
        <f t="shared" si="62"/>
        <v/>
      </c>
      <c r="EH101" s="388"/>
      <c r="EI101" s="388"/>
      <c r="EJ101" s="388"/>
    </row>
    <row r="102" spans="1:140" ht="30" customHeight="1" x14ac:dyDescent="0.35">
      <c r="B102" s="156">
        <f>1/5</f>
        <v>0.2</v>
      </c>
      <c r="C102" s="156">
        <f>1/5</f>
        <v>0.2</v>
      </c>
      <c r="D102" s="155">
        <f>(DIVIDENDO[[#This Row],[FACTOR]]*$H$101)+$H$101</f>
        <v>120</v>
      </c>
      <c r="BC102" s="351"/>
      <c r="BH102" s="351"/>
      <c r="EG102" s="388" t="str">
        <f t="shared" si="62"/>
        <v/>
      </c>
      <c r="EH102" s="388"/>
      <c r="EI102" s="388"/>
      <c r="EJ102" s="388"/>
    </row>
    <row r="103" spans="1:140" ht="30" customHeight="1" x14ac:dyDescent="0.35">
      <c r="B103" s="156">
        <f>2/5</f>
        <v>0.4</v>
      </c>
      <c r="C103" s="156">
        <f>2/5</f>
        <v>0.4</v>
      </c>
      <c r="D103" s="155">
        <f>(DIVIDENDO[[#This Row],[FACTOR]]*$H$101)+$H$101</f>
        <v>140</v>
      </c>
      <c r="BC103" s="351"/>
      <c r="BH103" s="351"/>
      <c r="EG103" s="388" t="str">
        <f t="shared" si="62"/>
        <v/>
      </c>
      <c r="EH103" s="388"/>
      <c r="EI103" s="388"/>
      <c r="EJ103" s="388"/>
    </row>
    <row r="104" spans="1:140" ht="30" customHeight="1" x14ac:dyDescent="0.35">
      <c r="B104" s="156">
        <f>1/2</f>
        <v>0.5</v>
      </c>
      <c r="C104" s="156">
        <f>1/2</f>
        <v>0.5</v>
      </c>
      <c r="D104" s="155">
        <f>(DIVIDENDO[[#This Row],[FACTOR]]*$H$101)+$H$101</f>
        <v>150</v>
      </c>
      <c r="BC104" s="351"/>
      <c r="BH104" s="351"/>
      <c r="EG104" s="388" t="str">
        <f t="shared" si="62"/>
        <v/>
      </c>
      <c r="EH104" s="388"/>
      <c r="EI104" s="388"/>
      <c r="EJ104" s="388"/>
    </row>
    <row r="105" spans="1:140" ht="30" customHeight="1" x14ac:dyDescent="0.35">
      <c r="B105" s="156">
        <f>3/5</f>
        <v>0.6</v>
      </c>
      <c r="C105" s="156">
        <f>3/5</f>
        <v>0.6</v>
      </c>
      <c r="D105" s="155">
        <f>(DIVIDENDO[[#This Row],[FACTOR]]*$H$101)+$H$101</f>
        <v>160</v>
      </c>
      <c r="BC105" s="351"/>
      <c r="BH105" s="351"/>
      <c r="EG105" s="388" t="str">
        <f t="shared" si="62"/>
        <v/>
      </c>
      <c r="EH105" s="388"/>
      <c r="EI105" s="388"/>
      <c r="EJ105" s="388"/>
    </row>
    <row r="106" spans="1:140" ht="30" customHeight="1" x14ac:dyDescent="0.35">
      <c r="B106" s="156">
        <f>4/5</f>
        <v>0.8</v>
      </c>
      <c r="C106" s="156">
        <f>4/5</f>
        <v>0.8</v>
      </c>
      <c r="D106" s="155">
        <f>(DIVIDENDO[[#This Row],[FACTOR]]*$H$101)+$H$101</f>
        <v>180</v>
      </c>
      <c r="BC106" s="351"/>
      <c r="BH106" s="351"/>
      <c r="EG106" s="388" t="str">
        <f t="shared" si="62"/>
        <v/>
      </c>
      <c r="EH106" s="388"/>
      <c r="EI106" s="388"/>
      <c r="EJ106" s="388"/>
    </row>
    <row r="107" spans="1:140" ht="30" customHeight="1" x14ac:dyDescent="0.35">
      <c r="B107" s="156">
        <v>1</v>
      </c>
      <c r="C107" s="156">
        <v>1</v>
      </c>
      <c r="D107" s="155">
        <f>(DIVIDENDO[[#This Row],[FACTOR]]*$H$101)+$H$101</f>
        <v>200</v>
      </c>
      <c r="BC107" s="351"/>
      <c r="BH107" s="351"/>
      <c r="EG107" s="388" t="str">
        <f t="shared" si="62"/>
        <v/>
      </c>
      <c r="EH107" s="388"/>
      <c r="EI107" s="388"/>
      <c r="EJ107" s="388"/>
    </row>
    <row r="108" spans="1:140" ht="30" customHeight="1" x14ac:dyDescent="0.35">
      <c r="B108" s="156">
        <f>7/5</f>
        <v>1.4</v>
      </c>
      <c r="C108" s="156" t="s">
        <v>289</v>
      </c>
      <c r="D108" s="155">
        <f>(DIVIDENDO[[#This Row],[FACTOR]]*$H$101)+$H$101</f>
        <v>240</v>
      </c>
      <c r="EG108" s="388" t="str">
        <f t="shared" si="62"/>
        <v/>
      </c>
      <c r="EH108" s="388"/>
      <c r="EI108" s="388"/>
      <c r="EJ108" s="388"/>
    </row>
    <row r="109" spans="1:140" ht="30" customHeight="1" x14ac:dyDescent="0.35">
      <c r="B109" s="156">
        <f>3/2</f>
        <v>1.5</v>
      </c>
      <c r="C109" s="156" t="s">
        <v>290</v>
      </c>
      <c r="D109" s="155">
        <f>(DIVIDENDO[[#This Row],[FACTOR]]*$H$101)+$H$101</f>
        <v>250</v>
      </c>
      <c r="EG109" s="388" t="str">
        <f t="shared" si="62"/>
        <v/>
      </c>
      <c r="EH109" s="388"/>
      <c r="EI109" s="388"/>
      <c r="EJ109" s="388"/>
    </row>
    <row r="110" spans="1:140" ht="30" customHeight="1" x14ac:dyDescent="0.35">
      <c r="B110" s="156">
        <f>8/5</f>
        <v>1.6</v>
      </c>
      <c r="C110" s="156" t="s">
        <v>291</v>
      </c>
      <c r="D110" s="155">
        <f>(DIVIDENDO[[#This Row],[FACTOR]]*$H$101)+$H$101</f>
        <v>260</v>
      </c>
      <c r="EG110" s="388" t="str">
        <f t="shared" si="62"/>
        <v/>
      </c>
      <c r="EH110" s="388"/>
      <c r="EI110" s="388"/>
      <c r="EJ110" s="388"/>
    </row>
    <row r="111" spans="1:140" ht="30" customHeight="1" x14ac:dyDescent="0.35">
      <c r="B111" s="156">
        <f>9/5</f>
        <v>1.8</v>
      </c>
      <c r="C111" s="156" t="s">
        <v>292</v>
      </c>
      <c r="D111" s="155">
        <f>(DIVIDENDO[[#This Row],[FACTOR]]*$H$101)+$H$101</f>
        <v>280</v>
      </c>
      <c r="EG111" s="388" t="str">
        <f t="shared" si="62"/>
        <v/>
      </c>
      <c r="EH111" s="388"/>
      <c r="EI111" s="388"/>
      <c r="EJ111" s="388"/>
    </row>
    <row r="112" spans="1:140" ht="30" customHeight="1" x14ac:dyDescent="0.35">
      <c r="B112" s="156">
        <v>2</v>
      </c>
      <c r="C112" s="156">
        <v>2</v>
      </c>
      <c r="D112" s="155">
        <f>(DIVIDENDO[[#This Row],[FACTOR]]*$H$101)+$H$101</f>
        <v>300</v>
      </c>
      <c r="EG112" s="388" t="str">
        <f t="shared" si="62"/>
        <v/>
      </c>
      <c r="EH112" s="388"/>
      <c r="EI112" s="388"/>
      <c r="EJ112" s="388"/>
    </row>
    <row r="113" spans="2:140" ht="30" customHeight="1" x14ac:dyDescent="0.35">
      <c r="B113" s="156">
        <f>5/2</f>
        <v>2.5</v>
      </c>
      <c r="C113" s="156" t="s">
        <v>293</v>
      </c>
      <c r="D113" s="155">
        <f>(DIVIDENDO[[#This Row],[FACTOR]]*$H$101)+$H$101</f>
        <v>350</v>
      </c>
      <c r="EG113" t="str">
        <f t="shared" si="62"/>
        <v/>
      </c>
      <c r="EH113" s="388"/>
      <c r="EI113" s="388"/>
      <c r="EJ113" s="388"/>
    </row>
    <row r="114" spans="2:140" ht="30" customHeight="1" x14ac:dyDescent="0.35">
      <c r="B114" s="156">
        <f>7/2</f>
        <v>3.5</v>
      </c>
      <c r="C114" s="156" t="s">
        <v>294</v>
      </c>
      <c r="D114" s="155">
        <f>(DIVIDENDO[[#This Row],[FACTOR]]*$H$101)+$H$101</f>
        <v>450</v>
      </c>
      <c r="BF114" s="351"/>
      <c r="BK114" s="351"/>
      <c r="EG114" t="str">
        <f t="shared" si="62"/>
        <v/>
      </c>
      <c r="EH114" s="388"/>
      <c r="EI114" s="388"/>
      <c r="EJ114" s="388"/>
    </row>
    <row r="115" spans="2:140" ht="30" customHeight="1" x14ac:dyDescent="0.35">
      <c r="B115" s="156">
        <v>4</v>
      </c>
      <c r="C115" s="156">
        <v>4</v>
      </c>
      <c r="D115" s="155">
        <f>(DIVIDENDO[[#This Row],[FACTOR]]*$H$101)+$H$101</f>
        <v>500</v>
      </c>
      <c r="BF115" s="351"/>
      <c r="BK115" s="351"/>
      <c r="EG115" t="str">
        <f t="shared" si="62"/>
        <v/>
      </c>
      <c r="EH115" s="388"/>
      <c r="EI115" s="388"/>
      <c r="EJ115" s="388"/>
    </row>
    <row r="116" spans="2:140" ht="30" customHeight="1" x14ac:dyDescent="0.35">
      <c r="B116" s="156">
        <f>9/2</f>
        <v>4.5</v>
      </c>
      <c r="C116" s="156" t="s">
        <v>295</v>
      </c>
      <c r="D116" s="155">
        <f>(DIVIDENDO[[#This Row],[FACTOR]]*$H$101)+$H$101</f>
        <v>550</v>
      </c>
      <c r="BF116" s="351"/>
      <c r="BK116" s="351"/>
      <c r="EG116" t="str">
        <f t="shared" si="62"/>
        <v/>
      </c>
      <c r="EH116" s="388"/>
      <c r="EI116" s="388"/>
      <c r="EJ116" s="388"/>
    </row>
    <row r="117" spans="2:140" ht="30" customHeight="1" x14ac:dyDescent="0.35">
      <c r="B117" s="156">
        <v>5</v>
      </c>
      <c r="C117" s="156">
        <v>5</v>
      </c>
      <c r="D117" s="155">
        <f>(DIVIDENDO[[#This Row],[FACTOR]]*$H$101)+$H$101</f>
        <v>600</v>
      </c>
      <c r="BF117" s="351"/>
      <c r="BK117" s="351"/>
      <c r="EG117" t="str">
        <f t="shared" si="62"/>
        <v/>
      </c>
      <c r="EH117" s="388"/>
      <c r="EI117" s="388"/>
      <c r="EJ117" s="388"/>
    </row>
    <row r="118" spans="2:140" ht="30" customHeight="1" x14ac:dyDescent="0.35">
      <c r="B118" s="156">
        <v>6</v>
      </c>
      <c r="C118" s="156">
        <v>6</v>
      </c>
      <c r="D118" s="155">
        <f>(DIVIDENDO[[#This Row],[FACTOR]]*$H$101)+$H$101</f>
        <v>700</v>
      </c>
      <c r="BF118" s="351"/>
      <c r="BK118" s="351"/>
      <c r="EG118" t="str">
        <f t="shared" si="62"/>
        <v/>
      </c>
      <c r="EH118" s="388"/>
      <c r="EI118" s="388"/>
      <c r="EJ118" s="388"/>
    </row>
    <row r="119" spans="2:140" ht="30" customHeight="1" x14ac:dyDescent="0.35">
      <c r="B119" s="156">
        <v>7</v>
      </c>
      <c r="C119" s="156">
        <v>7</v>
      </c>
      <c r="D119" s="155">
        <f>(DIVIDENDO[[#This Row],[FACTOR]]*$H$101)+$H$101</f>
        <v>800</v>
      </c>
      <c r="BF119" s="351"/>
      <c r="BK119" s="351"/>
      <c r="EG119" t="str">
        <f t="shared" si="62"/>
        <v/>
      </c>
      <c r="EH119" s="388"/>
      <c r="EI119" s="388"/>
      <c r="EJ119" s="388"/>
    </row>
    <row r="120" spans="2:140" ht="30" customHeight="1" x14ac:dyDescent="0.35">
      <c r="B120" s="156">
        <v>9</v>
      </c>
      <c r="C120" s="156">
        <v>9</v>
      </c>
      <c r="D120" s="155">
        <f>(DIVIDENDO[[#This Row],[FACTOR]]*$H$101)+$H$101</f>
        <v>1000</v>
      </c>
      <c r="EG120" t="str">
        <f t="shared" si="62"/>
        <v/>
      </c>
      <c r="EH120" s="388"/>
      <c r="EI120" s="388"/>
      <c r="EJ120" s="388"/>
    </row>
    <row r="121" spans="2:140" ht="30" customHeight="1" x14ac:dyDescent="0.35">
      <c r="B121" s="156">
        <v>10</v>
      </c>
      <c r="C121" s="156">
        <v>10</v>
      </c>
      <c r="D121" s="155">
        <f>(DIVIDENDO[[#This Row],[FACTOR]]*$H$101)+$H$101</f>
        <v>1100</v>
      </c>
      <c r="EG121" t="str">
        <f t="shared" si="62"/>
        <v/>
      </c>
      <c r="EH121" s="388"/>
      <c r="EI121" s="388"/>
      <c r="EJ121" s="388"/>
    </row>
    <row r="122" spans="2:140" ht="30" customHeight="1" x14ac:dyDescent="0.35">
      <c r="B122" s="156">
        <v>11</v>
      </c>
      <c r="C122" s="156">
        <v>11</v>
      </c>
      <c r="D122" s="155">
        <f>(DIVIDENDO[[#This Row],[FACTOR]]*$H$101)+$H$101</f>
        <v>1200</v>
      </c>
      <c r="EG122" t="str">
        <f t="shared" si="62"/>
        <v/>
      </c>
      <c r="EH122" s="388"/>
      <c r="EI122" s="388"/>
      <c r="EJ122" s="388"/>
    </row>
    <row r="123" spans="2:140" ht="30" customHeight="1" x14ac:dyDescent="0.35">
      <c r="B123" s="156">
        <v>12</v>
      </c>
      <c r="C123" s="156">
        <v>12</v>
      </c>
      <c r="D123" s="155">
        <f>(DIVIDENDO[[#This Row],[FACTOR]]*$H$101)+$H$101</f>
        <v>1300</v>
      </c>
      <c r="EG123" t="str">
        <f t="shared" si="62"/>
        <v/>
      </c>
      <c r="EH123" s="388"/>
      <c r="EI123" s="388"/>
      <c r="EJ123" s="388"/>
    </row>
    <row r="124" spans="2:140" ht="30" customHeight="1" x14ac:dyDescent="0.35">
      <c r="B124" s="156">
        <v>13</v>
      </c>
      <c r="C124" s="156">
        <v>13</v>
      </c>
      <c r="D124" s="155">
        <f>(DIVIDENDO[[#This Row],[FACTOR]]*$H$101)+$H$101</f>
        <v>1400</v>
      </c>
      <c r="EG124" t="str">
        <f t="shared" si="62"/>
        <v/>
      </c>
      <c r="EH124" s="388"/>
      <c r="EI124" s="388"/>
      <c r="EJ124" s="388"/>
    </row>
    <row r="125" spans="2:140" ht="30" customHeight="1" x14ac:dyDescent="0.35">
      <c r="B125" s="156">
        <v>14</v>
      </c>
      <c r="C125" s="156">
        <v>14</v>
      </c>
      <c r="D125" s="155">
        <f>(DIVIDENDO[[#This Row],[FACTOR]]*$H$101)+$H$101</f>
        <v>1500</v>
      </c>
      <c r="EG125" t="str">
        <f t="shared" si="62"/>
        <v/>
      </c>
      <c r="EH125" s="388"/>
      <c r="EI125" s="388"/>
      <c r="EJ125" s="388"/>
    </row>
    <row r="126" spans="2:140" ht="30" customHeight="1" x14ac:dyDescent="0.35">
      <c r="B126" s="156">
        <v>16</v>
      </c>
      <c r="C126" s="156">
        <v>16</v>
      </c>
      <c r="D126" s="155">
        <f>(DIVIDENDO[[#This Row],[FACTOR]]*$H$101)+$H$101</f>
        <v>1700</v>
      </c>
      <c r="EG126" t="str">
        <f t="shared" si="62"/>
        <v/>
      </c>
      <c r="EH126" s="388"/>
      <c r="EI126" s="388"/>
      <c r="EJ126" s="388"/>
    </row>
    <row r="127" spans="2:140" ht="30" customHeight="1" x14ac:dyDescent="0.35">
      <c r="B127" s="156">
        <v>17</v>
      </c>
      <c r="C127" s="156">
        <v>17</v>
      </c>
      <c r="D127" s="155">
        <f>(DIVIDENDO[[#This Row],[FACTOR]]*$H$101)+$H$101</f>
        <v>1800</v>
      </c>
      <c r="EG127" t="str">
        <f t="shared" ref="EG127:EG147" si="63">IF(EH127="","",$EG$59)</f>
        <v/>
      </c>
      <c r="EH127" s="388"/>
      <c r="EI127" s="388"/>
      <c r="EJ127" s="388"/>
    </row>
    <row r="128" spans="2:140" ht="30" customHeight="1" x14ac:dyDescent="0.35">
      <c r="B128" s="156">
        <v>18</v>
      </c>
      <c r="C128" s="156">
        <v>18</v>
      </c>
      <c r="D128" s="155">
        <f>(DIVIDENDO[[#This Row],[FACTOR]]*$H$101)+$H$101</f>
        <v>1900</v>
      </c>
      <c r="EG128" t="str">
        <f t="shared" si="63"/>
        <v/>
      </c>
      <c r="EH128" s="388"/>
      <c r="EI128" s="388"/>
      <c r="EJ128" s="388"/>
    </row>
    <row r="129" spans="2:140" ht="30" customHeight="1" x14ac:dyDescent="0.35">
      <c r="B129" s="156">
        <v>19</v>
      </c>
      <c r="C129" s="156">
        <v>19</v>
      </c>
      <c r="D129" s="155">
        <f>(DIVIDENDO[[#This Row],[FACTOR]]*$H$101)+$H$101</f>
        <v>2000</v>
      </c>
      <c r="EG129" t="str">
        <f t="shared" si="63"/>
        <v/>
      </c>
      <c r="EH129" s="388"/>
      <c r="EI129" s="388"/>
      <c r="EJ129" s="388"/>
    </row>
    <row r="130" spans="2:140" ht="30" customHeight="1" x14ac:dyDescent="0.35">
      <c r="EG130" t="str">
        <f t="shared" si="63"/>
        <v/>
      </c>
      <c r="EH130" s="388"/>
      <c r="EI130" s="388"/>
      <c r="EJ130" s="388"/>
    </row>
    <row r="131" spans="2:140" ht="30" customHeight="1" x14ac:dyDescent="0.35">
      <c r="EG131" t="str">
        <f t="shared" si="63"/>
        <v/>
      </c>
      <c r="EH131" s="388"/>
      <c r="EI131" s="388"/>
      <c r="EJ131" s="388"/>
    </row>
    <row r="132" spans="2:140" ht="30" customHeight="1" x14ac:dyDescent="0.35">
      <c r="EG132" t="str">
        <f t="shared" si="63"/>
        <v/>
      </c>
      <c r="EH132" s="388"/>
      <c r="EI132" s="388"/>
      <c r="EJ132" s="388"/>
    </row>
    <row r="133" spans="2:140" ht="30" customHeight="1" x14ac:dyDescent="0.35">
      <c r="EG133" t="str">
        <f t="shared" si="63"/>
        <v/>
      </c>
      <c r="EH133" s="388"/>
      <c r="EI133" s="388"/>
      <c r="EJ133" s="388"/>
    </row>
    <row r="134" spans="2:140" ht="30" customHeight="1" x14ac:dyDescent="0.35">
      <c r="EG134" t="str">
        <f t="shared" si="63"/>
        <v/>
      </c>
      <c r="EH134" s="388"/>
      <c r="EI134" s="388"/>
      <c r="EJ134" s="388"/>
    </row>
    <row r="135" spans="2:140" ht="30" customHeight="1" x14ac:dyDescent="0.35">
      <c r="EG135" t="str">
        <f t="shared" si="63"/>
        <v/>
      </c>
      <c r="EH135" s="388"/>
      <c r="EI135" s="388"/>
      <c r="EJ135" s="388"/>
    </row>
    <row r="136" spans="2:140" ht="30" customHeight="1" x14ac:dyDescent="0.35">
      <c r="EG136" t="str">
        <f t="shared" si="63"/>
        <v/>
      </c>
      <c r="EH136" s="388"/>
      <c r="EI136" s="388"/>
      <c r="EJ136" s="388"/>
    </row>
    <row r="137" spans="2:140" ht="30" customHeight="1" x14ac:dyDescent="0.35">
      <c r="EG137" t="str">
        <f t="shared" si="63"/>
        <v/>
      </c>
      <c r="EH137" s="388"/>
      <c r="EI137" s="388"/>
      <c r="EJ137" s="388"/>
    </row>
    <row r="138" spans="2:140" ht="30" customHeight="1" x14ac:dyDescent="0.35">
      <c r="EG138" t="str">
        <f t="shared" si="63"/>
        <v/>
      </c>
      <c r="EH138" s="388"/>
      <c r="EI138" s="388"/>
      <c r="EJ138" s="388"/>
    </row>
    <row r="139" spans="2:140" ht="30" customHeight="1" x14ac:dyDescent="0.35">
      <c r="EG139" t="str">
        <f t="shared" si="63"/>
        <v/>
      </c>
      <c r="EH139" s="388"/>
      <c r="EI139" s="388"/>
      <c r="EJ139" s="388"/>
    </row>
    <row r="140" spans="2:140" ht="30" customHeight="1" x14ac:dyDescent="0.35">
      <c r="EG140" t="str">
        <f t="shared" si="63"/>
        <v/>
      </c>
      <c r="EH140" s="388"/>
      <c r="EI140" s="388"/>
      <c r="EJ140" s="388"/>
    </row>
    <row r="141" spans="2:140" ht="30" customHeight="1" x14ac:dyDescent="0.35">
      <c r="EG141" t="str">
        <f t="shared" si="63"/>
        <v/>
      </c>
      <c r="EH141" s="388"/>
      <c r="EI141" s="388"/>
      <c r="EJ141" s="388"/>
    </row>
    <row r="142" spans="2:140" ht="30" customHeight="1" x14ac:dyDescent="0.35">
      <c r="EG142" t="str">
        <f t="shared" si="63"/>
        <v/>
      </c>
      <c r="EH142" s="388"/>
      <c r="EI142" s="388"/>
      <c r="EJ142" s="388"/>
    </row>
    <row r="143" spans="2:140" ht="30" customHeight="1" x14ac:dyDescent="0.35">
      <c r="EG143" t="str">
        <f t="shared" si="63"/>
        <v/>
      </c>
      <c r="EH143" s="388"/>
      <c r="EI143" s="388"/>
      <c r="EJ143" s="388"/>
    </row>
    <row r="144" spans="2:140" ht="30" customHeight="1" x14ac:dyDescent="0.35">
      <c r="EG144" t="str">
        <f t="shared" si="63"/>
        <v/>
      </c>
      <c r="EH144" s="388"/>
      <c r="EI144" s="388"/>
      <c r="EJ144" s="388"/>
    </row>
    <row r="145" spans="137:140" ht="30" customHeight="1" x14ac:dyDescent="0.35">
      <c r="EG145" t="str">
        <f t="shared" si="63"/>
        <v/>
      </c>
      <c r="EH145" s="388"/>
      <c r="EI145" s="388"/>
      <c r="EJ145" s="388"/>
    </row>
    <row r="146" spans="137:140" ht="30" customHeight="1" x14ac:dyDescent="0.35">
      <c r="EG146" t="str">
        <f t="shared" si="63"/>
        <v/>
      </c>
      <c r="EH146" s="388"/>
      <c r="EI146" s="388"/>
      <c r="EJ146" s="388"/>
    </row>
    <row r="147" spans="137:140" ht="30" customHeight="1" x14ac:dyDescent="0.35">
      <c r="EG147" t="str">
        <f t="shared" si="63"/>
        <v/>
      </c>
      <c r="EH147" s="388"/>
      <c r="EI147" s="388"/>
      <c r="EJ147" s="388"/>
    </row>
    <row r="148" spans="137:140" ht="30" customHeight="1" x14ac:dyDescent="0.35">
      <c r="EH148" s="388"/>
      <c r="EI148" s="388"/>
      <c r="EJ148" s="388"/>
    </row>
    <row r="149" spans="137:140" ht="30" customHeight="1" x14ac:dyDescent="0.35">
      <c r="EH149" s="388"/>
      <c r="EI149" s="388"/>
      <c r="EJ149" s="388"/>
    </row>
    <row r="150" spans="137:140" ht="30" customHeight="1" x14ac:dyDescent="0.35">
      <c r="EH150" s="388"/>
      <c r="EI150" s="388"/>
      <c r="EJ150" s="388"/>
    </row>
    <row r="151" spans="137:140" ht="30" customHeight="1" x14ac:dyDescent="0.35">
      <c r="EH151" s="388"/>
      <c r="EI151" s="388"/>
      <c r="EJ151" s="388"/>
    </row>
    <row r="152" spans="137:140" ht="30" customHeight="1" x14ac:dyDescent="0.35">
      <c r="EH152" s="388"/>
      <c r="EI152" s="388"/>
      <c r="EJ152" s="388"/>
    </row>
    <row r="153" spans="137:140" ht="30" customHeight="1" x14ac:dyDescent="0.25"/>
    <row r="154" spans="137:140" ht="30" customHeight="1" x14ac:dyDescent="0.25"/>
    <row r="155" spans="137:140" ht="30" customHeight="1" x14ac:dyDescent="0.25"/>
    <row r="156" spans="137:140" ht="30" customHeight="1" x14ac:dyDescent="0.25"/>
    <row r="157" spans="137:140" ht="30" customHeight="1" x14ac:dyDescent="0.25"/>
    <row r="158" spans="137:140" ht="30" customHeight="1" x14ac:dyDescent="0.25"/>
    <row r="159" spans="137:140" ht="30" customHeight="1" x14ac:dyDescent="0.25"/>
    <row r="160" spans="137:14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</sheetData>
  <mergeCells count="8">
    <mergeCell ref="CT61:CU61"/>
    <mergeCell ref="AN61:AW61"/>
    <mergeCell ref="AN60:AW60"/>
    <mergeCell ref="T3:AB3"/>
    <mergeCell ref="CT59:CU59"/>
    <mergeCell ref="AH3:AM3"/>
    <mergeCell ref="CT58:CU58"/>
    <mergeCell ref="CT60:CU60"/>
  </mergeCells>
  <conditionalFormatting sqref="B85:B90 F85:F90 O85:O90 X85:X90 AG85:AG90 AP85:AP90 F93:F98 O93:O98 X93:X98 AG93:AG98">
    <cfRule type="cellIs" dxfId="457" priority="460" operator="equal">
      <formula>10</formula>
    </cfRule>
    <cfRule type="cellIs" dxfId="456" priority="469" operator="equal">
      <formula>1</formula>
    </cfRule>
    <cfRule type="cellIs" dxfId="455" priority="468" operator="equal">
      <formula>2</formula>
    </cfRule>
    <cfRule type="cellIs" dxfId="454" priority="467" operator="equal">
      <formula>3</formula>
    </cfRule>
    <cfRule type="cellIs" dxfId="453" priority="466" operator="equal">
      <formula>4</formula>
    </cfRule>
    <cfRule type="cellIs" dxfId="452" priority="465" operator="equal">
      <formula>5</formula>
    </cfRule>
    <cfRule type="cellIs" dxfId="451" priority="464" operator="equal">
      <formula>6</formula>
    </cfRule>
    <cfRule type="cellIs" dxfId="450" priority="462" operator="equal">
      <formula>8</formula>
    </cfRule>
    <cfRule type="cellIs" dxfId="449" priority="461" operator="equal">
      <formula>9</formula>
    </cfRule>
    <cfRule type="cellIs" dxfId="448" priority="457" operator="equal">
      <formula>13</formula>
    </cfRule>
    <cfRule type="cellIs" dxfId="447" priority="459" operator="equal">
      <formula>11</formula>
    </cfRule>
    <cfRule type="cellIs" dxfId="446" priority="458" operator="equal">
      <formula>12</formula>
    </cfRule>
    <cfRule type="cellIs" dxfId="445" priority="456" operator="equal">
      <formula>14</formula>
    </cfRule>
    <cfRule type="cellIs" dxfId="444" priority="463" operator="equal">
      <formula>7</formula>
    </cfRule>
  </conditionalFormatting>
  <conditionalFormatting sqref="B93:B98">
    <cfRule type="cellIs" dxfId="443" priority="447" operator="equal">
      <formula>9</formula>
    </cfRule>
    <cfRule type="cellIs" dxfId="442" priority="446" operator="equal">
      <formula>10</formula>
    </cfRule>
    <cfRule type="cellIs" dxfId="441" priority="445" operator="equal">
      <formula>11</formula>
    </cfRule>
    <cfRule type="cellIs" dxfId="440" priority="444" operator="equal">
      <formula>12</formula>
    </cfRule>
    <cfRule type="cellIs" dxfId="439" priority="443" operator="equal">
      <formula>13</formula>
    </cfRule>
    <cfRule type="cellIs" dxfId="438" priority="452" operator="equal">
      <formula>4</formula>
    </cfRule>
    <cfRule type="cellIs" dxfId="437" priority="442" operator="equal">
      <formula>14</formula>
    </cfRule>
    <cfRule type="cellIs" dxfId="436" priority="455" operator="equal">
      <formula>1</formula>
    </cfRule>
    <cfRule type="cellIs" dxfId="435" priority="454" operator="equal">
      <formula>2</formula>
    </cfRule>
    <cfRule type="cellIs" dxfId="434" priority="453" operator="equal">
      <formula>3</formula>
    </cfRule>
    <cfRule type="cellIs" dxfId="433" priority="451" operator="equal">
      <formula>5</formula>
    </cfRule>
    <cfRule type="cellIs" dxfId="432" priority="450" operator="equal">
      <formula>6</formula>
    </cfRule>
    <cfRule type="cellIs" dxfId="431" priority="449" operator="equal">
      <formula>7</formula>
    </cfRule>
    <cfRule type="cellIs" dxfId="430" priority="448" operator="equal">
      <formula>8</formula>
    </cfRule>
  </conditionalFormatting>
  <conditionalFormatting sqref="C8:C57">
    <cfRule type="expression" dxfId="429" priority="474">
      <formula>$CM8&gt;$CN8</formula>
    </cfRule>
  </conditionalFormatting>
  <conditionalFormatting sqref="D8:D57">
    <cfRule type="containsText" dxfId="428" priority="477" operator="containsText" text="MEETING">
      <formula>NOT(ISERROR(SEARCH("MEETING",D8)))</formula>
    </cfRule>
    <cfRule type="containsText" dxfId="427" priority="478" operator="containsText" text="PREMIO">
      <formula>NOT(ISERROR(SEARCH("PREMIO",D8)))</formula>
    </cfRule>
    <cfRule type="containsText" dxfId="426" priority="171" operator="containsText" text="PENDIENTE">
      <formula>NOT(ISERROR(SEARCH("PENDIENTE",D8)))</formula>
    </cfRule>
    <cfRule type="containsText" dxfId="425" priority="476" operator="containsText" text="NO ENVIÓ">
      <formula>NOT(ISERROR(SEARCH("NO ENVIÓ",D8)))</formula>
    </cfRule>
  </conditionalFormatting>
  <conditionalFormatting sqref="E8:E57">
    <cfRule type="expression" dxfId="424" priority="25">
      <formula>AND(H8="F")</formula>
    </cfRule>
    <cfRule type="expression" dxfId="423" priority="26">
      <formula>AND(H8="SF")</formula>
    </cfRule>
  </conditionalFormatting>
  <conditionalFormatting sqref="J8:J57">
    <cfRule type="expression" dxfId="422" priority="23">
      <formula>AND(M8="F")</formula>
    </cfRule>
    <cfRule type="expression" dxfId="421" priority="24">
      <formula>AND(M8="SF")</formula>
    </cfRule>
  </conditionalFormatting>
  <conditionalFormatting sqref="O8:O57">
    <cfRule type="expression" dxfId="420" priority="22">
      <formula>AND(R8="SF")</formula>
    </cfRule>
    <cfRule type="expression" dxfId="419" priority="21">
      <formula>AND(R8="F")</formula>
    </cfRule>
  </conditionalFormatting>
  <conditionalFormatting sqref="T8:T57">
    <cfRule type="expression" dxfId="418" priority="20">
      <formula>AND(W8="SF")</formula>
    </cfRule>
    <cfRule type="expression" dxfId="417" priority="19">
      <formula>AND(W8="F")</formula>
    </cfRule>
  </conditionalFormatting>
  <conditionalFormatting sqref="Y8:Y57">
    <cfRule type="expression" dxfId="416" priority="18">
      <formula>AND(AB8="SF")</formula>
    </cfRule>
    <cfRule type="expression" dxfId="415" priority="17">
      <formula>AND(AB8="F")</formula>
    </cfRule>
  </conditionalFormatting>
  <conditionalFormatting sqref="AD8:AD57">
    <cfRule type="expression" dxfId="414" priority="16">
      <formula>AND(AG8="SF")</formula>
    </cfRule>
    <cfRule type="expression" dxfId="413" priority="15">
      <formula>AND(AG8="F")</formula>
    </cfRule>
  </conditionalFormatting>
  <conditionalFormatting sqref="AI8:AI57">
    <cfRule type="expression" dxfId="412" priority="14">
      <formula>AND(AL8="SF")</formula>
    </cfRule>
    <cfRule type="expression" dxfId="411" priority="13">
      <formula>AND(AL8="F")</formula>
    </cfRule>
  </conditionalFormatting>
  <conditionalFormatting sqref="AN8:AN57">
    <cfRule type="expression" dxfId="410" priority="11">
      <formula>AND(AQ8="F")</formula>
    </cfRule>
    <cfRule type="expression" dxfId="409" priority="12">
      <formula>AND(AQ8="SF")</formula>
    </cfRule>
  </conditionalFormatting>
  <conditionalFormatting sqref="AP93:AP98">
    <cfRule type="cellIs" dxfId="408" priority="144" operator="equal">
      <formula>3</formula>
    </cfRule>
    <cfRule type="cellIs" dxfId="407" priority="143" operator="equal">
      <formula>4</formula>
    </cfRule>
    <cfRule type="cellIs" dxfId="406" priority="142" operator="equal">
      <formula>5</formula>
    </cfRule>
    <cfRule type="cellIs" dxfId="405" priority="141" operator="equal">
      <formula>6</formula>
    </cfRule>
    <cfRule type="cellIs" dxfId="404" priority="140" operator="equal">
      <formula>7</formula>
    </cfRule>
    <cfRule type="cellIs" dxfId="403" priority="139" operator="equal">
      <formula>8</formula>
    </cfRule>
    <cfRule type="cellIs" dxfId="402" priority="138" operator="equal">
      <formula>9</formula>
    </cfRule>
    <cfRule type="cellIs" dxfId="401" priority="133" operator="equal">
      <formula>14</formula>
    </cfRule>
    <cfRule type="cellIs" dxfId="400" priority="146" operator="equal">
      <formula>1</formula>
    </cfRule>
    <cfRule type="cellIs" dxfId="399" priority="136" operator="equal">
      <formula>11</formula>
    </cfRule>
    <cfRule type="cellIs" dxfId="398" priority="135" operator="equal">
      <formula>12</formula>
    </cfRule>
    <cfRule type="cellIs" dxfId="397" priority="134" operator="equal">
      <formula>13</formula>
    </cfRule>
    <cfRule type="cellIs" dxfId="396" priority="137" operator="equal">
      <formula>10</formula>
    </cfRule>
    <cfRule type="cellIs" dxfId="395" priority="145" operator="equal">
      <formula>2</formula>
    </cfRule>
  </conditionalFormatting>
  <conditionalFormatting sqref="AS8:AS57">
    <cfRule type="expression" dxfId="394" priority="10">
      <formula>AND(AV8="SF")</formula>
    </cfRule>
    <cfRule type="expression" dxfId="393" priority="9">
      <formula>AND(AV8="F")</formula>
    </cfRule>
  </conditionalFormatting>
  <conditionalFormatting sqref="AX8:AX57">
    <cfRule type="expression" dxfId="392" priority="8">
      <formula>AND(BA8="SF")</formula>
    </cfRule>
    <cfRule type="expression" dxfId="391" priority="7">
      <formula>AND(BA8="F")</formula>
    </cfRule>
  </conditionalFormatting>
  <conditionalFormatting sqref="AY85:AY90">
    <cfRule type="cellIs" dxfId="390" priority="374" operator="equal">
      <formula>12</formula>
    </cfRule>
    <cfRule type="cellIs" dxfId="389" priority="375" operator="equal">
      <formula>11</formula>
    </cfRule>
    <cfRule type="cellIs" dxfId="388" priority="376" operator="equal">
      <formula>10</formula>
    </cfRule>
    <cfRule type="cellIs" dxfId="387" priority="382" operator="equal">
      <formula>4</formula>
    </cfRule>
    <cfRule type="cellIs" dxfId="386" priority="377" operator="equal">
      <formula>9</formula>
    </cfRule>
    <cfRule type="cellIs" dxfId="385" priority="378" operator="equal">
      <formula>8</formula>
    </cfRule>
    <cfRule type="cellIs" dxfId="384" priority="379" operator="equal">
      <formula>7</formula>
    </cfRule>
    <cfRule type="cellIs" dxfId="383" priority="380" operator="equal">
      <formula>6</formula>
    </cfRule>
    <cfRule type="cellIs" dxfId="382" priority="381" operator="equal">
      <formula>5</formula>
    </cfRule>
    <cfRule type="cellIs" dxfId="381" priority="372" operator="equal">
      <formula>14</formula>
    </cfRule>
    <cfRule type="cellIs" dxfId="380" priority="383" operator="equal">
      <formula>3</formula>
    </cfRule>
    <cfRule type="cellIs" dxfId="379" priority="373" operator="equal">
      <formula>13</formula>
    </cfRule>
    <cfRule type="cellIs" dxfId="378" priority="384" operator="equal">
      <formula>2</formula>
    </cfRule>
    <cfRule type="cellIs" dxfId="377" priority="385" operator="equal">
      <formula>1</formula>
    </cfRule>
  </conditionalFormatting>
  <conditionalFormatting sqref="AY93:AY98">
    <cfRule type="cellIs" dxfId="376" priority="116" operator="equal">
      <formula>3</formula>
    </cfRule>
    <cfRule type="cellIs" dxfId="375" priority="117" operator="equal">
      <formula>2</formula>
    </cfRule>
    <cfRule type="cellIs" dxfId="374" priority="118" operator="equal">
      <formula>1</formula>
    </cfRule>
    <cfRule type="cellIs" dxfId="373" priority="105" operator="equal">
      <formula>14</formula>
    </cfRule>
    <cfRule type="cellIs" dxfId="372" priority="106" operator="equal">
      <formula>13</formula>
    </cfRule>
    <cfRule type="cellIs" dxfId="371" priority="107" operator="equal">
      <formula>12</formula>
    </cfRule>
    <cfRule type="cellIs" dxfId="370" priority="108" operator="equal">
      <formula>11</formula>
    </cfRule>
    <cfRule type="cellIs" dxfId="369" priority="109" operator="equal">
      <formula>10</formula>
    </cfRule>
    <cfRule type="cellIs" dxfId="368" priority="110" operator="equal">
      <formula>9</formula>
    </cfRule>
    <cfRule type="cellIs" dxfId="367" priority="111" operator="equal">
      <formula>8</formula>
    </cfRule>
    <cfRule type="cellIs" dxfId="366" priority="112" operator="equal">
      <formula>7</formula>
    </cfRule>
    <cfRule type="cellIs" dxfId="365" priority="113" operator="equal">
      <formula>6</formula>
    </cfRule>
    <cfRule type="cellIs" dxfId="364" priority="114" operator="equal">
      <formula>5</formula>
    </cfRule>
    <cfRule type="cellIs" dxfId="363" priority="115" operator="equal">
      <formula>4</formula>
    </cfRule>
  </conditionalFormatting>
  <conditionalFormatting sqref="BC8:BC57">
    <cfRule type="expression" dxfId="362" priority="6">
      <formula>AND(BF8="SF")</formula>
    </cfRule>
    <cfRule type="expression" dxfId="361" priority="5">
      <formula>AND(BF8="F")</formula>
    </cfRule>
  </conditionalFormatting>
  <conditionalFormatting sqref="BH8:BH57">
    <cfRule type="expression" dxfId="360" priority="4">
      <formula>AND(BK8="SF")</formula>
    </cfRule>
    <cfRule type="expression" dxfId="359" priority="3">
      <formula>AND(BK8="F")</formula>
    </cfRule>
  </conditionalFormatting>
  <conditionalFormatting sqref="BH85:BH90">
    <cfRule type="cellIs" dxfId="358" priority="97" operator="equal">
      <formula>8</formula>
    </cfRule>
    <cfRule type="cellIs" dxfId="357" priority="103" operator="equal">
      <formula>2</formula>
    </cfRule>
    <cfRule type="cellIs" dxfId="356" priority="93" operator="equal">
      <formula>12</formula>
    </cfRule>
    <cfRule type="cellIs" dxfId="355" priority="102" operator="equal">
      <formula>3</formula>
    </cfRule>
    <cfRule type="cellIs" dxfId="354" priority="101" operator="equal">
      <formula>4</formula>
    </cfRule>
    <cfRule type="cellIs" dxfId="353" priority="99" operator="equal">
      <formula>6</formula>
    </cfRule>
    <cfRule type="cellIs" dxfId="352" priority="98" operator="equal">
      <formula>7</formula>
    </cfRule>
    <cfRule type="cellIs" dxfId="351" priority="94" operator="equal">
      <formula>11</formula>
    </cfRule>
    <cfRule type="cellIs" dxfId="350" priority="95" operator="equal">
      <formula>10</formula>
    </cfRule>
    <cfRule type="cellIs" dxfId="349" priority="96" operator="equal">
      <formula>9</formula>
    </cfRule>
    <cfRule type="cellIs" dxfId="348" priority="104" operator="equal">
      <formula>1</formula>
    </cfRule>
    <cfRule type="cellIs" dxfId="347" priority="92" operator="equal">
      <formula>13</formula>
    </cfRule>
    <cfRule type="cellIs" dxfId="346" priority="91" operator="equal">
      <formula>14</formula>
    </cfRule>
    <cfRule type="cellIs" dxfId="345" priority="100" operator="equal">
      <formula>5</formula>
    </cfRule>
  </conditionalFormatting>
  <conditionalFormatting sqref="BH93:BH98">
    <cfRule type="cellIs" dxfId="344" priority="78" operator="equal">
      <formula>13</formula>
    </cfRule>
    <cfRule type="cellIs" dxfId="343" priority="77" operator="equal">
      <formula>14</formula>
    </cfRule>
    <cfRule type="cellIs" dxfId="342" priority="83" operator="equal">
      <formula>8</formula>
    </cfRule>
    <cfRule type="cellIs" dxfId="341" priority="81" operator="equal">
      <formula>10</formula>
    </cfRule>
    <cfRule type="cellIs" dxfId="340" priority="82" operator="equal">
      <formula>9</formula>
    </cfRule>
    <cfRule type="cellIs" dxfId="339" priority="80" operator="equal">
      <formula>11</formula>
    </cfRule>
    <cfRule type="cellIs" dxfId="338" priority="79" operator="equal">
      <formula>12</formula>
    </cfRule>
    <cfRule type="cellIs" dxfId="337" priority="90" operator="equal">
      <formula>1</formula>
    </cfRule>
    <cfRule type="cellIs" dxfId="336" priority="89" operator="equal">
      <formula>2</formula>
    </cfRule>
    <cfRule type="cellIs" dxfId="335" priority="88" operator="equal">
      <formula>3</formula>
    </cfRule>
    <cfRule type="cellIs" dxfId="334" priority="87" operator="equal">
      <formula>4</formula>
    </cfRule>
    <cfRule type="cellIs" dxfId="333" priority="86" operator="equal">
      <formula>5</formula>
    </cfRule>
    <cfRule type="cellIs" dxfId="332" priority="85" operator="equal">
      <formula>6</formula>
    </cfRule>
    <cfRule type="cellIs" dxfId="331" priority="84" operator="equal">
      <formula>7</formula>
    </cfRule>
  </conditionalFormatting>
  <conditionalFormatting sqref="BM8:BM57">
    <cfRule type="expression" dxfId="330" priority="1">
      <formula>AND(BP8="F")</formula>
    </cfRule>
    <cfRule type="expression" dxfId="329" priority="2">
      <formula>AND(BP8="SF")</formula>
    </cfRule>
  </conditionalFormatting>
  <conditionalFormatting sqref="BR8:BR57">
    <cfRule type="expression" dxfId="328" priority="27">
      <formula>AND(BU8="F")</formula>
    </cfRule>
    <cfRule type="expression" dxfId="327" priority="28">
      <formula>AND(BU8="SF")</formula>
    </cfRule>
  </conditionalFormatting>
  <conditionalFormatting sqref="BW8:BW57">
    <cfRule type="expression" dxfId="326" priority="156">
      <formula>AND(BZ8="SF")</formula>
    </cfRule>
    <cfRule type="expression" dxfId="325" priority="155">
      <formula>AND(BZ8="F")</formula>
    </cfRule>
  </conditionalFormatting>
  <conditionalFormatting sqref="CB8:CB57">
    <cfRule type="expression" dxfId="324" priority="147">
      <formula>AND(CE8="F")</formula>
    </cfRule>
    <cfRule type="expression" dxfId="323" priority="148">
      <formula>AND(CE8="SF")</formula>
    </cfRule>
  </conditionalFormatting>
  <pageMargins left="0.7" right="0.7" top="0.75" bottom="0.75" header="0.3" footer="0.3"/>
  <pageSetup paperSize="3" scale="37" orientation="landscape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U136"/>
  <sheetViews>
    <sheetView showGridLines="0" view="pageBreakPreview" topLeftCell="A2" zoomScale="97" zoomScaleNormal="100" zoomScaleSheetLayoutView="97" workbookViewId="0">
      <selection activeCell="C5" sqref="C5"/>
    </sheetView>
  </sheetViews>
  <sheetFormatPr baseColWidth="10" defaultRowHeight="15" outlineLevelRow="2" x14ac:dyDescent="0.25"/>
  <cols>
    <col min="1" max="1" width="2.5703125" style="514" customWidth="1"/>
    <col min="2" max="2" width="5.140625" style="9" customWidth="1"/>
    <col min="3" max="3" width="10.7109375" style="514" customWidth="1"/>
    <col min="4" max="4" width="39.7109375" style="514" customWidth="1"/>
    <col min="5" max="6" width="7.7109375" style="514" customWidth="1"/>
    <col min="7" max="7" width="11.7109375" style="514" customWidth="1"/>
    <col min="8" max="9" width="6.7109375" style="514" customWidth="1"/>
    <col min="10" max="10" width="11.7109375" style="514" customWidth="1"/>
    <col min="11" max="12" width="7.7109375" style="514" customWidth="1"/>
    <col min="13" max="13" width="12.7109375" style="514" customWidth="1"/>
    <col min="14" max="15" width="7.7109375" style="514" customWidth="1"/>
    <col min="16" max="16" width="12.7109375" style="514" customWidth="1"/>
    <col min="17" max="17" width="15.7109375" style="514" customWidth="1"/>
    <col min="18" max="18" width="2.85546875" style="514" customWidth="1"/>
    <col min="42" max="42" width="13" style="514" bestFit="1" customWidth="1"/>
  </cols>
  <sheetData>
    <row r="1" spans="1:22" ht="9.75" customHeight="1" x14ac:dyDescent="0.25">
      <c r="R1" s="3"/>
    </row>
    <row r="2" spans="1:22" s="278" customFormat="1" ht="60.75" customHeight="1" x14ac:dyDescent="0.25">
      <c r="A2" s="277"/>
      <c r="B2" s="486"/>
      <c r="C2" s="487"/>
      <c r="D2" s="487"/>
      <c r="E2" s="487"/>
      <c r="F2" s="487"/>
      <c r="G2" s="487"/>
      <c r="H2" s="487" t="s">
        <v>296</v>
      </c>
      <c r="I2" s="487"/>
      <c r="J2" s="487"/>
      <c r="K2" s="487"/>
      <c r="L2" s="487"/>
      <c r="M2" s="487"/>
      <c r="N2" s="487"/>
      <c r="O2" s="487"/>
      <c r="P2" s="487"/>
      <c r="Q2" s="488"/>
    </row>
    <row r="3" spans="1:22" ht="39" customHeight="1" x14ac:dyDescent="0.4">
      <c r="A3" s="1"/>
      <c r="B3" s="489" t="str">
        <f>CONTROL!D2</f>
        <v>3ER MEETING 2026</v>
      </c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1"/>
      <c r="O3" s="492"/>
      <c r="P3" s="492"/>
      <c r="Q3" s="493" t="str">
        <f>'SEM 1'!D3</f>
        <v>06/09/2026</v>
      </c>
      <c r="R3" s="3"/>
    </row>
    <row r="4" spans="1:22" s="515" customFormat="1" ht="23.1" customHeight="1" x14ac:dyDescent="0.25">
      <c r="A4" s="280"/>
      <c r="B4" s="477">
        <v>0</v>
      </c>
      <c r="C4" s="478" t="s">
        <v>159</v>
      </c>
      <c r="D4" s="479" t="s">
        <v>10</v>
      </c>
      <c r="E4" s="480" t="s">
        <v>149</v>
      </c>
      <c r="F4" s="481"/>
      <c r="G4" s="481"/>
      <c r="H4" s="480" t="s">
        <v>150</v>
      </c>
      <c r="I4" s="481"/>
      <c r="J4" s="481"/>
      <c r="K4" s="480" t="s">
        <v>151</v>
      </c>
      <c r="L4" s="480"/>
      <c r="M4" s="480"/>
      <c r="N4" s="482" t="s">
        <v>147</v>
      </c>
      <c r="O4" s="483"/>
      <c r="P4" s="484"/>
      <c r="Q4" s="485" t="s">
        <v>297</v>
      </c>
      <c r="R4" s="3"/>
    </row>
    <row r="5" spans="1:22" s="388" customFormat="1" ht="23.1" customHeight="1" x14ac:dyDescent="0.35">
      <c r="A5" s="290"/>
      <c r="B5" s="291">
        <v>1</v>
      </c>
      <c r="C5" s="543" t="str">
        <f t="array" ref="C5:C54">_xlfn.SORTBY(BASE01[COD],BASE01[Columna1],-1)</f>
        <v>COD 21</v>
      </c>
      <c r="D5" s="292" t="str">
        <f>_xlfn.XLOOKUP(C5,CODIGOS_Y_PAGOS[CODIGO],CODIGOS_Y_PAGOS[NOMBRE PARTICIPANTE],"")</f>
        <v>WILMER</v>
      </c>
      <c r="E5" s="293">
        <f>_xlfn.XLOOKUP($C5,BASE01[COD],BASE01[Columna14],"")</f>
        <v>13</v>
      </c>
      <c r="F5" s="293">
        <f>_xlfn.XLOOKUP(C5,BASE01[COD],BASE01[Columna19],"")</f>
        <v>8</v>
      </c>
      <c r="G5" s="294">
        <f t="shared" ref="G5:G36" si="0">IFERROR(+F5/E5,"0,00")</f>
        <v>0.61538461538461542</v>
      </c>
      <c r="H5" s="295">
        <f>_xlfn.XLOOKUP(C5,BASE01[COD],BASE01[Columna32],"")</f>
        <v>13</v>
      </c>
      <c r="I5" s="295">
        <f>_xlfn.XLOOKUP(C5,BASE01[COD],BASE01[Columna30],"")</f>
        <v>10</v>
      </c>
      <c r="J5" s="296">
        <f t="shared" ref="J5:J36" si="1">IFERROR(+I5/H5,"0,00")</f>
        <v>0.76923076923076927</v>
      </c>
      <c r="K5" s="297">
        <f>_xlfn.XLOOKUP(C5,BASE01[COD],BASE01[Columna32],"")</f>
        <v>13</v>
      </c>
      <c r="L5" s="297">
        <f>_xlfn.XLOOKUP(C5,BASE01[COD],BASE01[Columna34],"")</f>
        <v>11</v>
      </c>
      <c r="M5" s="298">
        <f t="shared" ref="M5:M36" si="2">IFERROR(+L5/K5,"0,00")</f>
        <v>0.84615384615384615</v>
      </c>
      <c r="N5" s="299">
        <f>_xlfn.XLOOKUP(C5,BASE01[COD],BASE01[Columna36],"")</f>
        <v>3</v>
      </c>
      <c r="O5" s="299">
        <f>_xlfn.XLOOKUP(C5,BASE01[COD],BASE01[Columna37],"")</f>
        <v>2</v>
      </c>
      <c r="P5" s="300">
        <f t="shared" ref="P5:P36" si="3">IFERROR(+O5/N5,"0,00")</f>
        <v>0.66666666666666663</v>
      </c>
      <c r="Q5" s="301">
        <f>_xlfn.XLOOKUP(C5,BASE01[COD],BASE01[Columna1],"")</f>
        <v>47</v>
      </c>
      <c r="R5" s="3"/>
      <c r="U5" s="388" t="str">
        <f t="array" ref="U5:U46">_xlfn.SORTBY(C5:C46,Q5:Q46,-1)</f>
        <v>COD 21</v>
      </c>
      <c r="V5" s="388" t="str">
        <f t="shared" ref="V5:V46" si="4">U5</f>
        <v>COD 21</v>
      </c>
    </row>
    <row r="6" spans="1:22" s="388" customFormat="1" ht="23.1" customHeight="1" x14ac:dyDescent="0.35">
      <c r="A6" s="290"/>
      <c r="B6" s="291">
        <f t="shared" ref="B6:B37" si="5">+B5+1</f>
        <v>2</v>
      </c>
      <c r="C6" s="543" t="str">
        <v>COD 25</v>
      </c>
      <c r="D6" s="292" t="str">
        <f>_xlfn.XLOOKUP(C6,CODIGOS_Y_PAGOS[CODIGO],CODIGOS_Y_PAGOS[NOMBRE PARTICIPANTE],"")</f>
        <v>GLEY GARCIA</v>
      </c>
      <c r="E6" s="293">
        <f>_xlfn.XLOOKUP($C6,BASE01[COD],BASE01[Columna14],"")</f>
        <v>13</v>
      </c>
      <c r="F6" s="293">
        <f>_xlfn.XLOOKUP(C6,BASE01[COD],BASE01[Columna19],"")</f>
        <v>7</v>
      </c>
      <c r="G6" s="294">
        <f t="shared" si="0"/>
        <v>0.53846153846153844</v>
      </c>
      <c r="H6" s="295">
        <f>_xlfn.XLOOKUP(C6,BASE01[COD],BASE01[Columna32],"")</f>
        <v>13</v>
      </c>
      <c r="I6" s="295">
        <f>_xlfn.XLOOKUP(C6,BASE01[COD],BASE01[Columna30],"")</f>
        <v>9</v>
      </c>
      <c r="J6" s="296">
        <f t="shared" si="1"/>
        <v>0.69230769230769229</v>
      </c>
      <c r="K6" s="297">
        <f>_xlfn.XLOOKUP(C6,BASE01[COD],BASE01[Columna32],"")</f>
        <v>13</v>
      </c>
      <c r="L6" s="297">
        <f>_xlfn.XLOOKUP(C6,BASE01[COD],BASE01[Columna34],"")</f>
        <v>11</v>
      </c>
      <c r="M6" s="298">
        <f t="shared" si="2"/>
        <v>0.84615384615384615</v>
      </c>
      <c r="N6" s="299">
        <f>_xlfn.XLOOKUP(C6,BASE01[COD],BASE01[Columna36],"")</f>
        <v>3</v>
      </c>
      <c r="O6" s="299">
        <f>_xlfn.XLOOKUP(C6,BASE01[COD],BASE01[Columna37],"")</f>
        <v>3</v>
      </c>
      <c r="P6" s="300">
        <f t="shared" si="3"/>
        <v>1</v>
      </c>
      <c r="Q6" s="301">
        <f>_xlfn.XLOOKUP(C6,BASE01[COD],BASE01[Columna1],"")</f>
        <v>47</v>
      </c>
      <c r="R6" s="3"/>
      <c r="U6" s="388" t="str">
        <v>COD 25</v>
      </c>
      <c r="V6" s="388" t="str">
        <f t="shared" si="4"/>
        <v>COD 25</v>
      </c>
    </row>
    <row r="7" spans="1:22" s="388" customFormat="1" ht="23.1" customHeight="1" x14ac:dyDescent="0.35">
      <c r="A7" s="290"/>
      <c r="B7" s="291">
        <f t="shared" si="5"/>
        <v>3</v>
      </c>
      <c r="C7" s="543" t="str">
        <v>COD 27</v>
      </c>
      <c r="D7" s="292" t="str">
        <f>_xlfn.XLOOKUP(C7,CODIGOS_Y_PAGOS[CODIGO],CODIGOS_Y_PAGOS[NOMBRE PARTICIPANTE],"")</f>
        <v>ANDERSON HERNANDEZ</v>
      </c>
      <c r="E7" s="293">
        <f>_xlfn.XLOOKUP($C7,BASE01[COD],BASE01[Columna14],"")</f>
        <v>13</v>
      </c>
      <c r="F7" s="293">
        <f>_xlfn.XLOOKUP(C7,BASE01[COD],BASE01[Columna19],"")</f>
        <v>7</v>
      </c>
      <c r="G7" s="294">
        <f t="shared" si="0"/>
        <v>0.53846153846153844</v>
      </c>
      <c r="H7" s="295">
        <f>_xlfn.XLOOKUP(C7,BASE01[COD],BASE01[Columna32],"")</f>
        <v>13</v>
      </c>
      <c r="I7" s="295">
        <f>_xlfn.XLOOKUP(C7,BASE01[COD],BASE01[Columna30],"")</f>
        <v>11</v>
      </c>
      <c r="J7" s="296">
        <f t="shared" si="1"/>
        <v>0.84615384615384615</v>
      </c>
      <c r="K7" s="297">
        <f>_xlfn.XLOOKUP(C7,BASE01[COD],BASE01[Columna32],"")</f>
        <v>13</v>
      </c>
      <c r="L7" s="297">
        <f>_xlfn.XLOOKUP(C7,BASE01[COD],BASE01[Columna34],"")</f>
        <v>11</v>
      </c>
      <c r="M7" s="298">
        <f t="shared" si="2"/>
        <v>0.84615384615384615</v>
      </c>
      <c r="N7" s="299">
        <f>_xlfn.XLOOKUP(C7,BASE01[COD],BASE01[Columna36],"")</f>
        <v>3</v>
      </c>
      <c r="O7" s="299">
        <f>_xlfn.XLOOKUP(C7,BASE01[COD],BASE01[Columna37],"")</f>
        <v>2</v>
      </c>
      <c r="P7" s="300">
        <f t="shared" si="3"/>
        <v>0.66666666666666663</v>
      </c>
      <c r="Q7" s="301">
        <f>_xlfn.XLOOKUP(C7,BASE01[COD],BASE01[Columna1],"")</f>
        <v>44</v>
      </c>
      <c r="R7" s="3"/>
      <c r="U7" s="388" t="str">
        <v>COD 27</v>
      </c>
      <c r="V7" s="388" t="str">
        <f t="shared" si="4"/>
        <v>COD 27</v>
      </c>
    </row>
    <row r="8" spans="1:22" s="388" customFormat="1" ht="23.1" customHeight="1" x14ac:dyDescent="0.35">
      <c r="A8" s="290"/>
      <c r="B8" s="291">
        <f t="shared" si="5"/>
        <v>4</v>
      </c>
      <c r="C8" s="543" t="str">
        <v>COD 10</v>
      </c>
      <c r="D8" s="292" t="str">
        <f>_xlfn.XLOOKUP(C8,CODIGOS_Y_PAGOS[CODIGO],CODIGOS_Y_PAGOS[NOMBRE PARTICIPANTE],"")</f>
        <v>JESUS CARAYACA</v>
      </c>
      <c r="E8" s="293">
        <f>_xlfn.XLOOKUP($C8,BASE01[COD],BASE01[Columna14],"")</f>
        <v>13</v>
      </c>
      <c r="F8" s="293">
        <f>_xlfn.XLOOKUP(C8,BASE01[COD],BASE01[Columna19],"")</f>
        <v>6</v>
      </c>
      <c r="G8" s="294">
        <f t="shared" si="0"/>
        <v>0.46153846153846156</v>
      </c>
      <c r="H8" s="295">
        <f>_xlfn.XLOOKUP(C8,BASE01[COD],BASE01[Columna32],"")</f>
        <v>13</v>
      </c>
      <c r="I8" s="295">
        <f>_xlfn.XLOOKUP(C8,BASE01[COD],BASE01[Columna30],"")</f>
        <v>9</v>
      </c>
      <c r="J8" s="296">
        <f t="shared" si="1"/>
        <v>0.69230769230769229</v>
      </c>
      <c r="K8" s="297">
        <f>_xlfn.XLOOKUP(C8,BASE01[COD],BASE01[Columna32],"")</f>
        <v>13</v>
      </c>
      <c r="L8" s="297">
        <f>_xlfn.XLOOKUP(C8,BASE01[COD],BASE01[Columna34],"")</f>
        <v>10</v>
      </c>
      <c r="M8" s="298">
        <f t="shared" si="2"/>
        <v>0.76923076923076927</v>
      </c>
      <c r="N8" s="299">
        <f>_xlfn.XLOOKUP(C8,BASE01[COD],BASE01[Columna36],"")</f>
        <v>3</v>
      </c>
      <c r="O8" s="299">
        <f>_xlfn.XLOOKUP(C8,BASE01[COD],BASE01[Columna37],"")</f>
        <v>2</v>
      </c>
      <c r="P8" s="300">
        <f t="shared" si="3"/>
        <v>0.66666666666666663</v>
      </c>
      <c r="Q8" s="301">
        <f>_xlfn.XLOOKUP(C8,BASE01[COD],BASE01[Columna1],"")</f>
        <v>42</v>
      </c>
      <c r="R8" s="3"/>
      <c r="U8" s="388" t="str">
        <v>COD 10</v>
      </c>
      <c r="V8" s="388" t="str">
        <f t="shared" si="4"/>
        <v>COD 10</v>
      </c>
    </row>
    <row r="9" spans="1:22" s="388" customFormat="1" ht="23.1" customHeight="1" x14ac:dyDescent="0.35">
      <c r="A9" s="290"/>
      <c r="B9" s="291">
        <f t="shared" si="5"/>
        <v>5</v>
      </c>
      <c r="C9" s="543" t="str">
        <v>COD 22</v>
      </c>
      <c r="D9" s="292" t="str">
        <f>_xlfn.XLOOKUP(C9,CODIGOS_Y_PAGOS[CODIGO],CODIGOS_Y_PAGOS[NOMBRE PARTICIPANTE],"")</f>
        <v>ROGER PIÑA</v>
      </c>
      <c r="E9" s="293">
        <f>_xlfn.XLOOKUP($C9,BASE01[COD],BASE01[Columna14],"")</f>
        <v>13</v>
      </c>
      <c r="F9" s="293">
        <f>_xlfn.XLOOKUP(C9,BASE01[COD],BASE01[Columna19],"")</f>
        <v>7</v>
      </c>
      <c r="G9" s="294">
        <f t="shared" si="0"/>
        <v>0.53846153846153844</v>
      </c>
      <c r="H9" s="295">
        <f>_xlfn.XLOOKUP(C9,BASE01[COD],BASE01[Columna32],"")</f>
        <v>13</v>
      </c>
      <c r="I9" s="295">
        <f>_xlfn.XLOOKUP(C9,BASE01[COD],BASE01[Columna30],"")</f>
        <v>8</v>
      </c>
      <c r="J9" s="296">
        <f t="shared" si="1"/>
        <v>0.61538461538461542</v>
      </c>
      <c r="K9" s="297">
        <f>_xlfn.XLOOKUP(C9,BASE01[COD],BASE01[Columna32],"")</f>
        <v>13</v>
      </c>
      <c r="L9" s="297">
        <f>_xlfn.XLOOKUP(C9,BASE01[COD],BASE01[Columna34],"")</f>
        <v>11</v>
      </c>
      <c r="M9" s="298">
        <f t="shared" si="2"/>
        <v>0.84615384615384615</v>
      </c>
      <c r="N9" s="299">
        <f>_xlfn.XLOOKUP(C9,BASE01[COD],BASE01[Columna36],"")</f>
        <v>3</v>
      </c>
      <c r="O9" s="299">
        <f>_xlfn.XLOOKUP(C9,BASE01[COD],BASE01[Columna37],"")</f>
        <v>2</v>
      </c>
      <c r="P9" s="300">
        <f t="shared" si="3"/>
        <v>0.66666666666666663</v>
      </c>
      <c r="Q9" s="301">
        <f>_xlfn.XLOOKUP(C9,BASE01[COD],BASE01[Columna1],"")</f>
        <v>42</v>
      </c>
      <c r="R9" s="3"/>
      <c r="U9" s="388" t="str">
        <v>COD 22</v>
      </c>
      <c r="V9" s="388" t="str">
        <f t="shared" si="4"/>
        <v>COD 22</v>
      </c>
    </row>
    <row r="10" spans="1:22" s="388" customFormat="1" ht="23.1" customHeight="1" x14ac:dyDescent="0.35">
      <c r="A10" s="290"/>
      <c r="B10" s="291">
        <f t="shared" si="5"/>
        <v>6</v>
      </c>
      <c r="C10" s="543" t="str">
        <v>COD 23</v>
      </c>
      <c r="D10" s="292" t="str">
        <f>_xlfn.XLOOKUP(C10,CODIGOS_Y_PAGOS[CODIGO],CODIGOS_Y_PAGOS[NOMBRE PARTICIPANTE],"")</f>
        <v>GILBERT</v>
      </c>
      <c r="E10" s="293">
        <f>_xlfn.XLOOKUP($C10,BASE01[COD],BASE01[Columna14],"")</f>
        <v>13</v>
      </c>
      <c r="F10" s="293">
        <f>_xlfn.XLOOKUP(C10,BASE01[COD],BASE01[Columna19],"")</f>
        <v>7</v>
      </c>
      <c r="G10" s="294">
        <f t="shared" si="0"/>
        <v>0.53846153846153844</v>
      </c>
      <c r="H10" s="295">
        <f>_xlfn.XLOOKUP(C10,BASE01[COD],BASE01[Columna32],"")</f>
        <v>13</v>
      </c>
      <c r="I10" s="295">
        <f>_xlfn.XLOOKUP(C10,BASE01[COD],BASE01[Columna30],"")</f>
        <v>9</v>
      </c>
      <c r="J10" s="296">
        <f t="shared" si="1"/>
        <v>0.69230769230769229</v>
      </c>
      <c r="K10" s="297">
        <f>_xlfn.XLOOKUP(C10,BASE01[COD],BASE01[Columna32],"")</f>
        <v>13</v>
      </c>
      <c r="L10" s="297">
        <f>_xlfn.XLOOKUP(C10,BASE01[COD],BASE01[Columna34],"")</f>
        <v>10</v>
      </c>
      <c r="M10" s="298">
        <f t="shared" si="2"/>
        <v>0.76923076923076927</v>
      </c>
      <c r="N10" s="299">
        <f>_xlfn.XLOOKUP(C10,BASE01[COD],BASE01[Columna36],"")</f>
        <v>3</v>
      </c>
      <c r="O10" s="299">
        <f>_xlfn.XLOOKUP(C10,BASE01[COD],BASE01[Columna37],"")</f>
        <v>3</v>
      </c>
      <c r="P10" s="300">
        <f t="shared" si="3"/>
        <v>1</v>
      </c>
      <c r="Q10" s="301">
        <f>_xlfn.XLOOKUP(C10,BASE01[COD],BASE01[Columna1],"")</f>
        <v>41</v>
      </c>
      <c r="R10" s="3"/>
      <c r="U10" s="388" t="str">
        <v>COD 23</v>
      </c>
      <c r="V10" s="388" t="str">
        <f t="shared" si="4"/>
        <v>COD 23</v>
      </c>
    </row>
    <row r="11" spans="1:22" s="388" customFormat="1" ht="23.1" customHeight="1" x14ac:dyDescent="0.35">
      <c r="A11" s="290"/>
      <c r="B11" s="302">
        <f t="shared" si="5"/>
        <v>7</v>
      </c>
      <c r="C11" s="543" t="str">
        <v>COD 34</v>
      </c>
      <c r="D11" s="292" t="str">
        <f>_xlfn.XLOOKUP(C11,CODIGOS_Y_PAGOS[CODIGO],CODIGOS_Y_PAGOS[NOMBRE PARTICIPANTE],"")</f>
        <v>ROBERTO CARLOS</v>
      </c>
      <c r="E11" s="293">
        <f>_xlfn.XLOOKUP($C11,BASE01[COD],BASE01[Columna14],"")</f>
        <v>13</v>
      </c>
      <c r="F11" s="293">
        <f>_xlfn.XLOOKUP(C11,BASE01[COD],BASE01[Columna19],"")</f>
        <v>4</v>
      </c>
      <c r="G11" s="294">
        <f t="shared" si="0"/>
        <v>0.30769230769230771</v>
      </c>
      <c r="H11" s="295">
        <f>_xlfn.XLOOKUP(C11,BASE01[COD],BASE01[Columna32],"")</f>
        <v>13</v>
      </c>
      <c r="I11" s="295">
        <f>_xlfn.XLOOKUP(C11,BASE01[COD],BASE01[Columna30],"")</f>
        <v>9</v>
      </c>
      <c r="J11" s="296">
        <f t="shared" si="1"/>
        <v>0.69230769230769229</v>
      </c>
      <c r="K11" s="297">
        <f>_xlfn.XLOOKUP(C11,BASE01[COD],BASE01[Columna32],"")</f>
        <v>13</v>
      </c>
      <c r="L11" s="297">
        <f>_xlfn.XLOOKUP(C11,BASE01[COD],BASE01[Columna34],"")</f>
        <v>11</v>
      </c>
      <c r="M11" s="298">
        <f t="shared" si="2"/>
        <v>0.84615384615384615</v>
      </c>
      <c r="N11" s="299">
        <f>_xlfn.XLOOKUP(C11,BASE01[COD],BASE01[Columna36],"")</f>
        <v>3</v>
      </c>
      <c r="O11" s="299">
        <f>_xlfn.XLOOKUP(C11,BASE01[COD],BASE01[Columna37],"")</f>
        <v>3</v>
      </c>
      <c r="P11" s="300">
        <f t="shared" si="3"/>
        <v>1</v>
      </c>
      <c r="Q11" s="301">
        <f>_xlfn.XLOOKUP(C11,BASE01[COD],BASE01[Columna1],"")</f>
        <v>41</v>
      </c>
      <c r="R11" s="3"/>
      <c r="U11" s="388" t="str">
        <v>COD 34</v>
      </c>
      <c r="V11" s="388" t="str">
        <f t="shared" si="4"/>
        <v>COD 34</v>
      </c>
    </row>
    <row r="12" spans="1:22" s="388" customFormat="1" ht="23.1" customHeight="1" x14ac:dyDescent="0.35">
      <c r="A12" s="290"/>
      <c r="B12" s="291">
        <f t="shared" si="5"/>
        <v>8</v>
      </c>
      <c r="C12" s="543" t="str">
        <v>COD 37</v>
      </c>
      <c r="D12" s="292" t="str">
        <f>_xlfn.XLOOKUP(C12,CODIGOS_Y_PAGOS[CODIGO],CODIGOS_Y_PAGOS[NOMBRE PARTICIPANTE],"")</f>
        <v>GLADIADOR HIPICO</v>
      </c>
      <c r="E12" s="293">
        <f>_xlfn.XLOOKUP($C12,BASE01[COD],BASE01[Columna14],"")</f>
        <v>13</v>
      </c>
      <c r="F12" s="293">
        <f>_xlfn.XLOOKUP(C12,BASE01[COD],BASE01[Columna19],"")</f>
        <v>4</v>
      </c>
      <c r="G12" s="294">
        <f t="shared" si="0"/>
        <v>0.30769230769230771</v>
      </c>
      <c r="H12" s="295">
        <f>_xlfn.XLOOKUP(C12,BASE01[COD],BASE01[Columna32],"")</f>
        <v>13</v>
      </c>
      <c r="I12" s="295">
        <f>_xlfn.XLOOKUP(C12,BASE01[COD],BASE01[Columna30],"")</f>
        <v>7</v>
      </c>
      <c r="J12" s="296">
        <f t="shared" si="1"/>
        <v>0.53846153846153844</v>
      </c>
      <c r="K12" s="297">
        <f>_xlfn.XLOOKUP(C12,BASE01[COD],BASE01[Columna32],"")</f>
        <v>13</v>
      </c>
      <c r="L12" s="297">
        <f>_xlfn.XLOOKUP(C12,BASE01[COD],BASE01[Columna34],"")</f>
        <v>12</v>
      </c>
      <c r="M12" s="298">
        <f t="shared" si="2"/>
        <v>0.92307692307692313</v>
      </c>
      <c r="N12" s="299">
        <f>_xlfn.XLOOKUP(C12,BASE01[COD],BASE01[Columna36],"")</f>
        <v>3</v>
      </c>
      <c r="O12" s="299">
        <f>_xlfn.XLOOKUP(C12,BASE01[COD],BASE01[Columna37],"")</f>
        <v>2</v>
      </c>
      <c r="P12" s="300">
        <f t="shared" si="3"/>
        <v>0.66666666666666663</v>
      </c>
      <c r="Q12" s="301">
        <f>_xlfn.XLOOKUP(C12,BASE01[COD],BASE01[Columna1],"")</f>
        <v>41</v>
      </c>
      <c r="R12" s="3"/>
      <c r="U12" s="388" t="str">
        <v>COD 37</v>
      </c>
      <c r="V12" s="388" t="str">
        <f t="shared" si="4"/>
        <v>COD 37</v>
      </c>
    </row>
    <row r="13" spans="1:22" s="388" customFormat="1" ht="23.1" customHeight="1" x14ac:dyDescent="0.35">
      <c r="A13" s="290"/>
      <c r="B13" s="291">
        <f t="shared" si="5"/>
        <v>9</v>
      </c>
      <c r="C13" s="543" t="str">
        <v>COD 02</v>
      </c>
      <c r="D13" s="292" t="str">
        <f>_xlfn.XLOOKUP(C13,CODIGOS_Y_PAGOS[CODIGO],CODIGOS_Y_PAGOS[NOMBRE PARTICIPANTE],"")</f>
        <v>JESUS QUERALES</v>
      </c>
      <c r="E13" s="293">
        <f>_xlfn.XLOOKUP($C13,BASE01[COD],BASE01[Columna14],"")</f>
        <v>13</v>
      </c>
      <c r="F13" s="293">
        <f>_xlfn.XLOOKUP(C13,BASE01[COD],BASE01[Columna19],"")</f>
        <v>6</v>
      </c>
      <c r="G13" s="294">
        <f t="shared" si="0"/>
        <v>0.46153846153846156</v>
      </c>
      <c r="H13" s="295">
        <f>_xlfn.XLOOKUP(C13,BASE01[COD],BASE01[Columna32],"")</f>
        <v>13</v>
      </c>
      <c r="I13" s="295">
        <f>_xlfn.XLOOKUP(C13,BASE01[COD],BASE01[Columna30],"")</f>
        <v>7</v>
      </c>
      <c r="J13" s="296">
        <f t="shared" si="1"/>
        <v>0.53846153846153844</v>
      </c>
      <c r="K13" s="297">
        <f>_xlfn.XLOOKUP(C13,BASE01[COD],BASE01[Columna32],"")</f>
        <v>13</v>
      </c>
      <c r="L13" s="297">
        <f>_xlfn.XLOOKUP(C13,BASE01[COD],BASE01[Columna34],"")</f>
        <v>9</v>
      </c>
      <c r="M13" s="298">
        <f t="shared" si="2"/>
        <v>0.69230769230769229</v>
      </c>
      <c r="N13" s="299">
        <f>_xlfn.XLOOKUP(C13,BASE01[COD],BASE01[Columna36],"")</f>
        <v>3</v>
      </c>
      <c r="O13" s="299">
        <f>_xlfn.XLOOKUP(C13,BASE01[COD],BASE01[Columna37],"")</f>
        <v>2</v>
      </c>
      <c r="P13" s="300">
        <f t="shared" si="3"/>
        <v>0.66666666666666663</v>
      </c>
      <c r="Q13" s="301">
        <f>_xlfn.XLOOKUP(C13,BASE01[COD],BASE01[Columna1],"")</f>
        <v>40</v>
      </c>
      <c r="R13" s="3"/>
      <c r="U13" s="388" t="str">
        <v>COD 02</v>
      </c>
      <c r="V13" s="388" t="str">
        <f t="shared" si="4"/>
        <v>COD 02</v>
      </c>
    </row>
    <row r="14" spans="1:22" s="388" customFormat="1" ht="23.1" customHeight="1" x14ac:dyDescent="0.35">
      <c r="A14" s="290"/>
      <c r="B14" s="291">
        <f t="shared" si="5"/>
        <v>10</v>
      </c>
      <c r="C14" s="543" t="str">
        <v>COD 36</v>
      </c>
      <c r="D14" s="292" t="str">
        <f>_xlfn.XLOOKUP(C14,CODIGOS_Y_PAGOS[CODIGO],CODIGOS_Y_PAGOS[NOMBRE PARTICIPANTE],"")</f>
        <v>EDGAR ALEXANDER</v>
      </c>
      <c r="E14" s="293">
        <f>_xlfn.XLOOKUP($C14,BASE01[COD],BASE01[Columna14],"")</f>
        <v>13</v>
      </c>
      <c r="F14" s="293">
        <f>_xlfn.XLOOKUP(C14,BASE01[COD],BASE01[Columna19],"")</f>
        <v>6</v>
      </c>
      <c r="G14" s="294">
        <f t="shared" si="0"/>
        <v>0.46153846153846156</v>
      </c>
      <c r="H14" s="295">
        <f>_xlfn.XLOOKUP(C14,BASE01[COD],BASE01[Columna32],"")</f>
        <v>13</v>
      </c>
      <c r="I14" s="295">
        <f>_xlfn.XLOOKUP(C14,BASE01[COD],BASE01[Columna30],"")</f>
        <v>8</v>
      </c>
      <c r="J14" s="296">
        <f t="shared" si="1"/>
        <v>0.61538461538461542</v>
      </c>
      <c r="K14" s="297">
        <f>_xlfn.XLOOKUP(C14,BASE01[COD],BASE01[Columna32],"")</f>
        <v>13</v>
      </c>
      <c r="L14" s="297">
        <f>_xlfn.XLOOKUP(C14,BASE01[COD],BASE01[Columna34],"")</f>
        <v>9</v>
      </c>
      <c r="M14" s="298">
        <f t="shared" si="2"/>
        <v>0.69230769230769229</v>
      </c>
      <c r="N14" s="299">
        <f>_xlfn.XLOOKUP(C14,BASE01[COD],BASE01[Columna36],"")</f>
        <v>3</v>
      </c>
      <c r="O14" s="299">
        <f>_xlfn.XLOOKUP(C14,BASE01[COD],BASE01[Columna37],"")</f>
        <v>2</v>
      </c>
      <c r="P14" s="300">
        <f t="shared" si="3"/>
        <v>0.66666666666666663</v>
      </c>
      <c r="Q14" s="301">
        <f>_xlfn.XLOOKUP(C14,BASE01[COD],BASE01[Columna1],"")</f>
        <v>40</v>
      </c>
      <c r="R14" s="3"/>
      <c r="U14" s="388" t="str">
        <v>COD 36</v>
      </c>
      <c r="V14" s="388" t="str">
        <f t="shared" si="4"/>
        <v>COD 36</v>
      </c>
    </row>
    <row r="15" spans="1:22" s="388" customFormat="1" ht="23.1" customHeight="1" x14ac:dyDescent="0.35">
      <c r="A15" s="290"/>
      <c r="B15" s="291">
        <f t="shared" si="5"/>
        <v>11</v>
      </c>
      <c r="C15" s="543" t="str">
        <v>COD 28</v>
      </c>
      <c r="D15" s="292" t="str">
        <f>_xlfn.XLOOKUP(C15,CODIGOS_Y_PAGOS[CODIGO],CODIGOS_Y_PAGOS[NOMBRE PARTICIPANTE],"")</f>
        <v>FRANKLIN DELGADO</v>
      </c>
      <c r="E15" s="293">
        <f>_xlfn.XLOOKUP($C15,BASE01[COD],BASE01[Columna14],"")</f>
        <v>13</v>
      </c>
      <c r="F15" s="293">
        <f>_xlfn.XLOOKUP(C15,BASE01[COD],BASE01[Columna19],"")</f>
        <v>5</v>
      </c>
      <c r="G15" s="294">
        <f t="shared" si="0"/>
        <v>0.38461538461538464</v>
      </c>
      <c r="H15" s="295">
        <f>_xlfn.XLOOKUP(C15,BASE01[COD],BASE01[Columna32],"")</f>
        <v>13</v>
      </c>
      <c r="I15" s="295">
        <f>_xlfn.XLOOKUP(C15,BASE01[COD],BASE01[Columna30],"")</f>
        <v>9</v>
      </c>
      <c r="J15" s="296">
        <f t="shared" si="1"/>
        <v>0.69230769230769229</v>
      </c>
      <c r="K15" s="297">
        <f>_xlfn.XLOOKUP(C15,BASE01[COD],BASE01[Columna32],"")</f>
        <v>13</v>
      </c>
      <c r="L15" s="297">
        <f>_xlfn.XLOOKUP(C15,BASE01[COD],BASE01[Columna34],"")</f>
        <v>11</v>
      </c>
      <c r="M15" s="298">
        <f t="shared" si="2"/>
        <v>0.84615384615384615</v>
      </c>
      <c r="N15" s="299">
        <f>_xlfn.XLOOKUP(C15,BASE01[COD],BASE01[Columna36],"")</f>
        <v>3</v>
      </c>
      <c r="O15" s="299">
        <f>_xlfn.XLOOKUP(C15,BASE01[COD],BASE01[Columna37],"")</f>
        <v>2</v>
      </c>
      <c r="P15" s="300">
        <f t="shared" si="3"/>
        <v>0.66666666666666663</v>
      </c>
      <c r="Q15" s="301">
        <f>_xlfn.XLOOKUP(C15,BASE01[COD],BASE01[Columna1],"")</f>
        <v>39</v>
      </c>
      <c r="R15" s="3"/>
      <c r="U15" s="388" t="str">
        <v>COD 28</v>
      </c>
      <c r="V15" s="388" t="str">
        <f t="shared" si="4"/>
        <v>COD 28</v>
      </c>
    </row>
    <row r="16" spans="1:22" s="388" customFormat="1" ht="23.1" customHeight="1" x14ac:dyDescent="0.35">
      <c r="A16" s="290"/>
      <c r="B16" s="291">
        <f t="shared" si="5"/>
        <v>12</v>
      </c>
      <c r="C16" s="543" t="str">
        <v>COD 29</v>
      </c>
      <c r="D16" s="292" t="str">
        <f>_xlfn.XLOOKUP(C16,CODIGOS_Y_PAGOS[CODIGO],CODIGOS_Y_PAGOS[NOMBRE PARTICIPANTE],"")</f>
        <v>JEAN MARCO</v>
      </c>
      <c r="E16" s="293">
        <f>_xlfn.XLOOKUP($C16,BASE01[COD],BASE01[Columna14],"")</f>
        <v>13</v>
      </c>
      <c r="F16" s="293">
        <f>_xlfn.XLOOKUP(C16,BASE01[COD],BASE01[Columna19],"")</f>
        <v>5</v>
      </c>
      <c r="G16" s="294">
        <f t="shared" si="0"/>
        <v>0.38461538461538464</v>
      </c>
      <c r="H16" s="295">
        <f>_xlfn.XLOOKUP(C16,BASE01[COD],BASE01[Columna32],"")</f>
        <v>13</v>
      </c>
      <c r="I16" s="295">
        <f>_xlfn.XLOOKUP(C16,BASE01[COD],BASE01[Columna30],"")</f>
        <v>7</v>
      </c>
      <c r="J16" s="296">
        <f t="shared" si="1"/>
        <v>0.53846153846153844</v>
      </c>
      <c r="K16" s="297">
        <f>_xlfn.XLOOKUP(C16,BASE01[COD],BASE01[Columna32],"")</f>
        <v>13</v>
      </c>
      <c r="L16" s="297">
        <f>_xlfn.XLOOKUP(C16,BASE01[COD],BASE01[Columna34],"")</f>
        <v>11</v>
      </c>
      <c r="M16" s="298">
        <f t="shared" si="2"/>
        <v>0.84615384615384615</v>
      </c>
      <c r="N16" s="299">
        <f>_xlfn.XLOOKUP(C16,BASE01[COD],BASE01[Columna36],"")</f>
        <v>3</v>
      </c>
      <c r="O16" s="299">
        <f>_xlfn.XLOOKUP(C16,BASE01[COD],BASE01[Columna37],"")</f>
        <v>1</v>
      </c>
      <c r="P16" s="300">
        <f t="shared" si="3"/>
        <v>0.33333333333333331</v>
      </c>
      <c r="Q16" s="301">
        <f>_xlfn.XLOOKUP(C16,BASE01[COD],BASE01[Columna1],"")</f>
        <v>39</v>
      </c>
      <c r="R16" s="3"/>
      <c r="U16" s="388" t="str">
        <v>COD 29</v>
      </c>
      <c r="V16" s="388" t="str">
        <f t="shared" si="4"/>
        <v>COD 29</v>
      </c>
    </row>
    <row r="17" spans="1:22" s="388" customFormat="1" ht="23.1" customHeight="1" x14ac:dyDescent="0.35">
      <c r="A17" s="290"/>
      <c r="B17" s="291">
        <f t="shared" si="5"/>
        <v>13</v>
      </c>
      <c r="C17" s="543" t="str">
        <v>COD 32</v>
      </c>
      <c r="D17" s="292" t="str">
        <f>_xlfn.XLOOKUP(C17,CODIGOS_Y_PAGOS[CODIGO],CODIGOS_Y_PAGOS[NOMBRE PARTICIPANTE],"")</f>
        <v>TONY CURTIS</v>
      </c>
      <c r="E17" s="293">
        <f>_xlfn.XLOOKUP($C17,BASE01[COD],BASE01[Columna14],"")</f>
        <v>13</v>
      </c>
      <c r="F17" s="293">
        <f>_xlfn.XLOOKUP(C17,BASE01[COD],BASE01[Columna19],"")</f>
        <v>6</v>
      </c>
      <c r="G17" s="294">
        <f t="shared" si="0"/>
        <v>0.46153846153846156</v>
      </c>
      <c r="H17" s="295">
        <f>_xlfn.XLOOKUP(C17,BASE01[COD],BASE01[Columna32],"")</f>
        <v>13</v>
      </c>
      <c r="I17" s="295">
        <f>_xlfn.XLOOKUP(C17,BASE01[COD],BASE01[Columna30],"")</f>
        <v>8</v>
      </c>
      <c r="J17" s="296">
        <f t="shared" si="1"/>
        <v>0.61538461538461542</v>
      </c>
      <c r="K17" s="297">
        <f>_xlfn.XLOOKUP(C17,BASE01[COD],BASE01[Columna32],"")</f>
        <v>13</v>
      </c>
      <c r="L17" s="297">
        <f>_xlfn.XLOOKUP(C17,BASE01[COD],BASE01[Columna34],"")</f>
        <v>10</v>
      </c>
      <c r="M17" s="298">
        <f t="shared" si="2"/>
        <v>0.76923076923076927</v>
      </c>
      <c r="N17" s="299">
        <f>_xlfn.XLOOKUP(C17,BASE01[COD],BASE01[Columna36],"")</f>
        <v>3</v>
      </c>
      <c r="O17" s="299">
        <f>_xlfn.XLOOKUP(C17,BASE01[COD],BASE01[Columna37],"")</f>
        <v>2</v>
      </c>
      <c r="P17" s="300">
        <f t="shared" si="3"/>
        <v>0.66666666666666663</v>
      </c>
      <c r="Q17" s="301">
        <f>_xlfn.XLOOKUP(C17,BASE01[COD],BASE01[Columna1],"")</f>
        <v>39</v>
      </c>
      <c r="R17" s="3"/>
      <c r="U17" s="388" t="str">
        <v>COD 32</v>
      </c>
      <c r="V17" s="388" t="str">
        <f t="shared" si="4"/>
        <v>COD 32</v>
      </c>
    </row>
    <row r="18" spans="1:22" s="388" customFormat="1" ht="23.1" customHeight="1" x14ac:dyDescent="0.35">
      <c r="A18" s="290"/>
      <c r="B18" s="291">
        <f t="shared" si="5"/>
        <v>14</v>
      </c>
      <c r="C18" s="543" t="str">
        <v>COD 09</v>
      </c>
      <c r="D18" s="292" t="str">
        <f>_xlfn.XLOOKUP(C18,CODIGOS_Y_PAGOS[CODIGO],CODIGOS_Y_PAGOS[NOMBRE PARTICIPANTE],"")</f>
        <v>JESUS ARASME</v>
      </c>
      <c r="E18" s="293">
        <f>_xlfn.XLOOKUP($C18,BASE01[COD],BASE01[Columna14],"")</f>
        <v>13</v>
      </c>
      <c r="F18" s="293">
        <f>_xlfn.XLOOKUP(C18,BASE01[COD],BASE01[Columna19],"")</f>
        <v>6</v>
      </c>
      <c r="G18" s="294">
        <f t="shared" si="0"/>
        <v>0.46153846153846156</v>
      </c>
      <c r="H18" s="295">
        <f>_xlfn.XLOOKUP(C18,BASE01[COD],BASE01[Columna32],"")</f>
        <v>13</v>
      </c>
      <c r="I18" s="295">
        <f>_xlfn.XLOOKUP(C18,BASE01[COD],BASE01[Columna30],"")</f>
        <v>8</v>
      </c>
      <c r="J18" s="296">
        <f t="shared" si="1"/>
        <v>0.61538461538461542</v>
      </c>
      <c r="K18" s="297">
        <f>_xlfn.XLOOKUP(C18,BASE01[COD],BASE01[Columna32],"")</f>
        <v>13</v>
      </c>
      <c r="L18" s="297">
        <f>_xlfn.XLOOKUP(C18,BASE01[COD],BASE01[Columna34],"")</f>
        <v>10</v>
      </c>
      <c r="M18" s="298">
        <f t="shared" si="2"/>
        <v>0.76923076923076927</v>
      </c>
      <c r="N18" s="299">
        <f>_xlfn.XLOOKUP(C18,BASE01[COD],BASE01[Columna36],"")</f>
        <v>3</v>
      </c>
      <c r="O18" s="299">
        <f>_xlfn.XLOOKUP(C18,BASE01[COD],BASE01[Columna37],"")</f>
        <v>1</v>
      </c>
      <c r="P18" s="300">
        <f t="shared" si="3"/>
        <v>0.33333333333333331</v>
      </c>
      <c r="Q18" s="301">
        <f>_xlfn.XLOOKUP(C18,BASE01[COD],BASE01[Columna1],"")</f>
        <v>38</v>
      </c>
      <c r="R18" s="3"/>
      <c r="U18" s="388" t="str">
        <v>COD 09</v>
      </c>
      <c r="V18" s="388" t="str">
        <f t="shared" si="4"/>
        <v>COD 09</v>
      </c>
    </row>
    <row r="19" spans="1:22" s="388" customFormat="1" ht="23.1" customHeight="1" x14ac:dyDescent="0.35">
      <c r="A19" s="290"/>
      <c r="B19" s="291">
        <f t="shared" si="5"/>
        <v>15</v>
      </c>
      <c r="C19" s="543" t="str">
        <v>COD 05</v>
      </c>
      <c r="D19" s="292" t="str">
        <f>_xlfn.XLOOKUP(C19,CODIGOS_Y_PAGOS[CODIGO],CODIGOS_Y_PAGOS[NOMBRE PARTICIPANTE],"")</f>
        <v>MARCOS HIDALGO</v>
      </c>
      <c r="E19" s="293">
        <f>_xlfn.XLOOKUP($C19,BASE01[COD],BASE01[Columna14],"")</f>
        <v>13</v>
      </c>
      <c r="F19" s="293">
        <f>_xlfn.XLOOKUP(C19,BASE01[COD],BASE01[Columna19],"")</f>
        <v>5</v>
      </c>
      <c r="G19" s="294">
        <f t="shared" si="0"/>
        <v>0.38461538461538464</v>
      </c>
      <c r="H19" s="295">
        <f>_xlfn.XLOOKUP(C19,BASE01[COD],BASE01[Columna32],"")</f>
        <v>13</v>
      </c>
      <c r="I19" s="295">
        <f>_xlfn.XLOOKUP(C19,BASE01[COD],BASE01[Columna30],"")</f>
        <v>8</v>
      </c>
      <c r="J19" s="296">
        <f t="shared" si="1"/>
        <v>0.61538461538461542</v>
      </c>
      <c r="K19" s="297">
        <f>_xlfn.XLOOKUP(C19,BASE01[COD],BASE01[Columna32],"")</f>
        <v>13</v>
      </c>
      <c r="L19" s="297">
        <f>_xlfn.XLOOKUP(C19,BASE01[COD],BASE01[Columna34],"")</f>
        <v>10</v>
      </c>
      <c r="M19" s="298">
        <f t="shared" si="2"/>
        <v>0.76923076923076927</v>
      </c>
      <c r="N19" s="299">
        <f>_xlfn.XLOOKUP(C19,BASE01[COD],BASE01[Columna36],"")</f>
        <v>3</v>
      </c>
      <c r="O19" s="299">
        <f>_xlfn.XLOOKUP(C19,BASE01[COD],BASE01[Columna37],"")</f>
        <v>2</v>
      </c>
      <c r="P19" s="300">
        <f t="shared" si="3"/>
        <v>0.66666666666666663</v>
      </c>
      <c r="Q19" s="301">
        <f>_xlfn.XLOOKUP(C19,BASE01[COD],BASE01[Columna1],"")</f>
        <v>37</v>
      </c>
      <c r="R19" s="3"/>
      <c r="U19" s="388" t="str">
        <v>COD 05</v>
      </c>
      <c r="V19" s="388" t="str">
        <f t="shared" si="4"/>
        <v>COD 05</v>
      </c>
    </row>
    <row r="20" spans="1:22" s="388" customFormat="1" ht="23.1" customHeight="1" x14ac:dyDescent="0.35">
      <c r="A20" s="290"/>
      <c r="B20" s="291">
        <f t="shared" si="5"/>
        <v>16</v>
      </c>
      <c r="C20" s="543" t="str">
        <v>COD 33</v>
      </c>
      <c r="D20" s="292" t="str">
        <f>_xlfn.XLOOKUP(C20,CODIGOS_Y_PAGOS[CODIGO],CODIGOS_Y_PAGOS[NOMBRE PARTICIPANTE],"")</f>
        <v>JOSE LUIS ANTUNEZ</v>
      </c>
      <c r="E20" s="293">
        <f>_xlfn.XLOOKUP($C20,BASE01[COD],BASE01[Columna14],"")</f>
        <v>13</v>
      </c>
      <c r="F20" s="293">
        <f>_xlfn.XLOOKUP(C20,BASE01[COD],BASE01[Columna19],"")</f>
        <v>5</v>
      </c>
      <c r="G20" s="294">
        <f t="shared" si="0"/>
        <v>0.38461538461538464</v>
      </c>
      <c r="H20" s="295">
        <f>_xlfn.XLOOKUP(C20,BASE01[COD],BASE01[Columna32],"")</f>
        <v>13</v>
      </c>
      <c r="I20" s="295">
        <f>_xlfn.XLOOKUP(C20,BASE01[COD],BASE01[Columna30],"")</f>
        <v>9</v>
      </c>
      <c r="J20" s="296">
        <f t="shared" si="1"/>
        <v>0.69230769230769229</v>
      </c>
      <c r="K20" s="297">
        <f>_xlfn.XLOOKUP(C20,BASE01[COD],BASE01[Columna32],"")</f>
        <v>13</v>
      </c>
      <c r="L20" s="297">
        <f>_xlfn.XLOOKUP(C20,BASE01[COD],BASE01[Columna34],"")</f>
        <v>9</v>
      </c>
      <c r="M20" s="298">
        <f t="shared" si="2"/>
        <v>0.69230769230769229</v>
      </c>
      <c r="N20" s="299">
        <f>_xlfn.XLOOKUP(C20,BASE01[COD],BASE01[Columna36],"")</f>
        <v>3</v>
      </c>
      <c r="O20" s="299">
        <f>_xlfn.XLOOKUP(C20,BASE01[COD],BASE01[Columna37],"")</f>
        <v>2</v>
      </c>
      <c r="P20" s="300">
        <f t="shared" si="3"/>
        <v>0.66666666666666663</v>
      </c>
      <c r="Q20" s="301">
        <f>_xlfn.XLOOKUP(C20,BASE01[COD],BASE01[Columna1],"")</f>
        <v>37</v>
      </c>
      <c r="R20" s="3"/>
      <c r="U20" s="388" t="str">
        <v>COD 33</v>
      </c>
      <c r="V20" s="388" t="str">
        <f t="shared" si="4"/>
        <v>COD 33</v>
      </c>
    </row>
    <row r="21" spans="1:22" s="388" customFormat="1" ht="23.1" customHeight="1" x14ac:dyDescent="0.35">
      <c r="A21" s="290"/>
      <c r="B21" s="291">
        <f t="shared" si="5"/>
        <v>17</v>
      </c>
      <c r="C21" s="543" t="str">
        <v>COD 11</v>
      </c>
      <c r="D21" s="292" t="str">
        <f>_xlfn.XLOOKUP(C21,CODIGOS_Y_PAGOS[CODIGO],CODIGOS_Y_PAGOS[NOMBRE PARTICIPANTE],"")</f>
        <v>ANDERSON ZERPA</v>
      </c>
      <c r="E21" s="293">
        <f>_xlfn.XLOOKUP($C21,BASE01[COD],BASE01[Columna14],"")</f>
        <v>13</v>
      </c>
      <c r="F21" s="293">
        <f>_xlfn.XLOOKUP(C21,BASE01[COD],BASE01[Columna19],"")</f>
        <v>4</v>
      </c>
      <c r="G21" s="294">
        <f t="shared" si="0"/>
        <v>0.30769230769230771</v>
      </c>
      <c r="H21" s="295">
        <f>_xlfn.XLOOKUP(C21,BASE01[COD],BASE01[Columna32],"")</f>
        <v>13</v>
      </c>
      <c r="I21" s="295">
        <f>_xlfn.XLOOKUP(C21,BASE01[COD],BASE01[Columna30],"")</f>
        <v>7</v>
      </c>
      <c r="J21" s="296">
        <f t="shared" si="1"/>
        <v>0.53846153846153844</v>
      </c>
      <c r="K21" s="297">
        <f>_xlfn.XLOOKUP(C21,BASE01[COD],BASE01[Columna32],"")</f>
        <v>13</v>
      </c>
      <c r="L21" s="297">
        <f>_xlfn.XLOOKUP(C21,BASE01[COD],BASE01[Columna34],"")</f>
        <v>10</v>
      </c>
      <c r="M21" s="298">
        <f t="shared" si="2"/>
        <v>0.76923076923076927</v>
      </c>
      <c r="N21" s="299">
        <f>_xlfn.XLOOKUP(C21,BASE01[COD],BASE01[Columna36],"")</f>
        <v>3</v>
      </c>
      <c r="O21" s="299">
        <f>_xlfn.XLOOKUP(C21,BASE01[COD],BASE01[Columna37],"")</f>
        <v>1</v>
      </c>
      <c r="P21" s="300">
        <f t="shared" si="3"/>
        <v>0.33333333333333331</v>
      </c>
      <c r="Q21" s="301">
        <f>_xlfn.XLOOKUP(C21,BASE01[COD],BASE01[Columna1],"")</f>
        <v>36</v>
      </c>
      <c r="R21" s="3"/>
      <c r="U21" s="388" t="str">
        <v>COD 11</v>
      </c>
      <c r="V21" s="388" t="str">
        <f t="shared" si="4"/>
        <v>COD 11</v>
      </c>
    </row>
    <row r="22" spans="1:22" s="388" customFormat="1" ht="23.1" customHeight="1" x14ac:dyDescent="0.35">
      <c r="A22" s="290"/>
      <c r="B22" s="291">
        <f t="shared" si="5"/>
        <v>18</v>
      </c>
      <c r="C22" s="543" t="str">
        <v>COD 35</v>
      </c>
      <c r="D22" s="292" t="str">
        <f>_xlfn.XLOOKUP(C22,CODIGOS_Y_PAGOS[CODIGO],CODIGOS_Y_PAGOS[NOMBRE PARTICIPANTE],"")</f>
        <v>YOVANNY</v>
      </c>
      <c r="E22" s="293">
        <f>_xlfn.XLOOKUP($C22,BASE01[COD],BASE01[Columna14],"")</f>
        <v>13</v>
      </c>
      <c r="F22" s="293">
        <f>_xlfn.XLOOKUP(C22,BASE01[COD],BASE01[Columna19],"")</f>
        <v>6</v>
      </c>
      <c r="G22" s="294">
        <f t="shared" si="0"/>
        <v>0.46153846153846156</v>
      </c>
      <c r="H22" s="295">
        <f>_xlfn.XLOOKUP(C22,BASE01[COD],BASE01[Columna32],"")</f>
        <v>13</v>
      </c>
      <c r="I22" s="295">
        <f>_xlfn.XLOOKUP(C22,BASE01[COD],BASE01[Columna30],"")</f>
        <v>7</v>
      </c>
      <c r="J22" s="296">
        <f t="shared" si="1"/>
        <v>0.53846153846153844</v>
      </c>
      <c r="K22" s="297">
        <f>_xlfn.XLOOKUP(C22,BASE01[COD],BASE01[Columna32],"")</f>
        <v>13</v>
      </c>
      <c r="L22" s="297">
        <f>_xlfn.XLOOKUP(C22,BASE01[COD],BASE01[Columna34],"")</f>
        <v>9</v>
      </c>
      <c r="M22" s="298">
        <f t="shared" si="2"/>
        <v>0.69230769230769229</v>
      </c>
      <c r="N22" s="299">
        <f>_xlfn.XLOOKUP(C22,BASE01[COD],BASE01[Columna36],"")</f>
        <v>3</v>
      </c>
      <c r="O22" s="299">
        <f>_xlfn.XLOOKUP(C22,BASE01[COD],BASE01[Columna37],"")</f>
        <v>3</v>
      </c>
      <c r="P22" s="300">
        <f t="shared" si="3"/>
        <v>1</v>
      </c>
      <c r="Q22" s="301">
        <f>_xlfn.XLOOKUP(C22,BASE01[COD],BASE01[Columna1],"")</f>
        <v>36</v>
      </c>
      <c r="R22" s="3"/>
      <c r="U22" s="388" t="str">
        <v>COD 35</v>
      </c>
      <c r="V22" s="388" t="str">
        <f t="shared" si="4"/>
        <v>COD 35</v>
      </c>
    </row>
    <row r="23" spans="1:22" s="388" customFormat="1" ht="23.1" customHeight="1" x14ac:dyDescent="0.35">
      <c r="A23" s="290"/>
      <c r="B23" s="291">
        <f t="shared" si="5"/>
        <v>19</v>
      </c>
      <c r="C23" s="543" t="str">
        <v>COD 16</v>
      </c>
      <c r="D23" s="292" t="str">
        <f>_xlfn.XLOOKUP(C23,CODIGOS_Y_PAGOS[CODIGO],CODIGOS_Y_PAGOS[NOMBRE PARTICIPANTE],"")</f>
        <v>PODER HIPICO</v>
      </c>
      <c r="E23" s="293">
        <f>_xlfn.XLOOKUP($C23,BASE01[COD],BASE01[Columna14],"")</f>
        <v>13</v>
      </c>
      <c r="F23" s="293">
        <f>_xlfn.XLOOKUP(C23,BASE01[COD],BASE01[Columna19],"")</f>
        <v>4</v>
      </c>
      <c r="G23" s="294">
        <f t="shared" si="0"/>
        <v>0.30769230769230771</v>
      </c>
      <c r="H23" s="295">
        <f>_xlfn.XLOOKUP(C23,BASE01[COD],BASE01[Columna32],"")</f>
        <v>13</v>
      </c>
      <c r="I23" s="295">
        <f>_xlfn.XLOOKUP(C23,BASE01[COD],BASE01[Columna30],"")</f>
        <v>9</v>
      </c>
      <c r="J23" s="296">
        <f t="shared" si="1"/>
        <v>0.69230769230769229</v>
      </c>
      <c r="K23" s="297">
        <f>_xlfn.XLOOKUP(C23,BASE01[COD],BASE01[Columna32],"")</f>
        <v>13</v>
      </c>
      <c r="L23" s="297">
        <f>_xlfn.XLOOKUP(C23,BASE01[COD],BASE01[Columna34],"")</f>
        <v>10</v>
      </c>
      <c r="M23" s="298">
        <f t="shared" si="2"/>
        <v>0.76923076923076927</v>
      </c>
      <c r="N23" s="299">
        <f>_xlfn.XLOOKUP(C23,BASE01[COD],BASE01[Columna36],"")</f>
        <v>3</v>
      </c>
      <c r="O23" s="299">
        <f>_xlfn.XLOOKUP(C23,BASE01[COD],BASE01[Columna37],"")</f>
        <v>2</v>
      </c>
      <c r="P23" s="300">
        <f t="shared" si="3"/>
        <v>0.66666666666666663</v>
      </c>
      <c r="Q23" s="301">
        <f>_xlfn.XLOOKUP(C23,BASE01[COD],BASE01[Columna1],"")</f>
        <v>35</v>
      </c>
      <c r="R23" s="3"/>
      <c r="U23" s="388" t="str">
        <v>COD 16</v>
      </c>
      <c r="V23" s="388" t="str">
        <f t="shared" si="4"/>
        <v>COD 16</v>
      </c>
    </row>
    <row r="24" spans="1:22" s="388" customFormat="1" ht="23.1" customHeight="1" x14ac:dyDescent="0.35">
      <c r="A24" s="290"/>
      <c r="B24" s="291">
        <f t="shared" si="5"/>
        <v>20</v>
      </c>
      <c r="C24" s="543" t="str">
        <v>COD 19</v>
      </c>
      <c r="D24" s="292" t="str">
        <f>_xlfn.XLOOKUP(C24,CODIGOS_Y_PAGOS[CODIGO],CODIGOS_Y_PAGOS[NOMBRE PARTICIPANTE],"")</f>
        <v>EL SAMURAI HIPICO</v>
      </c>
      <c r="E24" s="293">
        <f>_xlfn.XLOOKUP($C24,BASE01[COD],BASE01[Columna14],"")</f>
        <v>13</v>
      </c>
      <c r="F24" s="293">
        <f>_xlfn.XLOOKUP(C24,BASE01[COD],BASE01[Columna19],"")</f>
        <v>4</v>
      </c>
      <c r="G24" s="294">
        <f t="shared" si="0"/>
        <v>0.30769230769230771</v>
      </c>
      <c r="H24" s="295">
        <f>_xlfn.XLOOKUP(C24,BASE01[COD],BASE01[Columna32],"")</f>
        <v>13</v>
      </c>
      <c r="I24" s="295">
        <f>_xlfn.XLOOKUP(C24,BASE01[COD],BASE01[Columna30],"")</f>
        <v>6</v>
      </c>
      <c r="J24" s="296">
        <f t="shared" si="1"/>
        <v>0.46153846153846156</v>
      </c>
      <c r="K24" s="297">
        <f>_xlfn.XLOOKUP(C24,BASE01[COD],BASE01[Columna32],"")</f>
        <v>13</v>
      </c>
      <c r="L24" s="297">
        <f>_xlfn.XLOOKUP(C24,BASE01[COD],BASE01[Columna34],"")</f>
        <v>8</v>
      </c>
      <c r="M24" s="298">
        <f t="shared" si="2"/>
        <v>0.61538461538461542</v>
      </c>
      <c r="N24" s="299">
        <f>_xlfn.XLOOKUP(C24,BASE01[COD],BASE01[Columna36],"")</f>
        <v>3</v>
      </c>
      <c r="O24" s="299">
        <f>_xlfn.XLOOKUP(C24,BASE01[COD],BASE01[Columna37],"")</f>
        <v>2</v>
      </c>
      <c r="P24" s="300">
        <f t="shared" si="3"/>
        <v>0.66666666666666663</v>
      </c>
      <c r="Q24" s="301">
        <f>_xlfn.XLOOKUP(C24,BASE01[COD],BASE01[Columna1],"")</f>
        <v>35</v>
      </c>
      <c r="R24" s="3"/>
      <c r="U24" s="388" t="str">
        <v>COD 19</v>
      </c>
      <c r="V24" s="388" t="str">
        <f t="shared" si="4"/>
        <v>COD 19</v>
      </c>
    </row>
    <row r="25" spans="1:22" s="388" customFormat="1" ht="23.1" customHeight="1" x14ac:dyDescent="0.35">
      <c r="A25" s="290"/>
      <c r="B25" s="302">
        <f t="shared" si="5"/>
        <v>21</v>
      </c>
      <c r="C25" s="543" t="str">
        <v>COD 31</v>
      </c>
      <c r="D25" s="292" t="str">
        <f>_xlfn.XLOOKUP(C25,CODIGOS_Y_PAGOS[CODIGO],CODIGOS_Y_PAGOS[NOMBRE PARTICIPANTE],"")</f>
        <v>ALBIN</v>
      </c>
      <c r="E25" s="293">
        <f>_xlfn.XLOOKUP($C25,BASE01[COD],BASE01[Columna14],"")</f>
        <v>13</v>
      </c>
      <c r="F25" s="293">
        <f>_xlfn.XLOOKUP(C25,BASE01[COD],BASE01[Columna19],"")</f>
        <v>5</v>
      </c>
      <c r="G25" s="294">
        <f t="shared" si="0"/>
        <v>0.38461538461538464</v>
      </c>
      <c r="H25" s="295">
        <f>_xlfn.XLOOKUP(C25,BASE01[COD],BASE01[Columna32],"")</f>
        <v>13</v>
      </c>
      <c r="I25" s="295">
        <f>_xlfn.XLOOKUP(C25,BASE01[COD],BASE01[Columna30],"")</f>
        <v>9</v>
      </c>
      <c r="J25" s="296">
        <f t="shared" si="1"/>
        <v>0.69230769230769229</v>
      </c>
      <c r="K25" s="297">
        <f>_xlfn.XLOOKUP(C25,BASE01[COD],BASE01[Columna32],"")</f>
        <v>13</v>
      </c>
      <c r="L25" s="297">
        <f>_xlfn.XLOOKUP(C25,BASE01[COD],BASE01[Columna34],"")</f>
        <v>9</v>
      </c>
      <c r="M25" s="298">
        <f t="shared" si="2"/>
        <v>0.69230769230769229</v>
      </c>
      <c r="N25" s="299">
        <f>_xlfn.XLOOKUP(C25,BASE01[COD],BASE01[Columna36],"")</f>
        <v>3</v>
      </c>
      <c r="O25" s="299">
        <f>_xlfn.XLOOKUP(C25,BASE01[COD],BASE01[Columna37],"")</f>
        <v>1</v>
      </c>
      <c r="P25" s="300">
        <f t="shared" si="3"/>
        <v>0.33333333333333331</v>
      </c>
      <c r="Q25" s="301">
        <f>_xlfn.XLOOKUP(C25,BASE01[COD],BASE01[Columna1],"")</f>
        <v>35</v>
      </c>
      <c r="R25" s="3"/>
      <c r="U25" s="388" t="str">
        <v>COD 31</v>
      </c>
      <c r="V25" s="388" t="str">
        <f t="shared" si="4"/>
        <v>COD 31</v>
      </c>
    </row>
    <row r="26" spans="1:22" s="388" customFormat="1" ht="23.1" customHeight="1" x14ac:dyDescent="0.35">
      <c r="A26" s="290"/>
      <c r="B26" s="303">
        <f t="shared" si="5"/>
        <v>22</v>
      </c>
      <c r="C26" s="543" t="str">
        <v>COD 38</v>
      </c>
      <c r="D26" s="292" t="str">
        <f>_xlfn.XLOOKUP(C26,CODIGOS_Y_PAGOS[CODIGO],CODIGOS_Y_PAGOS[NOMBRE PARTICIPANTE],"")</f>
        <v>DERVIN</v>
      </c>
      <c r="E26" s="293">
        <f>_xlfn.XLOOKUP($C26,BASE01[COD],BASE01[Columna14],"")</f>
        <v>13</v>
      </c>
      <c r="F26" s="293">
        <f>_xlfn.XLOOKUP(C26,BASE01[COD],BASE01[Columna19],"")</f>
        <v>5</v>
      </c>
      <c r="G26" s="294">
        <f t="shared" si="0"/>
        <v>0.38461538461538464</v>
      </c>
      <c r="H26" s="295">
        <f>_xlfn.XLOOKUP(C26,BASE01[COD],BASE01[Columna32],"")</f>
        <v>13</v>
      </c>
      <c r="I26" s="295">
        <f>_xlfn.XLOOKUP(C26,BASE01[COD],BASE01[Columna30],"")</f>
        <v>8</v>
      </c>
      <c r="J26" s="296">
        <f t="shared" si="1"/>
        <v>0.61538461538461542</v>
      </c>
      <c r="K26" s="297">
        <f>_xlfn.XLOOKUP(C26,BASE01[COD],BASE01[Columna32],"")</f>
        <v>13</v>
      </c>
      <c r="L26" s="297">
        <f>_xlfn.XLOOKUP(C26,BASE01[COD],BASE01[Columna34],"")</f>
        <v>10</v>
      </c>
      <c r="M26" s="298">
        <f t="shared" si="2"/>
        <v>0.76923076923076927</v>
      </c>
      <c r="N26" s="299">
        <f>_xlfn.XLOOKUP(C26,BASE01[COD],BASE01[Columna36],"")</f>
        <v>3</v>
      </c>
      <c r="O26" s="299">
        <f>_xlfn.XLOOKUP(C26,BASE01[COD],BASE01[Columna37],"")</f>
        <v>2</v>
      </c>
      <c r="P26" s="300">
        <f t="shared" si="3"/>
        <v>0.66666666666666663</v>
      </c>
      <c r="Q26" s="301">
        <f>_xlfn.XLOOKUP(C26,BASE01[COD],BASE01[Columna1],"")</f>
        <v>35</v>
      </c>
      <c r="R26" s="3"/>
      <c r="U26" s="388" t="str">
        <v>COD 38</v>
      </c>
      <c r="V26" s="388" t="str">
        <f t="shared" si="4"/>
        <v>COD 38</v>
      </c>
    </row>
    <row r="27" spans="1:22" s="388" customFormat="1" ht="23.1" customHeight="1" x14ac:dyDescent="0.35">
      <c r="A27" s="290"/>
      <c r="B27" s="302">
        <f t="shared" si="5"/>
        <v>23</v>
      </c>
      <c r="C27" s="543" t="str">
        <v>COD 15</v>
      </c>
      <c r="D27" s="292" t="str">
        <f>_xlfn.XLOOKUP(C27,CODIGOS_Y_PAGOS[CODIGO],CODIGOS_Y_PAGOS[NOMBRE PARTICIPANTE],"")</f>
        <v>CARLOS SUAREZ</v>
      </c>
      <c r="E27" s="293">
        <f>_xlfn.XLOOKUP($C27,BASE01[COD],BASE01[Columna14],"")</f>
        <v>13</v>
      </c>
      <c r="F27" s="293">
        <f>_xlfn.XLOOKUP(C27,BASE01[COD],BASE01[Columna19],"")</f>
        <v>4</v>
      </c>
      <c r="G27" s="294">
        <f t="shared" si="0"/>
        <v>0.30769230769230771</v>
      </c>
      <c r="H27" s="295">
        <f>_xlfn.XLOOKUP(C27,BASE01[COD],BASE01[Columna32],"")</f>
        <v>13</v>
      </c>
      <c r="I27" s="295">
        <f>_xlfn.XLOOKUP(C27,BASE01[COD],BASE01[Columna30],"")</f>
        <v>4</v>
      </c>
      <c r="J27" s="296">
        <f t="shared" si="1"/>
        <v>0.30769230769230771</v>
      </c>
      <c r="K27" s="297">
        <f>_xlfn.XLOOKUP(C27,BASE01[COD],BASE01[Columna32],"")</f>
        <v>13</v>
      </c>
      <c r="L27" s="297">
        <f>_xlfn.XLOOKUP(C27,BASE01[COD],BASE01[Columna34],"")</f>
        <v>10</v>
      </c>
      <c r="M27" s="298">
        <f t="shared" si="2"/>
        <v>0.76923076923076927</v>
      </c>
      <c r="N27" s="299">
        <f>_xlfn.XLOOKUP(C27,BASE01[COD],BASE01[Columna36],"")</f>
        <v>3</v>
      </c>
      <c r="O27" s="299">
        <f>_xlfn.XLOOKUP(C27,BASE01[COD],BASE01[Columna37],"")</f>
        <v>3</v>
      </c>
      <c r="P27" s="300">
        <f t="shared" si="3"/>
        <v>1</v>
      </c>
      <c r="Q27" s="301">
        <f>_xlfn.XLOOKUP(C27,BASE01[COD],BASE01[Columna1],"")</f>
        <v>34</v>
      </c>
      <c r="R27" s="3"/>
      <c r="U27" s="388" t="str">
        <v>COD 15</v>
      </c>
      <c r="V27" s="388" t="str">
        <f t="shared" si="4"/>
        <v>COD 15</v>
      </c>
    </row>
    <row r="28" spans="1:22" s="388" customFormat="1" ht="23.1" customHeight="1" x14ac:dyDescent="0.35">
      <c r="A28" s="290"/>
      <c r="B28" s="302">
        <f t="shared" si="5"/>
        <v>24</v>
      </c>
      <c r="C28" s="543" t="str">
        <v>COD 08</v>
      </c>
      <c r="D28" s="292" t="str">
        <f>_xlfn.XLOOKUP(C28,CODIGOS_Y_PAGOS[CODIGO],CODIGOS_Y_PAGOS[NOMBRE PARTICIPANTE],"")</f>
        <v>RUBEN DARIO CARDENAS</v>
      </c>
      <c r="E28" s="293">
        <f>_xlfn.XLOOKUP($C28,BASE01[COD],BASE01[Columna14],"")</f>
        <v>13</v>
      </c>
      <c r="F28" s="293">
        <f>_xlfn.XLOOKUP(C28,BASE01[COD],BASE01[Columna19],"")</f>
        <v>6</v>
      </c>
      <c r="G28" s="294">
        <f t="shared" si="0"/>
        <v>0.46153846153846156</v>
      </c>
      <c r="H28" s="295">
        <f>_xlfn.XLOOKUP(C28,BASE01[COD],BASE01[Columna32],"")</f>
        <v>13</v>
      </c>
      <c r="I28" s="295">
        <f>_xlfn.XLOOKUP(C28,BASE01[COD],BASE01[Columna30],"")</f>
        <v>7</v>
      </c>
      <c r="J28" s="296">
        <f t="shared" si="1"/>
        <v>0.53846153846153844</v>
      </c>
      <c r="K28" s="297">
        <f>_xlfn.XLOOKUP(C28,BASE01[COD],BASE01[Columna32],"")</f>
        <v>13</v>
      </c>
      <c r="L28" s="297">
        <f>_xlfn.XLOOKUP(C28,BASE01[COD],BASE01[Columna34],"")</f>
        <v>8</v>
      </c>
      <c r="M28" s="298">
        <f t="shared" si="2"/>
        <v>0.61538461538461542</v>
      </c>
      <c r="N28" s="299">
        <f>_xlfn.XLOOKUP(C28,BASE01[COD],BASE01[Columna36],"")</f>
        <v>3</v>
      </c>
      <c r="O28" s="299">
        <f>_xlfn.XLOOKUP(C28,BASE01[COD],BASE01[Columna37],"")</f>
        <v>2</v>
      </c>
      <c r="P28" s="300">
        <f t="shared" si="3"/>
        <v>0.66666666666666663</v>
      </c>
      <c r="Q28" s="301">
        <f>_xlfn.XLOOKUP(C28,BASE01[COD],BASE01[Columna1],"")</f>
        <v>33.5</v>
      </c>
      <c r="R28" s="3"/>
      <c r="U28" s="388" t="str">
        <v>COD 08</v>
      </c>
      <c r="V28" s="388" t="str">
        <f t="shared" si="4"/>
        <v>COD 08</v>
      </c>
    </row>
    <row r="29" spans="1:22" s="388" customFormat="1" ht="23.1" customHeight="1" x14ac:dyDescent="0.35">
      <c r="A29" s="290"/>
      <c r="B29" s="302">
        <f t="shared" si="5"/>
        <v>25</v>
      </c>
      <c r="C29" s="543" t="str">
        <v>COD 26</v>
      </c>
      <c r="D29" s="292" t="str">
        <f>_xlfn.XLOOKUP(C29,CODIGOS_Y_PAGOS[CODIGO],CODIGOS_Y_PAGOS[NOMBRE PARTICIPANTE],"")</f>
        <v>PEDRO TABEROA</v>
      </c>
      <c r="E29" s="293">
        <f>_xlfn.XLOOKUP($C29,BASE01[COD],BASE01[Columna14],"")</f>
        <v>13</v>
      </c>
      <c r="F29" s="293">
        <f>_xlfn.XLOOKUP(C29,BASE01[COD],BASE01[Columna19],"")</f>
        <v>4</v>
      </c>
      <c r="G29" s="294">
        <f t="shared" si="0"/>
        <v>0.30769230769230771</v>
      </c>
      <c r="H29" s="295">
        <f>_xlfn.XLOOKUP(C29,BASE01[COD],BASE01[Columna32],"")</f>
        <v>13</v>
      </c>
      <c r="I29" s="295">
        <f>_xlfn.XLOOKUP(C29,BASE01[COD],BASE01[Columna30],"")</f>
        <v>7</v>
      </c>
      <c r="J29" s="296">
        <f t="shared" si="1"/>
        <v>0.53846153846153844</v>
      </c>
      <c r="K29" s="297">
        <f>_xlfn.XLOOKUP(C29,BASE01[COD],BASE01[Columna32],"")</f>
        <v>13</v>
      </c>
      <c r="L29" s="297">
        <f>_xlfn.XLOOKUP(C29,BASE01[COD],BASE01[Columna34],"")</f>
        <v>10</v>
      </c>
      <c r="M29" s="298">
        <f t="shared" si="2"/>
        <v>0.76923076923076927</v>
      </c>
      <c r="N29" s="299">
        <f>_xlfn.XLOOKUP(C29,BASE01[COD],BASE01[Columna36],"")</f>
        <v>3</v>
      </c>
      <c r="O29" s="299">
        <f>_xlfn.XLOOKUP(C29,BASE01[COD],BASE01[Columna37],"")</f>
        <v>2</v>
      </c>
      <c r="P29" s="300">
        <f t="shared" si="3"/>
        <v>0.66666666666666663</v>
      </c>
      <c r="Q29" s="301">
        <f>_xlfn.XLOOKUP(C29,BASE01[COD],BASE01[Columna1],"")</f>
        <v>32</v>
      </c>
      <c r="R29" s="3"/>
      <c r="U29" s="388" t="str">
        <v>COD 26</v>
      </c>
      <c r="V29" s="388" t="str">
        <f t="shared" si="4"/>
        <v>COD 26</v>
      </c>
    </row>
    <row r="30" spans="1:22" s="388" customFormat="1" ht="23.1" customHeight="1" x14ac:dyDescent="0.35">
      <c r="A30" s="290"/>
      <c r="B30" s="302">
        <f t="shared" si="5"/>
        <v>26</v>
      </c>
      <c r="C30" s="543" t="str">
        <v>COD 03</v>
      </c>
      <c r="D30" s="292" t="str">
        <f>_xlfn.XLOOKUP(C30,CODIGOS_Y_PAGOS[CODIGO],CODIGOS_Y_PAGOS[NOMBRE PARTICIPANTE],"")</f>
        <v>MUÑECA DEL HIPISMO</v>
      </c>
      <c r="E30" s="293">
        <f>_xlfn.XLOOKUP($C30,BASE01[COD],BASE01[Columna14],"")</f>
        <v>13</v>
      </c>
      <c r="F30" s="293">
        <f>_xlfn.XLOOKUP(C30,BASE01[COD],BASE01[Columna19],"")</f>
        <v>4</v>
      </c>
      <c r="G30" s="294">
        <f t="shared" si="0"/>
        <v>0.30769230769230771</v>
      </c>
      <c r="H30" s="295">
        <f>_xlfn.XLOOKUP(C30,BASE01[COD],BASE01[Columna32],"")</f>
        <v>13</v>
      </c>
      <c r="I30" s="295">
        <f>_xlfn.XLOOKUP(C30,BASE01[COD],BASE01[Columna30],"")</f>
        <v>6</v>
      </c>
      <c r="J30" s="296">
        <f t="shared" si="1"/>
        <v>0.46153846153846156</v>
      </c>
      <c r="K30" s="297">
        <f>_xlfn.XLOOKUP(C30,BASE01[COD],BASE01[Columna32],"")</f>
        <v>13</v>
      </c>
      <c r="L30" s="297">
        <f>_xlfn.XLOOKUP(C30,BASE01[COD],BASE01[Columna34],"")</f>
        <v>10</v>
      </c>
      <c r="M30" s="298">
        <f t="shared" si="2"/>
        <v>0.76923076923076927</v>
      </c>
      <c r="N30" s="299">
        <f>_xlfn.XLOOKUP(C30,BASE01[COD],BASE01[Columna36],"")</f>
        <v>3</v>
      </c>
      <c r="O30" s="299">
        <f>_xlfn.XLOOKUP(C30,BASE01[COD],BASE01[Columna37],"")</f>
        <v>2</v>
      </c>
      <c r="P30" s="300">
        <f t="shared" si="3"/>
        <v>0.66666666666666663</v>
      </c>
      <c r="Q30" s="301">
        <f>_xlfn.XLOOKUP(C30,BASE01[COD],BASE01[Columna1],"")</f>
        <v>30</v>
      </c>
      <c r="R30" s="3"/>
      <c r="U30" s="388" t="str">
        <v>COD 03</v>
      </c>
      <c r="V30" s="388" t="str">
        <f t="shared" si="4"/>
        <v>COD 03</v>
      </c>
    </row>
    <row r="31" spans="1:22" s="388" customFormat="1" ht="23.1" customHeight="1" x14ac:dyDescent="0.35">
      <c r="A31" s="290"/>
      <c r="B31" s="302">
        <f t="shared" si="5"/>
        <v>27</v>
      </c>
      <c r="C31" s="543" t="str">
        <v>COD 20</v>
      </c>
      <c r="D31" s="292" t="str">
        <f>_xlfn.XLOOKUP(C31,CODIGOS_Y_PAGOS[CODIGO],CODIGOS_Y_PAGOS[NOMBRE PARTICIPANTE],"")</f>
        <v>CHINO</v>
      </c>
      <c r="E31" s="293">
        <f>_xlfn.XLOOKUP($C31,BASE01[COD],BASE01[Columna14],"")</f>
        <v>13</v>
      </c>
      <c r="F31" s="293">
        <f>_xlfn.XLOOKUP(C31,BASE01[COD],BASE01[Columna19],"")</f>
        <v>5</v>
      </c>
      <c r="G31" s="294">
        <f t="shared" si="0"/>
        <v>0.38461538461538464</v>
      </c>
      <c r="H31" s="295">
        <f>_xlfn.XLOOKUP(C31,BASE01[COD],BASE01[Columna32],"")</f>
        <v>13</v>
      </c>
      <c r="I31" s="295">
        <f>_xlfn.XLOOKUP(C31,BASE01[COD],BASE01[Columna30],"")</f>
        <v>8</v>
      </c>
      <c r="J31" s="296">
        <f t="shared" si="1"/>
        <v>0.61538461538461542</v>
      </c>
      <c r="K31" s="297">
        <f>_xlfn.XLOOKUP(C31,BASE01[COD],BASE01[Columna32],"")</f>
        <v>13</v>
      </c>
      <c r="L31" s="297">
        <f>_xlfn.XLOOKUP(C31,BASE01[COD],BASE01[Columna34],"")</f>
        <v>9</v>
      </c>
      <c r="M31" s="298">
        <f t="shared" si="2"/>
        <v>0.69230769230769229</v>
      </c>
      <c r="N31" s="299">
        <f>_xlfn.XLOOKUP(C31,BASE01[COD],BASE01[Columna36],"")</f>
        <v>3</v>
      </c>
      <c r="O31" s="299">
        <f>_xlfn.XLOOKUP(C31,BASE01[COD],BASE01[Columna37],"")</f>
        <v>1</v>
      </c>
      <c r="P31" s="300">
        <f t="shared" si="3"/>
        <v>0.33333333333333331</v>
      </c>
      <c r="Q31" s="301">
        <f>_xlfn.XLOOKUP(C31,BASE01[COD],BASE01[Columna1],"")</f>
        <v>30</v>
      </c>
      <c r="R31" s="3"/>
      <c r="U31" s="388" t="str">
        <v>COD 20</v>
      </c>
      <c r="V31" s="388" t="str">
        <f t="shared" si="4"/>
        <v>COD 20</v>
      </c>
    </row>
    <row r="32" spans="1:22" s="388" customFormat="1" ht="23.1" customHeight="1" x14ac:dyDescent="0.35">
      <c r="A32" s="290"/>
      <c r="B32" s="302">
        <f t="shared" si="5"/>
        <v>28</v>
      </c>
      <c r="C32" s="543" t="str">
        <v>COD 17</v>
      </c>
      <c r="D32" s="292" t="str">
        <f>_xlfn.XLOOKUP(C32,CODIGOS_Y_PAGOS[CODIGO],CODIGOS_Y_PAGOS[NOMBRE PARTICIPANTE],"")</f>
        <v>FERNANDO VALDIRIO</v>
      </c>
      <c r="E32" s="293">
        <f>_xlfn.XLOOKUP($C32,BASE01[COD],BASE01[Columna14],"")</f>
        <v>13</v>
      </c>
      <c r="F32" s="293">
        <f>_xlfn.XLOOKUP(C32,BASE01[COD],BASE01[Columna19],"")</f>
        <v>4</v>
      </c>
      <c r="G32" s="294">
        <f t="shared" si="0"/>
        <v>0.30769230769230771</v>
      </c>
      <c r="H32" s="295">
        <f>_xlfn.XLOOKUP(C32,BASE01[COD],BASE01[Columna32],"")</f>
        <v>13</v>
      </c>
      <c r="I32" s="295">
        <f>_xlfn.XLOOKUP(C32,BASE01[COD],BASE01[Columna30],"")</f>
        <v>7</v>
      </c>
      <c r="J32" s="296">
        <f t="shared" si="1"/>
        <v>0.53846153846153844</v>
      </c>
      <c r="K32" s="297">
        <f>_xlfn.XLOOKUP(C32,BASE01[COD],BASE01[Columna32],"")</f>
        <v>13</v>
      </c>
      <c r="L32" s="297">
        <f>_xlfn.XLOOKUP(C32,BASE01[COD],BASE01[Columna34],"")</f>
        <v>8</v>
      </c>
      <c r="M32" s="298">
        <f t="shared" si="2"/>
        <v>0.61538461538461542</v>
      </c>
      <c r="N32" s="299">
        <f>_xlfn.XLOOKUP(C32,BASE01[COD],BASE01[Columna36],"")</f>
        <v>3</v>
      </c>
      <c r="O32" s="299">
        <f>_xlfn.XLOOKUP(C32,BASE01[COD],BASE01[Columna37],"")</f>
        <v>2</v>
      </c>
      <c r="P32" s="300">
        <f t="shared" si="3"/>
        <v>0.66666666666666663</v>
      </c>
      <c r="Q32" s="301">
        <f>_xlfn.XLOOKUP(C32,BASE01[COD],BASE01[Columna1],"")</f>
        <v>29</v>
      </c>
      <c r="R32" s="3"/>
      <c r="U32" s="388" t="str">
        <v>COD 17</v>
      </c>
      <c r="V32" s="388" t="str">
        <f t="shared" si="4"/>
        <v>COD 17</v>
      </c>
    </row>
    <row r="33" spans="1:22" s="388" customFormat="1" ht="23.1" customHeight="1" x14ac:dyDescent="0.35">
      <c r="A33" s="290"/>
      <c r="B33" s="302">
        <f t="shared" si="5"/>
        <v>29</v>
      </c>
      <c r="C33" s="543" t="str">
        <v>COD 18</v>
      </c>
      <c r="D33" s="292" t="str">
        <f>_xlfn.XLOOKUP(C33,CODIGOS_Y_PAGOS[CODIGO],CODIGOS_Y_PAGOS[NOMBRE PARTICIPANTE],"")</f>
        <v>CASTOR CHIRINOS</v>
      </c>
      <c r="E33" s="293">
        <f>_xlfn.XLOOKUP($C33,BASE01[COD],BASE01[Columna14],"")</f>
        <v>13</v>
      </c>
      <c r="F33" s="293">
        <f>_xlfn.XLOOKUP(C33,BASE01[COD],BASE01[Columna19],"")</f>
        <v>3</v>
      </c>
      <c r="G33" s="294">
        <f t="shared" si="0"/>
        <v>0.23076923076923078</v>
      </c>
      <c r="H33" s="295">
        <f>_xlfn.XLOOKUP(C33,BASE01[COD],BASE01[Columna32],"")</f>
        <v>13</v>
      </c>
      <c r="I33" s="295">
        <f>_xlfn.XLOOKUP(C33,BASE01[COD],BASE01[Columna30],"")</f>
        <v>6</v>
      </c>
      <c r="J33" s="296">
        <f t="shared" si="1"/>
        <v>0.46153846153846156</v>
      </c>
      <c r="K33" s="297">
        <f>_xlfn.XLOOKUP(C33,BASE01[COD],BASE01[Columna32],"")</f>
        <v>13</v>
      </c>
      <c r="L33" s="297">
        <f>_xlfn.XLOOKUP(C33,BASE01[COD],BASE01[Columna34],"")</f>
        <v>10</v>
      </c>
      <c r="M33" s="298">
        <f t="shared" si="2"/>
        <v>0.76923076923076927</v>
      </c>
      <c r="N33" s="299">
        <f>_xlfn.XLOOKUP(C33,BASE01[COD],BASE01[Columna36],"")</f>
        <v>3</v>
      </c>
      <c r="O33" s="299">
        <f>_xlfn.XLOOKUP(C33,BASE01[COD],BASE01[Columna37],"")</f>
        <v>2</v>
      </c>
      <c r="P33" s="300">
        <f t="shared" si="3"/>
        <v>0.66666666666666663</v>
      </c>
      <c r="Q33" s="301">
        <f>_xlfn.XLOOKUP(C33,BASE01[COD],BASE01[Columna1],"")</f>
        <v>29</v>
      </c>
      <c r="R33" s="3"/>
      <c r="U33" s="388" t="str">
        <v>COD 18</v>
      </c>
      <c r="V33" s="388" t="str">
        <f t="shared" si="4"/>
        <v>COD 18</v>
      </c>
    </row>
    <row r="34" spans="1:22" s="388" customFormat="1" ht="23.1" customHeight="1" x14ac:dyDescent="0.35">
      <c r="A34" s="290"/>
      <c r="B34" s="302">
        <f t="shared" si="5"/>
        <v>30</v>
      </c>
      <c r="C34" s="543" t="str">
        <v>COD 01</v>
      </c>
      <c r="D34" s="292" t="str">
        <f>_xlfn.XLOOKUP(C34,CODIGOS_Y_PAGOS[CODIGO],CODIGOS_Y_PAGOS[NOMBRE PARTICIPANTE],"")</f>
        <v>GANADORES Y PULSO</v>
      </c>
      <c r="E34" s="293">
        <f>_xlfn.XLOOKUP($C34,BASE01[COD],BASE01[Columna14],"")</f>
        <v>13</v>
      </c>
      <c r="F34" s="293">
        <f>_xlfn.XLOOKUP(C34,BASE01[COD],BASE01[Columna19],"")</f>
        <v>3</v>
      </c>
      <c r="G34" s="294">
        <f t="shared" si="0"/>
        <v>0.23076923076923078</v>
      </c>
      <c r="H34" s="295">
        <f>_xlfn.XLOOKUP(C34,BASE01[COD],BASE01[Columna32],"")</f>
        <v>13</v>
      </c>
      <c r="I34" s="295">
        <f>_xlfn.XLOOKUP(C34,BASE01[COD],BASE01[Columna30],"")</f>
        <v>6</v>
      </c>
      <c r="J34" s="296">
        <f t="shared" si="1"/>
        <v>0.46153846153846156</v>
      </c>
      <c r="K34" s="297">
        <f>_xlfn.XLOOKUP(C34,BASE01[COD],BASE01[Columna32],"")</f>
        <v>13</v>
      </c>
      <c r="L34" s="297">
        <f>_xlfn.XLOOKUP(C34,BASE01[COD],BASE01[Columna34],"")</f>
        <v>11</v>
      </c>
      <c r="M34" s="298">
        <f t="shared" si="2"/>
        <v>0.84615384615384615</v>
      </c>
      <c r="N34" s="299">
        <f>_xlfn.XLOOKUP(C34,BASE01[COD],BASE01[Columna36],"")</f>
        <v>3</v>
      </c>
      <c r="O34" s="299">
        <f>_xlfn.XLOOKUP(C34,BASE01[COD],BASE01[Columna37],"")</f>
        <v>1</v>
      </c>
      <c r="P34" s="300">
        <f t="shared" si="3"/>
        <v>0.33333333333333331</v>
      </c>
      <c r="Q34" s="301">
        <f>_xlfn.XLOOKUP(C34,BASE01[COD],BASE01[Columna1],"")</f>
        <v>28</v>
      </c>
      <c r="R34" s="3"/>
      <c r="U34" s="388" t="str">
        <v>COD 01</v>
      </c>
      <c r="V34" s="388" t="str">
        <f t="shared" si="4"/>
        <v>COD 01</v>
      </c>
    </row>
    <row r="35" spans="1:22" s="388" customFormat="1" ht="23.1" customHeight="1" x14ac:dyDescent="0.35">
      <c r="A35" s="290"/>
      <c r="B35" s="302">
        <f t="shared" si="5"/>
        <v>31</v>
      </c>
      <c r="C35" s="543" t="str">
        <v>COD 14</v>
      </c>
      <c r="D35" s="292" t="str">
        <f>_xlfn.XLOOKUP(C35,CODIGOS_Y_PAGOS[CODIGO],CODIGOS_Y_PAGOS[NOMBRE PARTICIPANTE],"")</f>
        <v>PEDRO ALVAREZ</v>
      </c>
      <c r="E35" s="293">
        <f>_xlfn.XLOOKUP($C35,BASE01[COD],BASE01[Columna14],"")</f>
        <v>13</v>
      </c>
      <c r="F35" s="293">
        <f>_xlfn.XLOOKUP(C35,BASE01[COD],BASE01[Columna19],"")</f>
        <v>3</v>
      </c>
      <c r="G35" s="294">
        <f t="shared" si="0"/>
        <v>0.23076923076923078</v>
      </c>
      <c r="H35" s="295">
        <f>_xlfn.XLOOKUP(C35,BASE01[COD],BASE01[Columna32],"")</f>
        <v>13</v>
      </c>
      <c r="I35" s="295">
        <f>_xlfn.XLOOKUP(C35,BASE01[COD],BASE01[Columna30],"")</f>
        <v>7</v>
      </c>
      <c r="J35" s="296">
        <f t="shared" si="1"/>
        <v>0.53846153846153844</v>
      </c>
      <c r="K35" s="297">
        <f>_xlfn.XLOOKUP(C35,BASE01[COD],BASE01[Columna32],"")</f>
        <v>13</v>
      </c>
      <c r="L35" s="297">
        <f>_xlfn.XLOOKUP(C35,BASE01[COD],BASE01[Columna34],"")</f>
        <v>10</v>
      </c>
      <c r="M35" s="298">
        <f t="shared" si="2"/>
        <v>0.76923076923076927</v>
      </c>
      <c r="N35" s="299">
        <f>_xlfn.XLOOKUP(C35,BASE01[COD],BASE01[Columna36],"")</f>
        <v>3</v>
      </c>
      <c r="O35" s="299">
        <f>_xlfn.XLOOKUP(C35,BASE01[COD],BASE01[Columna37],"")</f>
        <v>0</v>
      </c>
      <c r="P35" s="300">
        <f t="shared" si="3"/>
        <v>0</v>
      </c>
      <c r="Q35" s="301">
        <f>_xlfn.XLOOKUP(C35,BASE01[COD],BASE01[Columna1],"")</f>
        <v>28</v>
      </c>
      <c r="R35" s="3"/>
      <c r="U35" s="388" t="str">
        <v>COD 14</v>
      </c>
      <c r="V35" s="388" t="str">
        <f t="shared" si="4"/>
        <v>COD 14</v>
      </c>
    </row>
    <row r="36" spans="1:22" s="388" customFormat="1" ht="23.1" customHeight="1" x14ac:dyDescent="0.35">
      <c r="A36" s="290"/>
      <c r="B36" s="302">
        <f t="shared" si="5"/>
        <v>32</v>
      </c>
      <c r="C36" s="543" t="str">
        <v>COD 04</v>
      </c>
      <c r="D36" s="292" t="str">
        <f>_xlfn.XLOOKUP(C36,CODIGOS_Y_PAGOS[CODIGO],CODIGOS_Y_PAGOS[NOMBRE PARTICIPANTE],"")</f>
        <v>EL HIPICO 701</v>
      </c>
      <c r="E36" s="293">
        <f>_xlfn.XLOOKUP($C36,BASE01[COD],BASE01[Columna14],"")</f>
        <v>13</v>
      </c>
      <c r="F36" s="293">
        <f>_xlfn.XLOOKUP(C36,BASE01[COD],BASE01[Columna19],"")</f>
        <v>5</v>
      </c>
      <c r="G36" s="294">
        <f t="shared" si="0"/>
        <v>0.38461538461538464</v>
      </c>
      <c r="H36" s="295">
        <f>_xlfn.XLOOKUP(C36,BASE01[COD],BASE01[Columna32],"")</f>
        <v>13</v>
      </c>
      <c r="I36" s="295">
        <f>_xlfn.XLOOKUP(C36,BASE01[COD],BASE01[Columna30],"")</f>
        <v>5</v>
      </c>
      <c r="J36" s="296">
        <f t="shared" si="1"/>
        <v>0.38461538461538464</v>
      </c>
      <c r="K36" s="297">
        <f>_xlfn.XLOOKUP(C36,BASE01[COD],BASE01[Columna32],"")</f>
        <v>13</v>
      </c>
      <c r="L36" s="297">
        <f>_xlfn.XLOOKUP(C36,BASE01[COD],BASE01[Columna34],"")</f>
        <v>6</v>
      </c>
      <c r="M36" s="298">
        <f t="shared" si="2"/>
        <v>0.46153846153846156</v>
      </c>
      <c r="N36" s="299">
        <f>_xlfn.XLOOKUP(C36,BASE01[COD],BASE01[Columna36],"")</f>
        <v>3</v>
      </c>
      <c r="O36" s="299">
        <f>_xlfn.XLOOKUP(C36,BASE01[COD],BASE01[Columna37],"")</f>
        <v>1</v>
      </c>
      <c r="P36" s="300">
        <f t="shared" si="3"/>
        <v>0.33333333333333331</v>
      </c>
      <c r="Q36" s="301">
        <f>_xlfn.XLOOKUP(C36,BASE01[COD],BASE01[Columna1],"")</f>
        <v>27</v>
      </c>
      <c r="R36" s="3"/>
      <c r="U36" s="388" t="str">
        <v>COD 04</v>
      </c>
      <c r="V36" s="388" t="str">
        <f t="shared" si="4"/>
        <v>COD 04</v>
      </c>
    </row>
    <row r="37" spans="1:22" s="388" customFormat="1" ht="23.1" customHeight="1" x14ac:dyDescent="0.35">
      <c r="A37" s="290"/>
      <c r="B37" s="302">
        <f t="shared" si="5"/>
        <v>33</v>
      </c>
      <c r="C37" s="543" t="str">
        <v>COD 06</v>
      </c>
      <c r="D37" s="292" t="str">
        <f>_xlfn.XLOOKUP(C37,CODIGOS_Y_PAGOS[CODIGO],CODIGOS_Y_PAGOS[NOMBRE PARTICIPANTE],"")</f>
        <v>JESUS ROJAS</v>
      </c>
      <c r="E37" s="293">
        <f>_xlfn.XLOOKUP($C37,BASE01[COD],BASE01[Columna14],"")</f>
        <v>13</v>
      </c>
      <c r="F37" s="293">
        <f>_xlfn.XLOOKUP(C37,BASE01[COD],BASE01[Columna19],"")</f>
        <v>5</v>
      </c>
      <c r="G37" s="294">
        <f t="shared" ref="G37:G54" si="6">IFERROR(+F37/E37,"0,00")</f>
        <v>0.38461538461538464</v>
      </c>
      <c r="H37" s="295">
        <f>_xlfn.XLOOKUP(C37,BASE01[COD],BASE01[Columna32],"")</f>
        <v>13</v>
      </c>
      <c r="I37" s="295">
        <f>_xlfn.XLOOKUP(C37,BASE01[COD],BASE01[Columna30],"")</f>
        <v>6</v>
      </c>
      <c r="J37" s="296">
        <f t="shared" ref="J37:J54" si="7">IFERROR(+I37/H37,"0,00")</f>
        <v>0.46153846153846156</v>
      </c>
      <c r="K37" s="297">
        <f>_xlfn.XLOOKUP(C37,BASE01[COD],BASE01[Columna32],"")</f>
        <v>13</v>
      </c>
      <c r="L37" s="297">
        <f>_xlfn.XLOOKUP(C37,BASE01[COD],BASE01[Columna34],"")</f>
        <v>7</v>
      </c>
      <c r="M37" s="298">
        <f t="shared" ref="M37:M54" si="8">IFERROR(+L37/K37,"0,00")</f>
        <v>0.53846153846153844</v>
      </c>
      <c r="N37" s="299">
        <f>_xlfn.XLOOKUP(C37,BASE01[COD],BASE01[Columna36],"")</f>
        <v>2</v>
      </c>
      <c r="O37" s="299">
        <f>_xlfn.XLOOKUP(C37,BASE01[COD],BASE01[Columna37],"")</f>
        <v>1</v>
      </c>
      <c r="P37" s="300">
        <f t="shared" ref="P37:P54" si="9">IFERROR(+O37/N37,"0,00")</f>
        <v>0.5</v>
      </c>
      <c r="Q37" s="301">
        <f>_xlfn.XLOOKUP(C37,BASE01[COD],BASE01[Columna1],"")</f>
        <v>27</v>
      </c>
      <c r="R37" s="3"/>
      <c r="U37" s="388" t="str">
        <v>COD 06</v>
      </c>
      <c r="V37" s="388" t="str">
        <f t="shared" si="4"/>
        <v>COD 06</v>
      </c>
    </row>
    <row r="38" spans="1:22" s="388" customFormat="1" ht="23.1" customHeight="1" x14ac:dyDescent="0.35">
      <c r="A38" s="290"/>
      <c r="B38" s="302">
        <f t="shared" ref="B38:B54" si="10">+B37+1</f>
        <v>34</v>
      </c>
      <c r="C38" s="543" t="str">
        <v>COD 13</v>
      </c>
      <c r="D38" s="292" t="str">
        <f>_xlfn.XLOOKUP(C38,CODIGOS_Y_PAGOS[CODIGO],CODIGOS_Y_PAGOS[NOMBRE PARTICIPANTE],"")</f>
        <v>NOTAS HIPICAS</v>
      </c>
      <c r="E38" s="293">
        <f>_xlfn.XLOOKUP($C38,BASE01[COD],BASE01[Columna14],"")</f>
        <v>13</v>
      </c>
      <c r="F38" s="293">
        <f>_xlfn.XLOOKUP(C38,BASE01[COD],BASE01[Columna19],"")</f>
        <v>3</v>
      </c>
      <c r="G38" s="294">
        <f t="shared" si="6"/>
        <v>0.23076923076923078</v>
      </c>
      <c r="H38" s="295">
        <f>_xlfn.XLOOKUP(C38,BASE01[COD],BASE01[Columna32],"")</f>
        <v>13</v>
      </c>
      <c r="I38" s="295">
        <f>_xlfn.XLOOKUP(C38,BASE01[COD],BASE01[Columna30],"")</f>
        <v>6</v>
      </c>
      <c r="J38" s="296">
        <f t="shared" si="7"/>
        <v>0.46153846153846156</v>
      </c>
      <c r="K38" s="297">
        <f>_xlfn.XLOOKUP(C38,BASE01[COD],BASE01[Columna32],"")</f>
        <v>13</v>
      </c>
      <c r="L38" s="297">
        <f>_xlfn.XLOOKUP(C38,BASE01[COD],BASE01[Columna34],"")</f>
        <v>8</v>
      </c>
      <c r="M38" s="298">
        <f t="shared" si="8"/>
        <v>0.61538461538461542</v>
      </c>
      <c r="N38" s="299">
        <f>_xlfn.XLOOKUP(C38,BASE01[COD],BASE01[Columna36],"")</f>
        <v>3</v>
      </c>
      <c r="O38" s="299">
        <f>_xlfn.XLOOKUP(C38,BASE01[COD],BASE01[Columna37],"")</f>
        <v>2</v>
      </c>
      <c r="P38" s="300">
        <f t="shared" si="9"/>
        <v>0.66666666666666663</v>
      </c>
      <c r="Q38" s="301">
        <f>_xlfn.XLOOKUP(C38,BASE01[COD],BASE01[Columna1],"")</f>
        <v>27</v>
      </c>
      <c r="R38" s="3"/>
      <c r="U38" s="388" t="str">
        <v>COD 13</v>
      </c>
      <c r="V38" s="388" t="str">
        <f t="shared" si="4"/>
        <v>COD 13</v>
      </c>
    </row>
    <row r="39" spans="1:22" s="388" customFormat="1" ht="23.1" customHeight="1" x14ac:dyDescent="0.35">
      <c r="A39" s="290"/>
      <c r="B39" s="302">
        <f t="shared" si="10"/>
        <v>35</v>
      </c>
      <c r="C39" s="543" t="str">
        <v>COD 07</v>
      </c>
      <c r="D39" s="292" t="str">
        <f>_xlfn.XLOOKUP(C39,CODIGOS_Y_PAGOS[CODIGO],CODIGOS_Y_PAGOS[NOMBRE PARTICIPANTE],"")</f>
        <v>NELSON OSORIO</v>
      </c>
      <c r="E39" s="293">
        <f>_xlfn.XLOOKUP($C39,BASE01[COD],BASE01[Columna14],"")</f>
        <v>13</v>
      </c>
      <c r="F39" s="293">
        <f>_xlfn.XLOOKUP(C39,BASE01[COD],BASE01[Columna19],"")</f>
        <v>4</v>
      </c>
      <c r="G39" s="294">
        <f t="shared" si="6"/>
        <v>0.30769230769230771</v>
      </c>
      <c r="H39" s="295">
        <f>_xlfn.XLOOKUP(C39,BASE01[COD],BASE01[Columna32],"")</f>
        <v>13</v>
      </c>
      <c r="I39" s="295">
        <f>_xlfn.XLOOKUP(C39,BASE01[COD],BASE01[Columna30],"")</f>
        <v>5</v>
      </c>
      <c r="J39" s="296">
        <f t="shared" si="7"/>
        <v>0.38461538461538464</v>
      </c>
      <c r="K39" s="297">
        <f>_xlfn.XLOOKUP(C39,BASE01[COD],BASE01[Columna32],"")</f>
        <v>13</v>
      </c>
      <c r="L39" s="297">
        <f>_xlfn.XLOOKUP(C39,BASE01[COD],BASE01[Columna34],"")</f>
        <v>7</v>
      </c>
      <c r="M39" s="298">
        <f t="shared" si="8"/>
        <v>0.53846153846153844</v>
      </c>
      <c r="N39" s="299">
        <f>_xlfn.XLOOKUP(C39,BASE01[COD],BASE01[Columna36],"")</f>
        <v>3</v>
      </c>
      <c r="O39" s="299">
        <f>_xlfn.XLOOKUP(C39,BASE01[COD],BASE01[Columna37],"")</f>
        <v>2</v>
      </c>
      <c r="P39" s="300">
        <f t="shared" si="9"/>
        <v>0.66666666666666663</v>
      </c>
      <c r="Q39" s="301">
        <f>_xlfn.XLOOKUP(C39,BASE01[COD],BASE01[Columna1],"")</f>
        <v>26</v>
      </c>
      <c r="R39" s="3"/>
      <c r="U39" s="388" t="str">
        <v>COD 07</v>
      </c>
      <c r="V39" s="388" t="str">
        <f t="shared" si="4"/>
        <v>COD 07</v>
      </c>
    </row>
    <row r="40" spans="1:22" s="388" customFormat="1" ht="23.1" customHeight="1" x14ac:dyDescent="0.35">
      <c r="A40" s="290"/>
      <c r="B40" s="302">
        <f t="shared" si="10"/>
        <v>36</v>
      </c>
      <c r="C40" s="543" t="str">
        <v>COD 12</v>
      </c>
      <c r="D40" s="292">
        <f>_xlfn.XLOOKUP(C40,CODIGOS_Y_PAGOS[CODIGO],CODIGOS_Y_PAGOS[NOMBRE PARTICIPANTE],"")</f>
        <v>0</v>
      </c>
      <c r="E40" s="293">
        <f>_xlfn.XLOOKUP($C40,BASE01[COD],BASE01[Columna14],"")</f>
        <v>13</v>
      </c>
      <c r="F40" s="293">
        <f>_xlfn.XLOOKUP(C40,BASE01[COD],BASE01[Columna19],"")</f>
        <v>3</v>
      </c>
      <c r="G40" s="294">
        <f t="shared" si="6"/>
        <v>0.23076923076923078</v>
      </c>
      <c r="H40" s="295">
        <f>_xlfn.XLOOKUP(C40,BASE01[COD],BASE01[Columna32],"")</f>
        <v>13</v>
      </c>
      <c r="I40" s="295">
        <f>_xlfn.XLOOKUP(C40,BASE01[COD],BASE01[Columna30],"")</f>
        <v>9</v>
      </c>
      <c r="J40" s="296">
        <f t="shared" si="7"/>
        <v>0.69230769230769229</v>
      </c>
      <c r="K40" s="297">
        <f>_xlfn.XLOOKUP(C40,BASE01[COD],BASE01[Columna32],"")</f>
        <v>13</v>
      </c>
      <c r="L40" s="297">
        <f>_xlfn.XLOOKUP(C40,BASE01[COD],BASE01[Columna34],"")</f>
        <v>9</v>
      </c>
      <c r="M40" s="298">
        <f t="shared" si="8"/>
        <v>0.69230769230769229</v>
      </c>
      <c r="N40" s="299">
        <f>_xlfn.XLOOKUP(C40,BASE01[COD],BASE01[Columna36],"")</f>
        <v>2</v>
      </c>
      <c r="O40" s="299">
        <f>_xlfn.XLOOKUP(C40,BASE01[COD],BASE01[Columna37],"")</f>
        <v>1</v>
      </c>
      <c r="P40" s="300">
        <f t="shared" si="9"/>
        <v>0.5</v>
      </c>
      <c r="Q40" s="301">
        <f>_xlfn.XLOOKUP(C40,BASE01[COD],BASE01[Columna1],"")</f>
        <v>26</v>
      </c>
      <c r="R40" s="3"/>
      <c r="U40" s="388" t="str">
        <v>COD 12</v>
      </c>
      <c r="V40" s="388" t="str">
        <f t="shared" si="4"/>
        <v>COD 12</v>
      </c>
    </row>
    <row r="41" spans="1:22" s="388" customFormat="1" ht="23.1" customHeight="1" x14ac:dyDescent="0.35">
      <c r="A41" s="290"/>
      <c r="B41" s="302">
        <f t="shared" si="10"/>
        <v>37</v>
      </c>
      <c r="C41" s="543" t="str">
        <v>COD 24</v>
      </c>
      <c r="D41" s="292">
        <f>_xlfn.XLOOKUP(C41,CODIGOS_Y_PAGOS[CODIGO],CODIGOS_Y_PAGOS[NOMBRE PARTICIPANTE],"")</f>
        <v>0</v>
      </c>
      <c r="E41" s="293">
        <f>_xlfn.XLOOKUP($C41,BASE01[COD],BASE01[Columna14],"")</f>
        <v>13</v>
      </c>
      <c r="F41" s="293">
        <f>_xlfn.XLOOKUP(C41,BASE01[COD],BASE01[Columna19],"")</f>
        <v>4</v>
      </c>
      <c r="G41" s="294">
        <f t="shared" si="6"/>
        <v>0.30769230769230771</v>
      </c>
      <c r="H41" s="295">
        <f>_xlfn.XLOOKUP(C41,BASE01[COD],BASE01[Columna32],"")</f>
        <v>13</v>
      </c>
      <c r="I41" s="295">
        <f>_xlfn.XLOOKUP(C41,BASE01[COD],BASE01[Columna30],"")</f>
        <v>6</v>
      </c>
      <c r="J41" s="296">
        <f t="shared" si="7"/>
        <v>0.46153846153846156</v>
      </c>
      <c r="K41" s="297">
        <f>_xlfn.XLOOKUP(C41,BASE01[COD],BASE01[Columna32],"")</f>
        <v>13</v>
      </c>
      <c r="L41" s="297">
        <f>_xlfn.XLOOKUP(C41,BASE01[COD],BASE01[Columna34],"")</f>
        <v>7</v>
      </c>
      <c r="M41" s="298">
        <f t="shared" si="8"/>
        <v>0.53846153846153844</v>
      </c>
      <c r="N41" s="299">
        <f>_xlfn.XLOOKUP(C41,BASE01[COD],BASE01[Columna36],"")</f>
        <v>3</v>
      </c>
      <c r="O41" s="299">
        <f>_xlfn.XLOOKUP(C41,BASE01[COD],BASE01[Columna37],"")</f>
        <v>2</v>
      </c>
      <c r="P41" s="300">
        <f t="shared" si="9"/>
        <v>0.66666666666666663</v>
      </c>
      <c r="Q41" s="301">
        <f>_xlfn.XLOOKUP(C41,BASE01[COD],BASE01[Columna1],"")</f>
        <v>26</v>
      </c>
      <c r="R41" s="3"/>
      <c r="U41" s="388" t="str">
        <v>COD 24</v>
      </c>
      <c r="V41" s="388" t="str">
        <f t="shared" si="4"/>
        <v>COD 24</v>
      </c>
    </row>
    <row r="42" spans="1:22" s="388" customFormat="1" ht="23.1" customHeight="1" x14ac:dyDescent="0.35">
      <c r="A42" s="290"/>
      <c r="B42" s="302">
        <f t="shared" si="10"/>
        <v>38</v>
      </c>
      <c r="C42" s="543" t="str">
        <v>COD 30</v>
      </c>
      <c r="D42" s="292" t="str">
        <f>_xlfn.XLOOKUP(C42,CODIGOS_Y_PAGOS[CODIGO],CODIGOS_Y_PAGOS[NOMBRE PARTICIPANTE],"")</f>
        <v>CARIACO</v>
      </c>
      <c r="E42" s="293">
        <f>_xlfn.XLOOKUP($C42,BASE01[COD],BASE01[Columna14],"")</f>
        <v>13</v>
      </c>
      <c r="F42" s="293">
        <f>_xlfn.XLOOKUP(C42,BASE01[COD],BASE01[Columna19],"")</f>
        <v>3</v>
      </c>
      <c r="G42" s="294">
        <f t="shared" si="6"/>
        <v>0.23076923076923078</v>
      </c>
      <c r="H42" s="295">
        <f>_xlfn.XLOOKUP(C42,BASE01[COD],BASE01[Columna32],"")</f>
        <v>13</v>
      </c>
      <c r="I42" s="295">
        <f>_xlfn.XLOOKUP(C42,BASE01[COD],BASE01[Columna30],"")</f>
        <v>6</v>
      </c>
      <c r="J42" s="296">
        <f t="shared" si="7"/>
        <v>0.46153846153846156</v>
      </c>
      <c r="K42" s="297">
        <f>_xlfn.XLOOKUP(C42,BASE01[COD],BASE01[Columna32],"")</f>
        <v>13</v>
      </c>
      <c r="L42" s="297">
        <f>_xlfn.XLOOKUP(C42,BASE01[COD],BASE01[Columna34],"")</f>
        <v>7</v>
      </c>
      <c r="M42" s="298">
        <f t="shared" si="8"/>
        <v>0.53846153846153844</v>
      </c>
      <c r="N42" s="299">
        <f>_xlfn.XLOOKUP(C42,BASE01[COD],BASE01[Columna36],"")</f>
        <v>3</v>
      </c>
      <c r="O42" s="299">
        <f>_xlfn.XLOOKUP(C42,BASE01[COD],BASE01[Columna37],"")</f>
        <v>2</v>
      </c>
      <c r="P42" s="300">
        <f t="shared" si="9"/>
        <v>0.66666666666666663</v>
      </c>
      <c r="Q42" s="301">
        <f>_xlfn.XLOOKUP(C42,BASE01[COD],BASE01[Columna1],"")</f>
        <v>22</v>
      </c>
      <c r="R42" s="3"/>
      <c r="U42" s="388" t="str">
        <v>COD 30</v>
      </c>
      <c r="V42" s="388" t="str">
        <f t="shared" si="4"/>
        <v>COD 30</v>
      </c>
    </row>
    <row r="43" spans="1:22" s="388" customFormat="1" ht="23.1" customHeight="1" outlineLevel="1" x14ac:dyDescent="0.35">
      <c r="A43" s="290"/>
      <c r="B43" s="302">
        <f t="shared" si="10"/>
        <v>39</v>
      </c>
      <c r="C43" s="543" t="str">
        <v>COD 39</v>
      </c>
      <c r="D43" s="292" t="str">
        <f>_xlfn.XLOOKUP(C43,CODIGOS_Y_PAGOS[CODIGO],CODIGOS_Y_PAGOS[NOMBRE PARTICIPANTE],"")</f>
        <v>EL TAMAO</v>
      </c>
      <c r="E43" s="293">
        <f>_xlfn.XLOOKUP($C43,BASE01[COD],BASE01[Columna14],"")</f>
        <v>0</v>
      </c>
      <c r="F43" s="293">
        <f>_xlfn.XLOOKUP(C43,BASE01[COD],BASE01[Columna19],"")</f>
        <v>0</v>
      </c>
      <c r="G43" s="294" t="str">
        <f t="shared" si="6"/>
        <v>0,00</v>
      </c>
      <c r="H43" s="295">
        <f>_xlfn.XLOOKUP(C43,BASE01[COD],BASE01[Columna32],"")</f>
        <v>0</v>
      </c>
      <c r="I43" s="295">
        <f>_xlfn.XLOOKUP(C43,BASE01[COD],BASE01[Columna30],"")</f>
        <v>0</v>
      </c>
      <c r="J43" s="296" t="str">
        <f t="shared" si="7"/>
        <v>0,00</v>
      </c>
      <c r="K43" s="297">
        <f>_xlfn.XLOOKUP(C43,BASE01[COD],BASE01[Columna32],"")</f>
        <v>0</v>
      </c>
      <c r="L43" s="297">
        <f>_xlfn.XLOOKUP(C43,BASE01[COD],BASE01[Columna34],"")</f>
        <v>0</v>
      </c>
      <c r="M43" s="298" t="str">
        <f t="shared" si="8"/>
        <v>0,00</v>
      </c>
      <c r="N43" s="299">
        <f>_xlfn.XLOOKUP(C43,BASE01[COD],BASE01[Columna36],"")</f>
        <v>0</v>
      </c>
      <c r="O43" s="299">
        <f>_xlfn.XLOOKUP(C43,BASE01[COD],BASE01[Columna37],"")</f>
        <v>0</v>
      </c>
      <c r="P43" s="300" t="str">
        <f t="shared" si="9"/>
        <v>0,00</v>
      </c>
      <c r="Q43" s="301">
        <f>_xlfn.XLOOKUP(C43,BASE01[COD],BASE01[Columna1],"")</f>
        <v>0</v>
      </c>
      <c r="R43" s="3"/>
      <c r="U43" s="388" t="str">
        <v>COD 39</v>
      </c>
      <c r="V43" s="388" t="str">
        <f t="shared" si="4"/>
        <v>COD 39</v>
      </c>
    </row>
    <row r="44" spans="1:22" s="388" customFormat="1" ht="23.1" customHeight="1" outlineLevel="1" x14ac:dyDescent="0.35">
      <c r="A44" s="290"/>
      <c r="B44" s="302">
        <f t="shared" si="10"/>
        <v>40</v>
      </c>
      <c r="C44" s="543" t="str">
        <v>COD 40</v>
      </c>
      <c r="D44" s="292" t="str">
        <f>_xlfn.XLOOKUP(C44,CODIGOS_Y_PAGOS[CODIGO],CODIGOS_Y_PAGOS[NOMBRE PARTICIPANTE],"")</f>
        <v>FRED</v>
      </c>
      <c r="E44" s="293">
        <f>_xlfn.XLOOKUP($C44,BASE01[COD],BASE01[Columna14],"")</f>
        <v>0</v>
      </c>
      <c r="F44" s="293">
        <f>_xlfn.XLOOKUP(C44,BASE01[COD],BASE01[Columna19],"")</f>
        <v>0</v>
      </c>
      <c r="G44" s="294" t="str">
        <f t="shared" si="6"/>
        <v>0,00</v>
      </c>
      <c r="H44" s="295">
        <f>_xlfn.XLOOKUP(C44,BASE01[COD],BASE01[Columna32],"")</f>
        <v>0</v>
      </c>
      <c r="I44" s="295">
        <f>_xlfn.XLOOKUP(C44,BASE01[COD],BASE01[Columna30],"")</f>
        <v>0</v>
      </c>
      <c r="J44" s="296" t="str">
        <f t="shared" si="7"/>
        <v>0,00</v>
      </c>
      <c r="K44" s="297">
        <f>_xlfn.XLOOKUP(C44,BASE01[COD],BASE01[Columna32],"")</f>
        <v>0</v>
      </c>
      <c r="L44" s="297">
        <f>_xlfn.XLOOKUP(C44,BASE01[COD],BASE01[Columna34],"")</f>
        <v>0</v>
      </c>
      <c r="M44" s="298" t="str">
        <f t="shared" si="8"/>
        <v>0,00</v>
      </c>
      <c r="N44" s="299">
        <f>_xlfn.XLOOKUP(C44,BASE01[COD],BASE01[Columna36],"")</f>
        <v>0</v>
      </c>
      <c r="O44" s="299">
        <f>_xlfn.XLOOKUP(C44,BASE01[COD],BASE01[Columna37],"")</f>
        <v>0</v>
      </c>
      <c r="P44" s="300" t="str">
        <f t="shared" si="9"/>
        <v>0,00</v>
      </c>
      <c r="Q44" s="301">
        <f>_xlfn.XLOOKUP(C44,BASE01[COD],BASE01[Columna1],"")</f>
        <v>0</v>
      </c>
      <c r="R44" s="3"/>
      <c r="U44" s="388" t="str">
        <v>COD 40</v>
      </c>
      <c r="V44" s="388" t="str">
        <f t="shared" si="4"/>
        <v>COD 40</v>
      </c>
    </row>
    <row r="45" spans="1:22" s="388" customFormat="1" ht="23.1" customHeight="1" outlineLevel="1" x14ac:dyDescent="0.35">
      <c r="A45" s="290"/>
      <c r="B45" s="302">
        <f t="shared" si="10"/>
        <v>41</v>
      </c>
      <c r="C45" s="543" t="str">
        <v>COD 41</v>
      </c>
      <c r="D45" s="292" t="str">
        <f>_xlfn.XLOOKUP(C45,CODIGOS_Y_PAGOS[CODIGO],CODIGOS_Y_PAGOS[NOMBRE PARTICIPANTE],"")</f>
        <v>ENRIQUE LEFEBRE</v>
      </c>
      <c r="E45" s="293">
        <f>_xlfn.XLOOKUP($C45,BASE01[COD],BASE01[Columna14],"")</f>
        <v>0</v>
      </c>
      <c r="F45" s="293">
        <f>_xlfn.XLOOKUP(C45,BASE01[COD],BASE01[Columna19],"")</f>
        <v>0</v>
      </c>
      <c r="G45" s="294" t="str">
        <f t="shared" si="6"/>
        <v>0,00</v>
      </c>
      <c r="H45" s="295">
        <f>_xlfn.XLOOKUP(C45,BASE01[COD],BASE01[Columna32],"")</f>
        <v>0</v>
      </c>
      <c r="I45" s="295">
        <f>_xlfn.XLOOKUP(C45,BASE01[COD],BASE01[Columna30],"")</f>
        <v>0</v>
      </c>
      <c r="J45" s="296" t="str">
        <f t="shared" si="7"/>
        <v>0,00</v>
      </c>
      <c r="K45" s="297">
        <f>_xlfn.XLOOKUP(C45,BASE01[COD],BASE01[Columna32],"")</f>
        <v>0</v>
      </c>
      <c r="L45" s="297">
        <f>_xlfn.XLOOKUP(C45,BASE01[COD],BASE01[Columna34],"")</f>
        <v>0</v>
      </c>
      <c r="M45" s="298" t="str">
        <f t="shared" si="8"/>
        <v>0,00</v>
      </c>
      <c r="N45" s="299">
        <f>_xlfn.XLOOKUP(C45,BASE01[COD],BASE01[Columna36],"")</f>
        <v>0</v>
      </c>
      <c r="O45" s="299">
        <f>_xlfn.XLOOKUP(C45,BASE01[COD],BASE01[Columna37],"")</f>
        <v>0</v>
      </c>
      <c r="P45" s="300" t="str">
        <f t="shared" si="9"/>
        <v>0,00</v>
      </c>
      <c r="Q45" s="301">
        <f>_xlfn.XLOOKUP(C45,BASE01[COD],BASE01[Columna1],"")</f>
        <v>0</v>
      </c>
      <c r="R45" s="3"/>
      <c r="U45" s="388" t="str">
        <v>COD 41</v>
      </c>
      <c r="V45" s="388" t="str">
        <f t="shared" si="4"/>
        <v>COD 41</v>
      </c>
    </row>
    <row r="46" spans="1:22" s="388" customFormat="1" ht="23.1" customHeight="1" outlineLevel="1" x14ac:dyDescent="0.35">
      <c r="A46" s="290"/>
      <c r="B46" s="302">
        <f t="shared" si="10"/>
        <v>42</v>
      </c>
      <c r="C46" s="543" t="str">
        <v>COD 42</v>
      </c>
      <c r="D46" s="292">
        <f>_xlfn.XLOOKUP(C46,CODIGOS_Y_PAGOS[CODIGO],CODIGOS_Y_PAGOS[NOMBRE PARTICIPANTE],"")</f>
        <v>0</v>
      </c>
      <c r="E46" s="293">
        <f>_xlfn.XLOOKUP($C46,BASE01[COD],BASE01[Columna14],"")</f>
        <v>0</v>
      </c>
      <c r="F46" s="293">
        <f>_xlfn.XLOOKUP(C46,BASE01[COD],BASE01[Columna19],"")</f>
        <v>0</v>
      </c>
      <c r="G46" s="294" t="str">
        <f t="shared" si="6"/>
        <v>0,00</v>
      </c>
      <c r="H46" s="295">
        <f>_xlfn.XLOOKUP(C46,BASE01[COD],BASE01[Columna32],"")</f>
        <v>0</v>
      </c>
      <c r="I46" s="295">
        <f>_xlfn.XLOOKUP(C46,BASE01[COD],BASE01[Columna30],"")</f>
        <v>0</v>
      </c>
      <c r="J46" s="296" t="str">
        <f t="shared" si="7"/>
        <v>0,00</v>
      </c>
      <c r="K46" s="297">
        <f>_xlfn.XLOOKUP(C46,BASE01[COD],BASE01[Columna32],"")</f>
        <v>0</v>
      </c>
      <c r="L46" s="297">
        <f>_xlfn.XLOOKUP(C46,BASE01[COD],BASE01[Columna34],"")</f>
        <v>0</v>
      </c>
      <c r="M46" s="298" t="str">
        <f t="shared" si="8"/>
        <v>0,00</v>
      </c>
      <c r="N46" s="299">
        <f>_xlfn.XLOOKUP(C46,BASE01[COD],BASE01[Columna36],"")</f>
        <v>0</v>
      </c>
      <c r="O46" s="299">
        <f>_xlfn.XLOOKUP(C46,BASE01[COD],BASE01[Columna37],"")</f>
        <v>0</v>
      </c>
      <c r="P46" s="300" t="str">
        <f t="shared" si="9"/>
        <v>0,00</v>
      </c>
      <c r="Q46" s="301">
        <f>_xlfn.XLOOKUP(C46,BASE01[COD],BASE01[Columna1],"")</f>
        <v>0</v>
      </c>
      <c r="R46" s="3"/>
      <c r="U46" s="388" t="str">
        <v>COD 42</v>
      </c>
      <c r="V46" s="388" t="str">
        <f t="shared" si="4"/>
        <v>COD 42</v>
      </c>
    </row>
    <row r="47" spans="1:22" s="388" customFormat="1" ht="23.1" customHeight="1" outlineLevel="1" x14ac:dyDescent="0.35">
      <c r="A47" s="290"/>
      <c r="B47" s="304">
        <f t="shared" si="10"/>
        <v>43</v>
      </c>
      <c r="C47" s="543" t="str">
        <v>COD 43</v>
      </c>
      <c r="D47" s="292" t="e">
        <f>VLOOKUP(C$5:C$54,'[2]NOMBRES COD'!B$4:C$53,2,FALSE)</f>
        <v>#N/A</v>
      </c>
      <c r="E47" s="293">
        <f>_xlfn.XLOOKUP($C47,BASE01[COD],BASE01[Columna14],"")</f>
        <v>0</v>
      </c>
      <c r="F47" s="293">
        <f>_xlfn.XLOOKUP(C47,BASE01[COD],BASE01[Columna19],"")</f>
        <v>0</v>
      </c>
      <c r="G47" s="294" t="str">
        <f t="shared" si="6"/>
        <v>0,00</v>
      </c>
      <c r="H47" s="295">
        <f>_xlfn.XLOOKUP(C47,BASE01[COD],BASE01[Columna32],"")</f>
        <v>0</v>
      </c>
      <c r="I47" s="295">
        <f>_xlfn.XLOOKUP(C47,BASE01[COD],BASE01[Columna30],"")</f>
        <v>0</v>
      </c>
      <c r="J47" s="296" t="str">
        <f t="shared" si="7"/>
        <v>0,00</v>
      </c>
      <c r="K47" s="297">
        <f>_xlfn.XLOOKUP(C47,BASE01[COD],BASE01[Columna32],"")</f>
        <v>0</v>
      </c>
      <c r="L47" s="297">
        <f>_xlfn.XLOOKUP(C47,BASE01[COD],BASE01[Columna34],"")</f>
        <v>0</v>
      </c>
      <c r="M47" s="298" t="str">
        <f t="shared" si="8"/>
        <v>0,00</v>
      </c>
      <c r="N47" s="299">
        <f>_xlfn.XLOOKUP(C47,BASE01[COD],BASE01[Columna36],"")</f>
        <v>0</v>
      </c>
      <c r="O47" s="299">
        <f>_xlfn.XLOOKUP(C47,BASE01[COD],BASE01[Columna37],"")</f>
        <v>0</v>
      </c>
      <c r="P47" s="300" t="str">
        <f t="shared" si="9"/>
        <v>0,00</v>
      </c>
      <c r="Q47" s="301">
        <f>_xlfn.XLOOKUP(C47,BASE01[COD],BASE01[Columna1],"")</f>
        <v>0</v>
      </c>
      <c r="R47" s="3"/>
    </row>
    <row r="48" spans="1:22" s="388" customFormat="1" ht="23.1" customHeight="1" outlineLevel="1" x14ac:dyDescent="0.35">
      <c r="A48" s="290"/>
      <c r="B48" s="304">
        <f t="shared" si="10"/>
        <v>44</v>
      </c>
      <c r="C48" s="543" t="str">
        <v>COD 44</v>
      </c>
      <c r="D48" s="292" t="e">
        <f>VLOOKUP(C$5:C$54,'[2]NOMBRES COD'!B$4:C$53,2,FALSE)</f>
        <v>#N/A</v>
      </c>
      <c r="E48" s="293">
        <f>_xlfn.XLOOKUP($C48,BASE01[COD],BASE01[Columna14],"")</f>
        <v>0</v>
      </c>
      <c r="F48" s="293">
        <f>_xlfn.XLOOKUP(C48,BASE01[COD],BASE01[Columna19],"")</f>
        <v>0</v>
      </c>
      <c r="G48" s="294" t="str">
        <f t="shared" si="6"/>
        <v>0,00</v>
      </c>
      <c r="H48" s="295">
        <f>_xlfn.XLOOKUP(C48,BASE01[COD],BASE01[Columna32],"")</f>
        <v>0</v>
      </c>
      <c r="I48" s="295">
        <f>_xlfn.XLOOKUP(C48,BASE01[COD],BASE01[Columna30],"")</f>
        <v>0</v>
      </c>
      <c r="J48" s="296" t="str">
        <f t="shared" si="7"/>
        <v>0,00</v>
      </c>
      <c r="K48" s="297">
        <f>_xlfn.XLOOKUP(C48,BASE01[COD],BASE01[Columna32],"")</f>
        <v>0</v>
      </c>
      <c r="L48" s="297">
        <f>_xlfn.XLOOKUP(C48,BASE01[COD],BASE01[Columna34],"")</f>
        <v>0</v>
      </c>
      <c r="M48" s="298" t="str">
        <f t="shared" si="8"/>
        <v>0,00</v>
      </c>
      <c r="N48" s="299">
        <f>_xlfn.XLOOKUP(C48,BASE01[COD],BASE01[Columna36],"")</f>
        <v>0</v>
      </c>
      <c r="O48" s="299">
        <f>_xlfn.XLOOKUP(C48,BASE01[COD],BASE01[Columna37],"")</f>
        <v>0</v>
      </c>
      <c r="P48" s="300" t="str">
        <f t="shared" si="9"/>
        <v>0,00</v>
      </c>
      <c r="Q48" s="301">
        <f>_xlfn.XLOOKUP(C48,BASE01[COD],BASE01[Columna1],"")</f>
        <v>0</v>
      </c>
      <c r="R48" s="3"/>
    </row>
    <row r="49" spans="1:47" s="388" customFormat="1" ht="23.1" customHeight="1" outlineLevel="1" x14ac:dyDescent="0.35">
      <c r="A49" s="290"/>
      <c r="B49" s="304">
        <f t="shared" si="10"/>
        <v>45</v>
      </c>
      <c r="C49" s="543" t="str">
        <v>COD 45</v>
      </c>
      <c r="D49" s="292" t="e">
        <f>VLOOKUP(C$5:C$54,'[2]NOMBRES COD'!B$4:C$53,2,FALSE)</f>
        <v>#N/A</v>
      </c>
      <c r="E49" s="293">
        <f>_xlfn.XLOOKUP($C49,BASE01[COD],BASE01[Columna14],"")</f>
        <v>0</v>
      </c>
      <c r="F49" s="293">
        <f>_xlfn.XLOOKUP(C49,BASE01[COD],BASE01[Columna19],"")</f>
        <v>0</v>
      </c>
      <c r="G49" s="294" t="str">
        <f t="shared" si="6"/>
        <v>0,00</v>
      </c>
      <c r="H49" s="295">
        <f>_xlfn.XLOOKUP(C49,BASE01[COD],BASE01[Columna32],"")</f>
        <v>0</v>
      </c>
      <c r="I49" s="295">
        <f>_xlfn.XLOOKUP(C49,BASE01[COD],BASE01[Columna30],"")</f>
        <v>0</v>
      </c>
      <c r="J49" s="296" t="str">
        <f t="shared" si="7"/>
        <v>0,00</v>
      </c>
      <c r="K49" s="297">
        <f>_xlfn.XLOOKUP(C49,BASE01[COD],BASE01[Columna32],"")</f>
        <v>0</v>
      </c>
      <c r="L49" s="297">
        <f>_xlfn.XLOOKUP(C49,BASE01[COD],BASE01[Columna34],"")</f>
        <v>0</v>
      </c>
      <c r="M49" s="298" t="str">
        <f t="shared" si="8"/>
        <v>0,00</v>
      </c>
      <c r="N49" s="299">
        <f>_xlfn.XLOOKUP(C49,BASE01[COD],BASE01[Columna36],"")</f>
        <v>0</v>
      </c>
      <c r="O49" s="299">
        <f>_xlfn.XLOOKUP(C49,BASE01[COD],BASE01[Columna37],"")</f>
        <v>0</v>
      </c>
      <c r="P49" s="300" t="str">
        <f t="shared" si="9"/>
        <v>0,00</v>
      </c>
      <c r="Q49" s="301">
        <f>_xlfn.XLOOKUP(C49,BASE01[COD],BASE01[Columna1],"")</f>
        <v>0</v>
      </c>
      <c r="R49" s="3"/>
    </row>
    <row r="50" spans="1:47" s="388" customFormat="1" ht="23.1" customHeight="1" outlineLevel="1" x14ac:dyDescent="0.35">
      <c r="A50" s="290"/>
      <c r="B50" s="304">
        <f t="shared" si="10"/>
        <v>46</v>
      </c>
      <c r="C50" s="543" t="str">
        <v>COD 46</v>
      </c>
      <c r="D50" s="292" t="e">
        <f>VLOOKUP(C$5:C$54,'[2]NOMBRES COD'!B$4:C$53,2,FALSE)</f>
        <v>#N/A</v>
      </c>
      <c r="E50" s="293">
        <f>_xlfn.XLOOKUP($C50,BASE01[COD],BASE01[Columna14],"")</f>
        <v>0</v>
      </c>
      <c r="F50" s="293">
        <f>_xlfn.XLOOKUP(C50,BASE01[COD],BASE01[Columna19],"")</f>
        <v>0</v>
      </c>
      <c r="G50" s="294" t="str">
        <f t="shared" si="6"/>
        <v>0,00</v>
      </c>
      <c r="H50" s="295">
        <f>_xlfn.XLOOKUP(C50,BASE01[COD],BASE01[Columna32],"")</f>
        <v>0</v>
      </c>
      <c r="I50" s="295">
        <f>_xlfn.XLOOKUP(C50,BASE01[COD],BASE01[Columna30],"")</f>
        <v>0</v>
      </c>
      <c r="J50" s="296" t="str">
        <f t="shared" si="7"/>
        <v>0,00</v>
      </c>
      <c r="K50" s="297">
        <f>_xlfn.XLOOKUP(C50,BASE01[COD],BASE01[Columna32],"")</f>
        <v>0</v>
      </c>
      <c r="L50" s="297">
        <f>_xlfn.XLOOKUP(C50,BASE01[COD],BASE01[Columna34],"")</f>
        <v>0</v>
      </c>
      <c r="M50" s="298" t="str">
        <f t="shared" si="8"/>
        <v>0,00</v>
      </c>
      <c r="N50" s="299">
        <f>_xlfn.XLOOKUP(C50,BASE01[COD],BASE01[Columna36],"")</f>
        <v>0</v>
      </c>
      <c r="O50" s="299">
        <f>_xlfn.XLOOKUP(C50,BASE01[COD],BASE01[Columna37],"")</f>
        <v>0</v>
      </c>
      <c r="P50" s="300" t="str">
        <f t="shared" si="9"/>
        <v>0,00</v>
      </c>
      <c r="Q50" s="301">
        <f>_xlfn.XLOOKUP(C50,BASE01[COD],BASE01[Columna1],"")</f>
        <v>0</v>
      </c>
      <c r="R50" s="3"/>
    </row>
    <row r="51" spans="1:47" s="388" customFormat="1" ht="23.1" customHeight="1" outlineLevel="1" x14ac:dyDescent="0.35">
      <c r="A51" s="290"/>
      <c r="B51" s="304">
        <f t="shared" si="10"/>
        <v>47</v>
      </c>
      <c r="C51" s="543" t="str">
        <v>COD 47</v>
      </c>
      <c r="D51" s="292" t="e">
        <f>VLOOKUP(C$5:C$54,'[2]NOMBRES COD'!B$4:C$53,2,FALSE)</f>
        <v>#N/A</v>
      </c>
      <c r="E51" s="293">
        <f>_xlfn.XLOOKUP($C51,BASE01[COD],BASE01[Columna14],"")</f>
        <v>0</v>
      </c>
      <c r="F51" s="293">
        <f>_xlfn.XLOOKUP(C51,BASE01[COD],BASE01[Columna19],"")</f>
        <v>0</v>
      </c>
      <c r="G51" s="294" t="str">
        <f t="shared" si="6"/>
        <v>0,00</v>
      </c>
      <c r="H51" s="295">
        <f>_xlfn.XLOOKUP(C51,BASE01[COD],BASE01[Columna32],"")</f>
        <v>0</v>
      </c>
      <c r="I51" s="295">
        <f>_xlfn.XLOOKUP(C51,BASE01[COD],BASE01[Columna30],"")</f>
        <v>0</v>
      </c>
      <c r="J51" s="296" t="str">
        <f t="shared" si="7"/>
        <v>0,00</v>
      </c>
      <c r="K51" s="297">
        <f>_xlfn.XLOOKUP(C51,BASE01[COD],BASE01[Columna32],"")</f>
        <v>0</v>
      </c>
      <c r="L51" s="297">
        <f>_xlfn.XLOOKUP(C51,BASE01[COD],BASE01[Columna34],"")</f>
        <v>0</v>
      </c>
      <c r="M51" s="298" t="str">
        <f t="shared" si="8"/>
        <v>0,00</v>
      </c>
      <c r="N51" s="299">
        <f>_xlfn.XLOOKUP(C51,BASE01[COD],BASE01[Columna36],"")</f>
        <v>0</v>
      </c>
      <c r="O51" s="299">
        <f>_xlfn.XLOOKUP(C51,BASE01[COD],BASE01[Columna37],"")</f>
        <v>0</v>
      </c>
      <c r="P51" s="300" t="str">
        <f t="shared" si="9"/>
        <v>0,00</v>
      </c>
      <c r="Q51" s="301">
        <f>_xlfn.XLOOKUP(C51,BASE01[COD],BASE01[Columna1],"")</f>
        <v>0</v>
      </c>
      <c r="R51" s="3"/>
    </row>
    <row r="52" spans="1:47" s="388" customFormat="1" ht="23.1" customHeight="1" outlineLevel="1" x14ac:dyDescent="0.35">
      <c r="A52" s="290"/>
      <c r="B52" s="304">
        <f t="shared" si="10"/>
        <v>48</v>
      </c>
      <c r="C52" s="543" t="str">
        <v>COD 48</v>
      </c>
      <c r="D52" s="292" t="e">
        <f>VLOOKUP(C$5:C$54,'[2]NOMBRES COD'!B$4:C$53,2,FALSE)</f>
        <v>#N/A</v>
      </c>
      <c r="E52" s="293">
        <f>_xlfn.XLOOKUP($C52,BASE01[COD],BASE01[Columna14],"")</f>
        <v>0</v>
      </c>
      <c r="F52" s="293">
        <f>_xlfn.XLOOKUP(C52,BASE01[COD],BASE01[Columna19],"")</f>
        <v>0</v>
      </c>
      <c r="G52" s="294" t="str">
        <f t="shared" si="6"/>
        <v>0,00</v>
      </c>
      <c r="H52" s="295">
        <f>_xlfn.XLOOKUP(C52,BASE01[COD],BASE01[Columna32],"")</f>
        <v>0</v>
      </c>
      <c r="I52" s="295">
        <f>_xlfn.XLOOKUP(C52,BASE01[COD],BASE01[Columna30],"")</f>
        <v>0</v>
      </c>
      <c r="J52" s="296" t="str">
        <f t="shared" si="7"/>
        <v>0,00</v>
      </c>
      <c r="K52" s="297">
        <f>_xlfn.XLOOKUP(C52,BASE01[COD],BASE01[Columna32],"")</f>
        <v>0</v>
      </c>
      <c r="L52" s="297">
        <f>_xlfn.XLOOKUP(C52,BASE01[COD],BASE01[Columna34],"")</f>
        <v>0</v>
      </c>
      <c r="M52" s="298" t="str">
        <f t="shared" si="8"/>
        <v>0,00</v>
      </c>
      <c r="N52" s="299">
        <f>_xlfn.XLOOKUP(C52,BASE01[COD],BASE01[Columna36],"")</f>
        <v>0</v>
      </c>
      <c r="O52" s="299">
        <f>_xlfn.XLOOKUP(C52,BASE01[COD],BASE01[Columna37],"")</f>
        <v>0</v>
      </c>
      <c r="P52" s="300" t="str">
        <f t="shared" si="9"/>
        <v>0,00</v>
      </c>
      <c r="Q52" s="301">
        <f>_xlfn.XLOOKUP(C52,BASE01[COD],BASE01[Columna1],"")</f>
        <v>0</v>
      </c>
      <c r="R52" s="3"/>
    </row>
    <row r="53" spans="1:47" s="388" customFormat="1" ht="23.1" customHeight="1" outlineLevel="1" x14ac:dyDescent="0.35">
      <c r="A53" s="290"/>
      <c r="B53" s="304">
        <f t="shared" si="10"/>
        <v>49</v>
      </c>
      <c r="C53" s="543" t="str">
        <v>COD 49</v>
      </c>
      <c r="D53" s="292" t="e">
        <f>VLOOKUP(C$5:C$54,'[2]NOMBRES COD'!B$4:C$53,2,FALSE)</f>
        <v>#N/A</v>
      </c>
      <c r="E53" s="293">
        <f>_xlfn.XLOOKUP($C53,BASE01[COD],BASE01[Columna14],"")</f>
        <v>0</v>
      </c>
      <c r="F53" s="293">
        <f>_xlfn.XLOOKUP(C53,BASE01[COD],BASE01[Columna19],"")</f>
        <v>0</v>
      </c>
      <c r="G53" s="294" t="str">
        <f t="shared" si="6"/>
        <v>0,00</v>
      </c>
      <c r="H53" s="295">
        <f>_xlfn.XLOOKUP(C53,BASE01[COD],BASE01[Columna32],"")</f>
        <v>0</v>
      </c>
      <c r="I53" s="295">
        <f>_xlfn.XLOOKUP(C53,BASE01[COD],BASE01[Columna30],"")</f>
        <v>0</v>
      </c>
      <c r="J53" s="296" t="str">
        <f t="shared" si="7"/>
        <v>0,00</v>
      </c>
      <c r="K53" s="297">
        <f>_xlfn.XLOOKUP(C53,BASE01[COD],BASE01[Columna32],"")</f>
        <v>0</v>
      </c>
      <c r="L53" s="297">
        <f>_xlfn.XLOOKUP(C53,BASE01[COD],BASE01[Columna34],"")</f>
        <v>0</v>
      </c>
      <c r="M53" s="298" t="str">
        <f t="shared" si="8"/>
        <v>0,00</v>
      </c>
      <c r="N53" s="299">
        <f>_xlfn.XLOOKUP(C53,BASE01[COD],BASE01[Columna36],"")</f>
        <v>0</v>
      </c>
      <c r="O53" s="299">
        <f>_xlfn.XLOOKUP(C53,BASE01[COD],BASE01[Columna37],"")</f>
        <v>0</v>
      </c>
      <c r="P53" s="300" t="str">
        <f t="shared" si="9"/>
        <v>0,00</v>
      </c>
      <c r="Q53" s="301">
        <f>_xlfn.XLOOKUP(C53,BASE01[COD],BASE01[Columna1],"")</f>
        <v>0</v>
      </c>
      <c r="R53" s="3"/>
    </row>
    <row r="54" spans="1:47" s="388" customFormat="1" ht="23.1" customHeight="1" outlineLevel="1" x14ac:dyDescent="0.35">
      <c r="A54" s="290"/>
      <c r="B54" s="304">
        <f t="shared" si="10"/>
        <v>50</v>
      </c>
      <c r="C54" s="543" t="str">
        <v>COD 50</v>
      </c>
      <c r="D54" s="292" t="e">
        <f>VLOOKUP(C$5:C$54,'[2]NOMBRES COD'!B$4:C$53,2,FALSE)</f>
        <v>#N/A</v>
      </c>
      <c r="E54" s="293">
        <f>_xlfn.XLOOKUP($C54,BASE01[COD],BASE01[Columna14],"")</f>
        <v>0</v>
      </c>
      <c r="F54" s="293">
        <f>_xlfn.XLOOKUP(C54,BASE01[COD],BASE01[Columna19],"")</f>
        <v>0</v>
      </c>
      <c r="G54" s="294" t="str">
        <f t="shared" si="6"/>
        <v>0,00</v>
      </c>
      <c r="H54" s="295">
        <f>_xlfn.XLOOKUP(C54,BASE01[COD],BASE01[Columna32],"")</f>
        <v>0</v>
      </c>
      <c r="I54" s="295">
        <f>_xlfn.XLOOKUP(C54,BASE01[COD],BASE01[Columna30],"")</f>
        <v>0</v>
      </c>
      <c r="J54" s="296" t="str">
        <f t="shared" si="7"/>
        <v>0,00</v>
      </c>
      <c r="K54" s="297">
        <f>_xlfn.XLOOKUP(C54,BASE01[COD],BASE01[Columna32],"")</f>
        <v>0</v>
      </c>
      <c r="L54" s="297">
        <f>_xlfn.XLOOKUP(C54,BASE01[COD],BASE01[Columna34],"")</f>
        <v>0</v>
      </c>
      <c r="M54" s="298" t="str">
        <f t="shared" si="8"/>
        <v>0,00</v>
      </c>
      <c r="N54" s="299">
        <f>_xlfn.XLOOKUP(C54,BASE01[COD],BASE01[Columna36],"")</f>
        <v>0</v>
      </c>
      <c r="O54" s="299">
        <f>_xlfn.XLOOKUP(C54,BASE01[COD],BASE01[Columna37],"")</f>
        <v>0</v>
      </c>
      <c r="P54" s="300" t="str">
        <f t="shared" si="9"/>
        <v>0,00</v>
      </c>
      <c r="Q54" s="301">
        <f>_xlfn.XLOOKUP(C54,BASE01[COD],BASE01[Columna1],"")</f>
        <v>0</v>
      </c>
      <c r="R54" s="3"/>
    </row>
    <row r="55" spans="1:47" s="311" customFormat="1" ht="9.75" customHeight="1" x14ac:dyDescent="0.35">
      <c r="A55" s="290"/>
      <c r="B55" s="305"/>
      <c r="C55" s="306"/>
      <c r="D55" s="307"/>
      <c r="E55" s="308"/>
      <c r="F55" s="308"/>
      <c r="G55" s="309"/>
      <c r="H55" s="308"/>
      <c r="I55" s="308"/>
      <c r="J55" s="309"/>
      <c r="K55" s="308"/>
      <c r="L55" s="308"/>
      <c r="M55" s="309"/>
      <c r="N55" s="308"/>
      <c r="O55" s="308"/>
      <c r="P55" s="310"/>
      <c r="Q55" s="305"/>
      <c r="R55" s="3"/>
    </row>
    <row r="56" spans="1:47" ht="23.25" customHeight="1" outlineLevel="1" x14ac:dyDescent="0.25">
      <c r="A56" s="3"/>
      <c r="B56" s="312"/>
      <c r="C56" s="313"/>
      <c r="D56" s="313"/>
      <c r="E56" s="314"/>
      <c r="F56" s="314"/>
      <c r="G56" s="315"/>
      <c r="H56" s="314"/>
      <c r="I56" s="314"/>
      <c r="J56" s="316"/>
      <c r="K56" s="316"/>
      <c r="L56" s="345" t="str">
        <f>'SEM 1'!CG3</f>
        <v>SEMANA 1</v>
      </c>
      <c r="M56" s="356"/>
      <c r="N56" s="314"/>
      <c r="O56" s="314"/>
      <c r="P56" s="317"/>
      <c r="Q56" s="494" t="str">
        <f>+Q3</f>
        <v>06/09/2026</v>
      </c>
      <c r="R56" s="3"/>
    </row>
    <row r="57" spans="1:47" ht="25.5" customHeight="1" outlineLevel="1" x14ac:dyDescent="0.25">
      <c r="A57" s="1"/>
      <c r="B57" s="354" t="s">
        <v>298</v>
      </c>
      <c r="C57" s="511"/>
      <c r="D57" s="355"/>
      <c r="E57" s="511"/>
      <c r="F57" s="511"/>
      <c r="G57" s="511"/>
      <c r="H57" s="511"/>
      <c r="I57" s="511"/>
      <c r="J57" s="511"/>
      <c r="K57" s="511"/>
      <c r="L57" s="511"/>
      <c r="M57" s="318"/>
      <c r="N57" s="319"/>
      <c r="O57" s="319"/>
      <c r="P57" s="319"/>
      <c r="Q57" s="320"/>
      <c r="R57" s="3"/>
    </row>
    <row r="58" spans="1:47" s="515" customFormat="1" ht="18" customHeight="1" outlineLevel="1" x14ac:dyDescent="0.25">
      <c r="A58" s="280"/>
      <c r="B58" s="321" t="s">
        <v>9</v>
      </c>
      <c r="C58" s="322"/>
      <c r="D58" s="323" t="s">
        <v>10</v>
      </c>
      <c r="E58" s="512" t="s">
        <v>299</v>
      </c>
      <c r="F58" s="512"/>
      <c r="G58" s="512"/>
      <c r="H58" s="512"/>
      <c r="I58" s="512"/>
      <c r="J58" s="512"/>
      <c r="K58" s="381" t="s">
        <v>300</v>
      </c>
      <c r="L58" s="382"/>
      <c r="M58" s="578"/>
      <c r="N58" s="579"/>
      <c r="O58" s="579"/>
      <c r="P58" s="513"/>
      <c r="Q58" s="324"/>
      <c r="R58" s="3"/>
      <c r="U58" s="515" t="s">
        <v>301</v>
      </c>
      <c r="Y58" s="515" t="s">
        <v>302</v>
      </c>
      <c r="AC58" s="515" t="s">
        <v>303</v>
      </c>
      <c r="AG58" s="515" t="s">
        <v>304</v>
      </c>
      <c r="AK58" s="515" t="s">
        <v>305</v>
      </c>
      <c r="AP58" s="515" t="s">
        <v>306</v>
      </c>
      <c r="AT58" s="515" t="s">
        <v>307</v>
      </c>
    </row>
    <row r="59" spans="1:47" s="388" customFormat="1" ht="23.1" customHeight="1" outlineLevel="1" x14ac:dyDescent="0.35">
      <c r="A59" s="290"/>
      <c r="B59" s="544"/>
      <c r="C59" s="545" t="str">
        <f>U59</f>
        <v>COD 21</v>
      </c>
      <c r="D59" s="352" t="str">
        <f>_xlfn.XLOOKUP(C59,CODIGOS_Y_PAGOS[CODIGO],CODIGOS_Y_PAGOS[NOMBRE PARTICIPANTE],"")</f>
        <v>WILMER</v>
      </c>
      <c r="E59" s="347" t="s">
        <v>308</v>
      </c>
      <c r="F59" s="347"/>
      <c r="G59" s="347"/>
      <c r="H59" s="347"/>
      <c r="I59" s="347"/>
      <c r="J59" s="379"/>
      <c r="K59" s="546">
        <f>MAX(Q$5:Q$54)</f>
        <v>47</v>
      </c>
      <c r="L59" s="547"/>
      <c r="M59" s="358"/>
      <c r="N59" s="358"/>
      <c r="O59" s="359"/>
      <c r="P59" s="359"/>
      <c r="Q59" s="325"/>
      <c r="R59" s="3"/>
      <c r="U59" s="388" t="str">
        <f t="array" ref="U59:V60">_xlfn._xlws.FILTER(C5:D54, Q5:Q54 = MAX(Q5:Q54))</f>
        <v>COD 21</v>
      </c>
      <c r="V59" s="388" t="str">
        <v>WILMER</v>
      </c>
      <c r="Y59" s="388" t="str">
        <f t="array" ref="Y59:Z59">_xlfn._xlws.FILTER(C5:D54, F5:F54 = MAX(F5:F54))</f>
        <v>COD 21</v>
      </c>
      <c r="Z59" s="388" t="str">
        <v>WILMER</v>
      </c>
      <c r="AC59" s="388" t="str">
        <f t="array" ref="AC59:AD59">_xlfn._xlws.FILTER(C5:D54, I5:I54 = MAX(I5:I54))</f>
        <v>COD 27</v>
      </c>
      <c r="AD59" s="388" t="str">
        <v>ANDERSON HERNANDEZ</v>
      </c>
      <c r="AG59" s="388" t="str">
        <f t="array" ref="AG59:AH59">_xlfn._xlws.FILTER(C5:D54, L5:L54 = MAX(L5:L54))</f>
        <v>COD 37</v>
      </c>
      <c r="AH59" s="388" t="str">
        <v>GLADIADOR HIPICO</v>
      </c>
      <c r="AK59" s="388">
        <f t="array" ref="AK59:AL59">_xlfn._xlws.FILTER('SEM 1'!CY28:CZ61, 'SEM 1'!DA28:DA61 = MIN('SEM 1'!DA28:DA62))</f>
        <v>9</v>
      </c>
      <c r="AL59" s="388" t="str">
        <v>COD 37</v>
      </c>
      <c r="AP59" s="388" t="e">
        <f t="array" ref="AP59:AQ60">_xlfn._xlws.FILTER('SEM 1'!EI59:EJ61,'SEM 1'!EH59:EH61)</f>
        <v>#VALUE!</v>
      </c>
      <c r="AQ59" s="388" t="e">
        <v>#VALUE!</v>
      </c>
      <c r="AT59" s="388" t="e">
        <f t="array" ref="AT59:AU61">_xlfn._xlws.FILTER('SEM 1'!DQ59:DR61,'SEM 1'!DQ59:DQ61)</f>
        <v>#VALUE!</v>
      </c>
      <c r="AU59" s="388" t="e">
        <v>#VALUE!</v>
      </c>
    </row>
    <row r="60" spans="1:47" s="388" customFormat="1" ht="23.1" customHeight="1" outlineLevel="1" x14ac:dyDescent="0.35">
      <c r="A60" s="290"/>
      <c r="B60" s="548"/>
      <c r="C60" s="545" t="str">
        <f>U60</f>
        <v>COD 25</v>
      </c>
      <c r="D60" s="352" t="str">
        <f>_xlfn.XLOOKUP(C60,CODIGOS_Y_PAGOS[CODIGO],CODIGOS_Y_PAGOS[NOMBRE PARTICIPANTE],"")</f>
        <v>GLEY GARCIA</v>
      </c>
      <c r="E60" s="347" t="s">
        <v>308</v>
      </c>
      <c r="F60" s="347"/>
      <c r="G60" s="347"/>
      <c r="H60" s="347"/>
      <c r="I60" s="347"/>
      <c r="J60" s="379"/>
      <c r="K60" s="546">
        <f>_xlfn.XLOOKUP(C60,'SEM 1'!$C$8:$C$57,'SEM 1'!$CS$8:$CS$57,"")</f>
        <v>47</v>
      </c>
      <c r="L60" s="547"/>
      <c r="M60" s="358"/>
      <c r="N60" s="358"/>
      <c r="O60" s="359"/>
      <c r="P60" s="359"/>
      <c r="Q60" s="325"/>
      <c r="R60" s="3"/>
      <c r="U60" s="388" t="str">
        <v>COD 25</v>
      </c>
      <c r="V60" s="388" t="str">
        <v>GLEY GARCIA</v>
      </c>
      <c r="AP60" s="388" t="e">
        <v>#VALUE!</v>
      </c>
      <c r="AQ60" s="388" t="e">
        <v>#VALUE!</v>
      </c>
      <c r="AT60" s="388" t="e">
        <v>#VALUE!</v>
      </c>
      <c r="AU60" s="388" t="e">
        <v>#VALUE!</v>
      </c>
    </row>
    <row r="61" spans="1:47" s="388" customFormat="1" ht="23.1" customHeight="1" outlineLevel="2" x14ac:dyDescent="0.35">
      <c r="A61" s="290"/>
      <c r="B61" s="548"/>
      <c r="C61" s="545">
        <f>U61</f>
        <v>0</v>
      </c>
      <c r="D61" s="352" t="str">
        <f>_xlfn.XLOOKUP(C61,CODIGOS_Y_PAGOS[CODIGO],CODIGOS_Y_PAGOS[NOMBRE PARTICIPANTE],"")</f>
        <v/>
      </c>
      <c r="E61" s="347" t="s">
        <v>308</v>
      </c>
      <c r="F61" s="347"/>
      <c r="G61" s="347"/>
      <c r="H61" s="347"/>
      <c r="I61" s="347"/>
      <c r="J61" s="379"/>
      <c r="K61" s="546" t="str">
        <f>_xlfn.XLOOKUP(C61,'SEM 1'!$C$8:$C$57,'SEM 1'!$CS$8:$CS$57,"")</f>
        <v/>
      </c>
      <c r="L61" s="549"/>
      <c r="M61" s="358"/>
      <c r="N61" s="358"/>
      <c r="O61" s="359"/>
      <c r="P61" s="359"/>
      <c r="Q61" s="325"/>
      <c r="R61" s="3"/>
      <c r="AT61" s="388" t="e">
        <v>#VALUE!</v>
      </c>
      <c r="AU61" s="388" t="e">
        <v>#VALUE!</v>
      </c>
    </row>
    <row r="62" spans="1:47" s="388" customFormat="1" ht="23.1" customHeight="1" outlineLevel="1" x14ac:dyDescent="0.35">
      <c r="A62" s="290"/>
      <c r="B62" s="550"/>
      <c r="C62" s="551" t="str">
        <f>Y59</f>
        <v>COD 21</v>
      </c>
      <c r="D62" s="352" t="str">
        <f>_xlfn.XLOOKUP(C62,CODIGOS_Y_PAGOS[CODIGO],CODIGOS_Y_PAGOS[NOMBRE PARTICIPANTE],"")</f>
        <v>WILMER</v>
      </c>
      <c r="E62" s="347" t="s">
        <v>309</v>
      </c>
      <c r="F62" s="347"/>
      <c r="G62" s="347"/>
      <c r="H62" s="347"/>
      <c r="I62" s="347"/>
      <c r="J62" s="379"/>
      <c r="K62" s="462">
        <f>_xlfn.XLOOKUP(C62,'SEM 1'!$C$8:$C$57,'SEM 1'!$CH$8:$CH$57,"")</f>
        <v>8</v>
      </c>
      <c r="L62" s="547"/>
      <c r="M62" s="358"/>
      <c r="N62" s="358"/>
      <c r="O62" s="359"/>
      <c r="P62" s="359"/>
      <c r="Q62" s="325"/>
      <c r="R62" s="3"/>
    </row>
    <row r="63" spans="1:47" s="388" customFormat="1" ht="23.1" customHeight="1" outlineLevel="2" x14ac:dyDescent="0.35">
      <c r="A63" s="290"/>
      <c r="B63" s="550"/>
      <c r="C63" s="551">
        <f>Y60</f>
        <v>0</v>
      </c>
      <c r="D63" s="352" t="str">
        <f>_xlfn.XLOOKUP(C63,CODIGOS_Y_PAGOS[CODIGO],CODIGOS_Y_PAGOS[NOMBRE PARTICIPANTE],"")</f>
        <v/>
      </c>
      <c r="E63" s="347" t="s">
        <v>309</v>
      </c>
      <c r="F63" s="347"/>
      <c r="G63" s="347"/>
      <c r="H63" s="347"/>
      <c r="I63" s="347"/>
      <c r="J63" s="379"/>
      <c r="K63" s="462" t="str">
        <f>_xlfn.XLOOKUP(C63,'SEM 1'!$C$8:$C$57,'SEM 1'!$CH$8:$CH$57,"")</f>
        <v/>
      </c>
      <c r="L63" s="549"/>
      <c r="M63" s="358"/>
      <c r="N63" s="358"/>
      <c r="O63" s="359"/>
      <c r="P63" s="359"/>
      <c r="Q63" s="325"/>
      <c r="R63" s="3"/>
    </row>
    <row r="64" spans="1:47" s="388" customFormat="1" ht="23.1" customHeight="1" outlineLevel="2" x14ac:dyDescent="0.35">
      <c r="A64" s="290"/>
      <c r="B64" s="550"/>
      <c r="C64" s="551">
        <f>Y61</f>
        <v>0</v>
      </c>
      <c r="D64" s="352" t="str">
        <f>_xlfn.XLOOKUP(C64,CODIGOS_Y_PAGOS[CODIGO],CODIGOS_Y_PAGOS[NOMBRE PARTICIPANTE],"")</f>
        <v/>
      </c>
      <c r="E64" s="347" t="s">
        <v>309</v>
      </c>
      <c r="F64" s="347"/>
      <c r="G64" s="347"/>
      <c r="H64" s="347"/>
      <c r="I64" s="347"/>
      <c r="J64" s="379"/>
      <c r="K64" s="462" t="str">
        <f>_xlfn.XLOOKUP(C64,'SEM 1'!$C$8:$C$57,'SEM 1'!$CH$8:$CH$57,"")</f>
        <v/>
      </c>
      <c r="L64" s="549"/>
      <c r="M64" s="358"/>
      <c r="N64" s="358"/>
      <c r="O64" s="359"/>
      <c r="P64" s="359"/>
      <c r="Q64" s="325"/>
      <c r="R64" s="3"/>
    </row>
    <row r="65" spans="1:23" s="388" customFormat="1" ht="23.1" customHeight="1" outlineLevel="1" x14ac:dyDescent="0.35">
      <c r="A65" s="290"/>
      <c r="B65" s="550"/>
      <c r="C65" s="551" t="str">
        <f>AC59</f>
        <v>COD 27</v>
      </c>
      <c r="D65" s="352" t="str">
        <f>_xlfn.XLOOKUP(C65,CODIGOS_Y_PAGOS[CODIGO],CODIGOS_Y_PAGOS[NOMBRE PARTICIPANTE],"")</f>
        <v>ANDERSON HERNANDEZ</v>
      </c>
      <c r="E65" s="347" t="s">
        <v>310</v>
      </c>
      <c r="F65" s="347"/>
      <c r="G65" s="347"/>
      <c r="H65" s="347"/>
      <c r="I65" s="347"/>
      <c r="J65" s="379"/>
      <c r="K65" s="462">
        <f>_xlfn.XLOOKUP(C65,'SEM 1'!$C$8:$C$57,'SEM 1'!$CK$8:$CK$57,"")</f>
        <v>11</v>
      </c>
      <c r="L65" s="547"/>
      <c r="M65" s="358"/>
      <c r="N65" s="358"/>
      <c r="O65" s="359"/>
      <c r="P65" s="359"/>
      <c r="Q65" s="325"/>
      <c r="R65" s="3"/>
    </row>
    <row r="66" spans="1:23" s="388" customFormat="1" ht="23.1" customHeight="1" outlineLevel="2" x14ac:dyDescent="0.35">
      <c r="A66" s="290"/>
      <c r="B66" s="550"/>
      <c r="C66" s="551">
        <f>AC60</f>
        <v>0</v>
      </c>
      <c r="D66" s="352" t="str">
        <f>_xlfn.XLOOKUP(C66,CODIGOS_Y_PAGOS[CODIGO],CODIGOS_Y_PAGOS[NOMBRE PARTICIPANTE],"")</f>
        <v/>
      </c>
      <c r="E66" s="347" t="s">
        <v>310</v>
      </c>
      <c r="F66" s="347"/>
      <c r="G66" s="347"/>
      <c r="H66" s="347"/>
      <c r="I66" s="347"/>
      <c r="J66" s="379"/>
      <c r="K66" s="462" t="str">
        <f>_xlfn.XLOOKUP(C66,'SEM 1'!$C$8:$C$57,'SEM 1'!$CK$8:$CK$57,"")</f>
        <v/>
      </c>
      <c r="L66" s="383"/>
      <c r="M66" s="358"/>
      <c r="N66" s="358"/>
      <c r="O66" s="359"/>
      <c r="P66" s="359"/>
      <c r="Q66" s="325"/>
      <c r="R66" s="3"/>
    </row>
    <row r="67" spans="1:23" s="388" customFormat="1" ht="23.1" customHeight="1" outlineLevel="2" x14ac:dyDescent="0.35">
      <c r="A67" s="290"/>
      <c r="B67" s="550"/>
      <c r="C67" s="551">
        <f>AC61</f>
        <v>0</v>
      </c>
      <c r="D67" s="352" t="str">
        <f>_xlfn.XLOOKUP(C67,CODIGOS_Y_PAGOS[CODIGO],CODIGOS_Y_PAGOS[NOMBRE PARTICIPANTE],"")</f>
        <v/>
      </c>
      <c r="E67" s="347" t="s">
        <v>310</v>
      </c>
      <c r="F67" s="347"/>
      <c r="G67" s="347"/>
      <c r="H67" s="347"/>
      <c r="I67" s="347"/>
      <c r="J67" s="379"/>
      <c r="K67" s="462" t="str">
        <f>_xlfn.XLOOKUP(C67,'SEM 1'!$C$8:$C$57,'SEM 1'!$CK$8:$CK$57,"")</f>
        <v/>
      </c>
      <c r="L67" s="383"/>
      <c r="M67" s="358"/>
      <c r="N67" s="358"/>
      <c r="O67" s="359"/>
      <c r="P67" s="359"/>
      <c r="Q67" s="325"/>
      <c r="R67" s="3"/>
    </row>
    <row r="68" spans="1:23" s="388" customFormat="1" ht="23.1" customHeight="1" outlineLevel="1" x14ac:dyDescent="0.35">
      <c r="A68" s="290"/>
      <c r="B68" s="550"/>
      <c r="C68" s="551" t="str">
        <f>AG59</f>
        <v>COD 37</v>
      </c>
      <c r="D68" s="352" t="str">
        <f>_xlfn.XLOOKUP(C68,CODIGOS_Y_PAGOS[CODIGO],CODIGOS_Y_PAGOS[NOMBRE PARTICIPANTE],"")</f>
        <v>GLADIADOR HIPICO</v>
      </c>
      <c r="E68" s="347" t="s">
        <v>311</v>
      </c>
      <c r="F68" s="348"/>
      <c r="G68" s="348"/>
      <c r="H68" s="348"/>
      <c r="I68" s="348"/>
      <c r="J68" s="380"/>
      <c r="K68" s="462">
        <f>_xlfn.XLOOKUP(C68,'SEM 1'!$C$8:$C$57,'SEM 1'!$CN$8:$CN$57,"")</f>
        <v>12</v>
      </c>
      <c r="L68" s="547"/>
      <c r="M68" s="360"/>
      <c r="N68" s="360"/>
      <c r="O68" s="361"/>
      <c r="P68" s="361"/>
      <c r="Q68" s="362"/>
      <c r="R68" s="3"/>
    </row>
    <row r="69" spans="1:23" s="388" customFormat="1" ht="23.1" customHeight="1" outlineLevel="2" x14ac:dyDescent="0.35">
      <c r="A69" s="290"/>
      <c r="B69" s="550"/>
      <c r="C69" s="551">
        <f>AG60</f>
        <v>0</v>
      </c>
      <c r="D69" s="352" t="str">
        <f>_xlfn.XLOOKUP(C69,CODIGOS_Y_PAGOS[CODIGO],CODIGOS_Y_PAGOS[NOMBRE PARTICIPANTE],"")</f>
        <v/>
      </c>
      <c r="E69" s="347" t="s">
        <v>311</v>
      </c>
      <c r="F69" s="348"/>
      <c r="G69" s="348"/>
      <c r="H69" s="348"/>
      <c r="I69" s="348"/>
      <c r="J69" s="380"/>
      <c r="K69" s="462" t="str">
        <f>_xlfn.XLOOKUP(C69,'SEM 1'!$C$8:$C$57,'SEM 1'!$CN$8:$CN$57,"")</f>
        <v/>
      </c>
      <c r="L69" s="398"/>
      <c r="M69" s="358"/>
      <c r="N69" s="358"/>
      <c r="O69" s="359"/>
      <c r="P69" s="359"/>
      <c r="Q69" s="325"/>
      <c r="R69" s="3"/>
    </row>
    <row r="70" spans="1:23" s="388" customFormat="1" ht="23.1" customHeight="1" outlineLevel="2" x14ac:dyDescent="0.35">
      <c r="A70" s="290"/>
      <c r="B70" s="550"/>
      <c r="C70" s="551">
        <f>AG61</f>
        <v>0</v>
      </c>
      <c r="D70" s="352" t="str">
        <f>_xlfn.XLOOKUP(C70,CODIGOS_Y_PAGOS[CODIGO],CODIGOS_Y_PAGOS[NOMBRE PARTICIPANTE],"")</f>
        <v/>
      </c>
      <c r="E70" s="347" t="s">
        <v>311</v>
      </c>
      <c r="F70" s="348"/>
      <c r="G70" s="348"/>
      <c r="H70" s="348"/>
      <c r="I70" s="348"/>
      <c r="J70" s="380"/>
      <c r="K70" s="476" t="str">
        <f>_xlfn.XLOOKUP(C70,'SEM 1'!$C$8:$C$57,'SEM 1'!$CN$8:$CN$57,"")</f>
        <v/>
      </c>
      <c r="L70" s="383"/>
      <c r="M70" s="358"/>
      <c r="N70" s="358"/>
      <c r="O70" s="359"/>
      <c r="P70" s="359"/>
      <c r="Q70" s="325"/>
      <c r="R70" s="3"/>
    </row>
    <row r="71" spans="1:23" s="388" customFormat="1" ht="23.1" customHeight="1" outlineLevel="1" x14ac:dyDescent="0.35">
      <c r="A71" s="290"/>
      <c r="B71" s="550"/>
      <c r="C71" s="551" t="str">
        <f>AL59</f>
        <v>COD 37</v>
      </c>
      <c r="D71" s="352" t="str">
        <f>_xlfn.XLOOKUP(C71,CODIGOS_Y_PAGOS[CODIGO],CODIGOS_Y_PAGOS[NOMBRE PARTICIPANTE],"")</f>
        <v>GLADIADOR HIPICO</v>
      </c>
      <c r="E71" s="576" t="s">
        <v>312</v>
      </c>
      <c r="F71" s="556"/>
      <c r="G71" s="556"/>
      <c r="H71" s="556"/>
      <c r="I71" s="556"/>
      <c r="J71" s="577"/>
      <c r="K71" s="459">
        <f>IF(D71="","",'SEM 1'!$CZ$24)</f>
        <v>3121.92</v>
      </c>
      <c r="L71" s="547"/>
      <c r="M71" s="552">
        <f>IF(D71="","",'SEM 1'!$CZ$25)</f>
        <v>9</v>
      </c>
      <c r="N71" s="363">
        <f>IF(M71="","",'SEM 1'!$DA$25)</f>
        <v>4</v>
      </c>
      <c r="O71" s="460" t="str">
        <f t="array" ref="O71">_xlfn._xlws.FILTER('[1]ALFABETICO SEM'!$M$1:$M$196, ('[1]ALFABETICO SEM'!$L$1:$L$196 = $N$71) * ('[1]ALFABETICO SEM'!$N$1:$N$196 = N71), " - ")</f>
        <v>FRANCISS ROSE</v>
      </c>
      <c r="P71" s="385"/>
      <c r="Q71" s="386"/>
      <c r="R71" s="3"/>
      <c r="T71" s="460" t="s">
        <v>313</v>
      </c>
      <c r="U71" s="385"/>
      <c r="V71" s="386"/>
      <c r="W71" s="386"/>
    </row>
    <row r="72" spans="1:23" s="388" customFormat="1" ht="23.1" customHeight="1" outlineLevel="2" x14ac:dyDescent="0.35">
      <c r="A72" s="290"/>
      <c r="B72" s="550"/>
      <c r="C72" s="551">
        <f>AL60</f>
        <v>0</v>
      </c>
      <c r="D72" s="352" t="str">
        <f>_xlfn.XLOOKUP(C72,CODIGOS_Y_PAGOS[CODIGO],CODIGOS_Y_PAGOS[NOMBRE PARTICIPANTE],"")</f>
        <v/>
      </c>
      <c r="E72" s="576" t="s">
        <v>312</v>
      </c>
      <c r="F72" s="556"/>
      <c r="G72" s="556"/>
      <c r="H72" s="556"/>
      <c r="I72" s="556"/>
      <c r="J72" s="577"/>
      <c r="K72" s="459" t="str">
        <f>IF(D72="","",'SEM 1'!$CZ$24)</f>
        <v/>
      </c>
      <c r="L72" s="547"/>
      <c r="M72" s="552" t="str">
        <f>IF(D72="","",'SEM 1'!$CZ$25)</f>
        <v/>
      </c>
      <c r="N72" s="363" t="str">
        <f>IF(M72="","",'SEM 1'!$DA$25)</f>
        <v/>
      </c>
      <c r="O72" s="460" t="str">
        <f t="array" ref="O72">_xlfn._xlws.FILTER('[1]ALFABETICO SEM'!$M$1:$M$196, ('[1]ALFABETICO SEM'!$L$1:$L$196 = $N$71) * ('[1]ALFABETICO SEM'!$N$1:$N$196 = N72), " - ")</f>
        <v xml:space="preserve"> - </v>
      </c>
      <c r="P72" s="385"/>
      <c r="Q72" s="386"/>
      <c r="R72" s="3"/>
      <c r="T72" s="460"/>
      <c r="U72" s="385"/>
      <c r="V72" s="386"/>
      <c r="W72" s="386"/>
    </row>
    <row r="73" spans="1:23" s="388" customFormat="1" ht="23.1" customHeight="1" outlineLevel="2" x14ac:dyDescent="0.35">
      <c r="A73" s="290"/>
      <c r="B73" s="550"/>
      <c r="C73" s="551">
        <f>AL61</f>
        <v>0</v>
      </c>
      <c r="D73" s="352" t="str">
        <f>_xlfn.XLOOKUP(C73,CODIGOS_Y_PAGOS[CODIGO],CODIGOS_Y_PAGOS[NOMBRE PARTICIPANTE],"")</f>
        <v/>
      </c>
      <c r="E73" s="576" t="s">
        <v>312</v>
      </c>
      <c r="F73" s="556"/>
      <c r="G73" s="556"/>
      <c r="H73" s="556"/>
      <c r="I73" s="556"/>
      <c r="J73" s="577"/>
      <c r="K73" s="459" t="str">
        <f>IF(D73="","",'SEM 1'!$CZ$24)</f>
        <v/>
      </c>
      <c r="L73" s="547"/>
      <c r="M73" s="552" t="str">
        <f>IF(D73="","",'SEM 1'!$CZ$25)</f>
        <v/>
      </c>
      <c r="N73" s="363" t="str">
        <f>IF(M73="","",'SEM 1'!$DA$25)</f>
        <v/>
      </c>
      <c r="O73" s="460" t="str">
        <f t="array" ref="O73">_xlfn._xlws.FILTER('[1]ALFABETICO SEM'!$M$1:$M$196, ('[1]ALFABETICO SEM'!$L$1:$L$196 = $N$71) * ('[1]ALFABETICO SEM'!$N$1:$N$196 = N73), " - ")</f>
        <v xml:space="preserve"> - </v>
      </c>
      <c r="P73" s="385"/>
      <c r="Q73" s="386"/>
      <c r="R73" s="3"/>
      <c r="T73" s="460"/>
      <c r="U73" s="385"/>
      <c r="V73" s="386"/>
      <c r="W73" s="386"/>
    </row>
    <row r="74" spans="1:23" s="388" customFormat="1" ht="23.1" customHeight="1" outlineLevel="2" x14ac:dyDescent="0.35">
      <c r="A74" s="290"/>
      <c r="B74" s="550"/>
      <c r="C74" s="551"/>
      <c r="D74" s="352" t="str">
        <f>_xlfn.XLOOKUP(C74,CODIGOS_Y_PAGOS[CODIGO],CODIGOS_Y_PAGOS[NOMBRE PARTICIPANTE],"")</f>
        <v/>
      </c>
      <c r="E74" s="576" t="s">
        <v>314</v>
      </c>
      <c r="F74" s="556"/>
      <c r="G74" s="556"/>
      <c r="H74" s="556"/>
      <c r="I74" s="556"/>
      <c r="J74" s="577"/>
      <c r="K74" s="546"/>
      <c r="L74" s="547"/>
      <c r="M74" s="552"/>
      <c r="N74" s="363"/>
      <c r="O74" s="460" t="str">
        <f t="array" ref="O74">_xlfn._xlws.FILTER('[1]ALFABETICO SEM'!$M$1:$M$196, ('[1]ALFABETICO SEM'!$L$1:$L$196 = $N$71) * ('[1]ALFABETICO SEM'!$N$1:$N$196 = N74), " - ")</f>
        <v xml:space="preserve"> - </v>
      </c>
      <c r="P74" s="364"/>
      <c r="Q74" s="366"/>
      <c r="R74" s="3"/>
      <c r="T74" s="460"/>
      <c r="U74" s="364"/>
      <c r="V74" s="366"/>
      <c r="W74" s="366"/>
    </row>
    <row r="75" spans="1:23" s="388" customFormat="1" ht="23.1" customHeight="1" outlineLevel="2" x14ac:dyDescent="0.35">
      <c r="A75" s="290"/>
      <c r="B75" s="550"/>
      <c r="C75" s="551"/>
      <c r="D75" s="352" t="str">
        <f>_xlfn.XLOOKUP(C75,CODIGOS_Y_PAGOS[CODIGO],CODIGOS_Y_PAGOS[NOMBRE PARTICIPANTE],"")</f>
        <v/>
      </c>
      <c r="E75" s="576" t="s">
        <v>314</v>
      </c>
      <c r="F75" s="556"/>
      <c r="G75" s="556"/>
      <c r="H75" s="556"/>
      <c r="I75" s="556"/>
      <c r="J75" s="577"/>
      <c r="K75" s="546"/>
      <c r="L75" s="547"/>
      <c r="M75" s="552"/>
      <c r="N75" s="363"/>
      <c r="O75" s="460" t="str">
        <f t="array" ref="O75">_xlfn._xlws.FILTER('[1]ALFABETICO SEM'!$M$1:$M$196, ('[1]ALFABETICO SEM'!$L$1:$L$196 = $N$71) * ('[1]ALFABETICO SEM'!$N$1:$N$196 = N75), " - ")</f>
        <v xml:space="preserve"> - </v>
      </c>
      <c r="P75" s="385"/>
      <c r="Q75" s="386"/>
      <c r="R75" s="3"/>
      <c r="T75" s="460"/>
      <c r="U75" s="385"/>
      <c r="V75" s="386"/>
      <c r="W75" s="386"/>
    </row>
    <row r="76" spans="1:23" s="388" customFormat="1" ht="23.1" customHeight="1" outlineLevel="2" x14ac:dyDescent="0.35">
      <c r="A76" s="290"/>
      <c r="B76" s="550"/>
      <c r="C76" s="551"/>
      <c r="D76" s="352" t="str">
        <f>_xlfn.XLOOKUP(C76,CODIGOS_Y_PAGOS[CODIGO],CODIGOS_Y_PAGOS[NOMBRE PARTICIPANTE],"")</f>
        <v/>
      </c>
      <c r="E76" s="576" t="s">
        <v>314</v>
      </c>
      <c r="F76" s="556"/>
      <c r="G76" s="556"/>
      <c r="H76" s="556"/>
      <c r="I76" s="556"/>
      <c r="J76" s="577"/>
      <c r="K76" s="546"/>
      <c r="L76" s="547"/>
      <c r="M76" s="552"/>
      <c r="N76" s="363"/>
      <c r="O76" s="460" t="str">
        <f t="array" ref="O76">_xlfn._xlws.FILTER('[1]ALFABETICO SEM'!$M$1:$M$196, ('[1]ALFABETICO SEM'!$L$1:$L$196 = $N$71) * ('[1]ALFABETICO SEM'!$N$1:$N$196 = N76), " - ")</f>
        <v xml:space="preserve"> - </v>
      </c>
      <c r="P76" s="364"/>
      <c r="Q76" s="366"/>
      <c r="R76" s="3"/>
      <c r="T76" s="460"/>
      <c r="U76" s="364"/>
      <c r="V76" s="366"/>
      <c r="W76" s="366"/>
    </row>
    <row r="77" spans="1:23" s="388" customFormat="1" ht="23.1" customHeight="1" outlineLevel="1" x14ac:dyDescent="0.35">
      <c r="A77" s="290"/>
      <c r="B77" s="550"/>
      <c r="C77" s="551" t="e">
        <f>AP59</f>
        <v>#VALUE!</v>
      </c>
      <c r="D77" s="352" t="e">
        <f>_xlfn.XLOOKUP(C77,CODIGOS_Y_PAGOS[CODIGO],CODIGOS_Y_PAGOS[NOMBRE PARTICIPANTE],"")</f>
        <v>#VALUE!</v>
      </c>
      <c r="E77" s="576" t="s">
        <v>315</v>
      </c>
      <c r="F77" s="556"/>
      <c r="G77" s="556"/>
      <c r="H77" s="556"/>
      <c r="I77" s="556"/>
      <c r="J77" s="577"/>
      <c r="K77" s="459" t="e">
        <f>IF(D77="","",'SEM 1'!EH59)</f>
        <v>#VALUE!</v>
      </c>
      <c r="L77" s="547"/>
      <c r="M77" s="552" t="e">
        <f>IF(AQ59="","",AQ59)</f>
        <v>#VALUE!</v>
      </c>
      <c r="N77" s="363" t="e">
        <f>IF(M77="","",'SEM 1'!$EG$59)</f>
        <v>#VALUE!</v>
      </c>
      <c r="O77" s="460" t="e">
        <f t="array" ref="O77">_xlfn._xlws.FILTER('[1]ALFABETICO SEM'!$M$1:$M$196, ('[1]ALFABETICO SEM'!$L$1:$L$196 = $N$77) * ('[1]ALFABETICO SEM'!$N$1:$N$196 = N77), " - ")</f>
        <v>#VALUE!</v>
      </c>
      <c r="P77" s="385"/>
      <c r="Q77" s="386"/>
      <c r="R77" s="3"/>
      <c r="T77" s="460" t="s">
        <v>316</v>
      </c>
      <c r="U77" s="385"/>
      <c r="V77" s="386"/>
      <c r="W77" s="386"/>
    </row>
    <row r="78" spans="1:23" s="388" customFormat="1" ht="23.1" customHeight="1" outlineLevel="1" x14ac:dyDescent="0.35">
      <c r="A78" s="290"/>
      <c r="B78" s="550"/>
      <c r="C78" s="551" t="e">
        <f>AP60</f>
        <v>#VALUE!</v>
      </c>
      <c r="D78" s="352" t="e">
        <f>_xlfn.XLOOKUP(C78,CODIGOS_Y_PAGOS[CODIGO],CODIGOS_Y_PAGOS[NOMBRE PARTICIPANTE],"")</f>
        <v>#VALUE!</v>
      </c>
      <c r="E78" s="576" t="s">
        <v>315</v>
      </c>
      <c r="F78" s="556"/>
      <c r="G78" s="556"/>
      <c r="H78" s="556"/>
      <c r="I78" s="556"/>
      <c r="J78" s="577"/>
      <c r="K78" s="459" t="e">
        <f>IF(D78="","",'SEM 1'!EH60)</f>
        <v>#VALUE!</v>
      </c>
      <c r="L78" s="547"/>
      <c r="M78" s="552" t="e">
        <f>IF(AQ60="","",AQ60)</f>
        <v>#VALUE!</v>
      </c>
      <c r="N78" s="363" t="e">
        <f>IF(M78="","",'SEM 1'!$EG$59)</f>
        <v>#VALUE!</v>
      </c>
      <c r="O78" s="460" t="e">
        <f t="array" ref="O78">_xlfn._xlws.FILTER('[1]ALFABETICO SEM'!$M$1:$M$196, ('[1]ALFABETICO SEM'!$L$1:$L$196 = $N$77) * ('[1]ALFABETICO SEM'!$N$1:$N$196 = N78), " - ")</f>
        <v>#VALUE!</v>
      </c>
      <c r="P78" s="364"/>
      <c r="Q78" s="366"/>
      <c r="R78" s="3"/>
      <c r="T78" s="460" t="s">
        <v>316</v>
      </c>
      <c r="U78" s="364"/>
      <c r="V78" s="366"/>
      <c r="W78" s="366"/>
    </row>
    <row r="79" spans="1:23" s="388" customFormat="1" ht="23.1" customHeight="1" outlineLevel="2" x14ac:dyDescent="0.35">
      <c r="A79" s="290"/>
      <c r="B79" s="550"/>
      <c r="C79" s="551">
        <f>AP61</f>
        <v>0</v>
      </c>
      <c r="D79" s="352" t="str">
        <f>_xlfn.XLOOKUP(C79,CODIGOS_Y_PAGOS[CODIGO],CODIGOS_Y_PAGOS[NOMBRE PARTICIPANTE],"")</f>
        <v/>
      </c>
      <c r="E79" s="576" t="s">
        <v>315</v>
      </c>
      <c r="F79" s="556"/>
      <c r="G79" s="556"/>
      <c r="H79" s="556"/>
      <c r="I79" s="556"/>
      <c r="J79" s="577"/>
      <c r="K79" s="459" t="str">
        <f>IF(D79="","",'SEM 1'!EH61)</f>
        <v/>
      </c>
      <c r="L79" s="547"/>
      <c r="M79" s="552" t="str">
        <f>IF(AQ61="","",AQ61)</f>
        <v/>
      </c>
      <c r="N79" s="363" t="str">
        <f>IF(M79="","",'SEM 1'!$EG$59)</f>
        <v/>
      </c>
      <c r="O79" s="460" t="e">
        <f t="array" ref="O79">_xlfn._xlws.FILTER('[1]ALFABETICO SEM'!$M$1:$M$196, ('[1]ALFABETICO SEM'!$L$1:$L$196 = $N$77) * ('[1]ALFABETICO SEM'!$N$1:$N$196 = N79), " - ")</f>
        <v>#VALUE!</v>
      </c>
      <c r="P79" s="385"/>
      <c r="Q79" s="386"/>
      <c r="R79" s="3"/>
      <c r="T79" s="460"/>
      <c r="U79" s="385"/>
      <c r="V79" s="386"/>
      <c r="W79" s="386"/>
    </row>
    <row r="80" spans="1:23" s="388" customFormat="1" ht="23.1" customHeight="1" outlineLevel="1" x14ac:dyDescent="0.35">
      <c r="A80" s="290"/>
      <c r="B80" s="550"/>
      <c r="C80" s="551">
        <v>26</v>
      </c>
      <c r="D80" s="352" t="str">
        <f>_xlfn.XLOOKUP(C80,CODIGOS_Y_PAGOS[CODIGO],CODIGOS_Y_PAGOS[NOMBRE PARTICIPANTE],"")</f>
        <v/>
      </c>
      <c r="E80" s="576" t="s">
        <v>317</v>
      </c>
      <c r="F80" s="556"/>
      <c r="G80" s="556"/>
      <c r="H80" s="556"/>
      <c r="I80" s="556"/>
      <c r="J80" s="577"/>
      <c r="K80" s="459" t="str">
        <f>IF(D80="","",'SEM 1'!DP59)</f>
        <v/>
      </c>
      <c r="L80" s="547"/>
      <c r="M80" s="552" t="e">
        <f>IF(AU59="","",AU59)</f>
        <v>#VALUE!</v>
      </c>
      <c r="N80" s="363" t="e">
        <f>IF(M80="","",'SEM 1'!$DO$59)</f>
        <v>#VALUE!</v>
      </c>
      <c r="O80" s="460" t="e">
        <f t="array" ref="O80">_xlfn._xlws.FILTER('[1]ALFABETICO SEM'!$M$1:$M$196, ('[1]ALFABETICO SEM'!$L$1:$L$196 = $N$80) * ('[1]ALFABETICO SEM'!$N$1:$N$196 = N80), " - ")</f>
        <v>#VALUE!</v>
      </c>
      <c r="P80" s="364"/>
      <c r="Q80" s="366"/>
      <c r="R80" s="3"/>
      <c r="T80" s="460" t="s">
        <v>318</v>
      </c>
      <c r="U80" s="364"/>
      <c r="V80" s="366"/>
      <c r="W80" s="366"/>
    </row>
    <row r="81" spans="1:23" ht="23.1" customHeight="1" outlineLevel="2" x14ac:dyDescent="0.25">
      <c r="A81" s="3"/>
      <c r="B81" s="550"/>
      <c r="C81" s="551">
        <v>38</v>
      </c>
      <c r="D81" s="352" t="str">
        <f>_xlfn.XLOOKUP(C81,CODIGOS_Y_PAGOS[CODIGO],CODIGOS_Y_PAGOS[NOMBRE PARTICIPANTE],"")</f>
        <v/>
      </c>
      <c r="E81" s="576" t="s">
        <v>317</v>
      </c>
      <c r="F81" s="556"/>
      <c r="G81" s="556"/>
      <c r="H81" s="556"/>
      <c r="I81" s="556"/>
      <c r="J81" s="577"/>
      <c r="K81" s="459" t="str">
        <f>IF(D81="","",'SEM 1'!DP60)</f>
        <v/>
      </c>
      <c r="L81" s="547"/>
      <c r="M81" s="552" t="e">
        <f>IF(AU60="","",AU60)</f>
        <v>#VALUE!</v>
      </c>
      <c r="N81" s="363" t="e">
        <f>IF(M81="","",'SEM 1'!$DO$59)</f>
        <v>#VALUE!</v>
      </c>
      <c r="O81" s="460" t="e">
        <f t="array" ref="O81">_xlfn._xlws.FILTER('[1]ALFABETICO SEM'!$M$1:$M$196, ('[1]ALFABETICO SEM'!$L$1:$L$196 = $N$80) * ('[1]ALFABETICO SEM'!$N$1:$N$196 = N81), " - ")</f>
        <v>#VALUE!</v>
      </c>
      <c r="P81" s="385"/>
      <c r="Q81" s="386"/>
      <c r="T81" s="460" t="s">
        <v>318</v>
      </c>
      <c r="U81" s="385"/>
      <c r="V81" s="386"/>
      <c r="W81" s="386"/>
    </row>
    <row r="82" spans="1:23" ht="23.1" customHeight="1" outlineLevel="1" x14ac:dyDescent="0.25">
      <c r="A82" s="1"/>
      <c r="B82" s="550"/>
      <c r="C82" s="551">
        <v>39</v>
      </c>
      <c r="D82" s="352" t="str">
        <f>_xlfn.XLOOKUP(C82,CODIGOS_Y_PAGOS[CODIGO],CODIGOS_Y_PAGOS[NOMBRE PARTICIPANTE],"")</f>
        <v/>
      </c>
      <c r="E82" s="576" t="s">
        <v>317</v>
      </c>
      <c r="F82" s="556"/>
      <c r="G82" s="556"/>
      <c r="H82" s="556"/>
      <c r="I82" s="556"/>
      <c r="J82" s="577"/>
      <c r="K82" s="459" t="str">
        <f>IF(D82="","",'SEM 1'!DP61)</f>
        <v/>
      </c>
      <c r="L82" s="547"/>
      <c r="M82" s="552" t="e">
        <f>IF(AU61="","",AU61)</f>
        <v>#VALUE!</v>
      </c>
      <c r="N82" s="363" t="e">
        <f>IF(M82="","",'SEM 1'!$DO$59)</f>
        <v>#VALUE!</v>
      </c>
      <c r="O82" s="460" t="e">
        <f t="array" ref="O82">_xlfn._xlws.FILTER('[1]ALFABETICO SEM'!$M$1:$M$196, ('[1]ALFABETICO SEM'!$L$1:$L$196 = $N$80) * ('[1]ALFABETICO SEM'!$N$1:$N$196 = N82), " - ")</f>
        <v>#VALUE!</v>
      </c>
      <c r="P82" s="367"/>
      <c r="Q82" s="368"/>
      <c r="R82" s="3"/>
      <c r="T82" s="460" t="s">
        <v>318</v>
      </c>
      <c r="U82" s="367"/>
      <c r="V82" s="368"/>
      <c r="W82" s="368"/>
    </row>
    <row r="83" spans="1:23" s="388" customFormat="1" ht="23.1" customHeight="1" thickBot="1" x14ac:dyDescent="0.4">
      <c r="A83" s="290"/>
      <c r="B83" s="326"/>
      <c r="C83" s="32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R83" s="311"/>
    </row>
    <row r="84" spans="1:23" s="498" customFormat="1" ht="24" customHeight="1" thickBot="1" x14ac:dyDescent="0.3">
      <c r="A84" s="495"/>
      <c r="B84" s="327"/>
      <c r="C84" s="496"/>
      <c r="D84" s="353" t="str">
        <f>L56</f>
        <v>SEMANA 1</v>
      </c>
      <c r="E84" s="328"/>
      <c r="F84" s="328"/>
      <c r="G84" s="499" t="str">
        <f>+Q56</f>
        <v>06/09/2026</v>
      </c>
      <c r="H84" s="497"/>
      <c r="I84" s="371"/>
      <c r="J84" s="372"/>
      <c r="K84" s="372"/>
      <c r="L84" s="372"/>
      <c r="M84" s="372"/>
      <c r="N84" s="373" t="str">
        <f>D84</f>
        <v>SEMANA 1</v>
      </c>
      <c r="O84" s="373"/>
      <c r="P84" s="372"/>
      <c r="Q84" s="374" t="str">
        <f>+G84</f>
        <v>06/09/2026</v>
      </c>
      <c r="R84" s="497"/>
    </row>
    <row r="85" spans="1:23" s="508" customFormat="1" ht="22.5" customHeight="1" x14ac:dyDescent="0.3">
      <c r="A85" s="500"/>
      <c r="B85" s="501"/>
      <c r="C85" s="502"/>
      <c r="D85" s="502"/>
      <c r="E85" s="502"/>
      <c r="F85" s="502"/>
      <c r="G85" s="503" t="s">
        <v>319</v>
      </c>
      <c r="H85" s="504"/>
      <c r="I85" s="505"/>
      <c r="J85" s="506"/>
      <c r="K85" s="506"/>
      <c r="L85" s="506"/>
      <c r="M85" s="506"/>
      <c r="N85" s="506"/>
      <c r="O85" s="506"/>
      <c r="P85" s="506"/>
      <c r="Q85" s="507" t="s">
        <v>320</v>
      </c>
      <c r="R85" s="504"/>
    </row>
    <row r="86" spans="1:23" s="388" customFormat="1" ht="22.5" customHeight="1" x14ac:dyDescent="0.35">
      <c r="A86" s="290"/>
      <c r="B86" s="329">
        <v>0</v>
      </c>
      <c r="C86" s="282" t="s">
        <v>9</v>
      </c>
      <c r="D86" s="283" t="s">
        <v>10</v>
      </c>
      <c r="E86" s="330" t="s">
        <v>321</v>
      </c>
      <c r="F86" s="330" t="s">
        <v>322</v>
      </c>
      <c r="G86" s="330" t="s">
        <v>323</v>
      </c>
      <c r="H86" s="290"/>
      <c r="I86" s="377">
        <v>0</v>
      </c>
      <c r="J86" s="331" t="s">
        <v>9</v>
      </c>
      <c r="K86" s="332" t="s">
        <v>10</v>
      </c>
      <c r="L86" s="333"/>
      <c r="M86" s="333"/>
      <c r="N86" s="334"/>
      <c r="O86" s="335" t="s">
        <v>321</v>
      </c>
      <c r="P86" s="330" t="s">
        <v>322</v>
      </c>
      <c r="Q86" s="330" t="s">
        <v>324</v>
      </c>
      <c r="R86" s="311"/>
    </row>
    <row r="87" spans="1:23" s="388" customFormat="1" ht="23.1" customHeight="1" x14ac:dyDescent="0.35">
      <c r="A87" s="290"/>
      <c r="B87" s="302">
        <f t="shared" ref="B87:B96" si="11">+B86+1</f>
        <v>1</v>
      </c>
      <c r="C87" s="553" t="str">
        <f t="array" ref="C87:C136">_xlfn.SORTBY(BASE01[COD],BASE01[Columna35],-1)</f>
        <v>COD 37</v>
      </c>
      <c r="D87" s="352" t="str">
        <f>_xlfn.XLOOKUP(C87,CODIGOS_Y_PAGOS[CODIGO],CODIGOS_Y_PAGOS[NOMBRE PARTICIPANTE],"")</f>
        <v>GLADIADOR HIPICO</v>
      </c>
      <c r="E87" s="336">
        <f t="shared" ref="E87:E96" si="12">VLOOKUP(C$87:C$196,C$5:P$53,9,FALSE)</f>
        <v>13</v>
      </c>
      <c r="F87" s="336">
        <f t="shared" ref="F87:F96" si="13">VLOOKUP(C$87:C$96,C$5:P$53,10,FALSE)</f>
        <v>12</v>
      </c>
      <c r="G87" s="337">
        <f t="shared" ref="G87:G96" si="14">+F87/E87</f>
        <v>0.92307692307692313</v>
      </c>
      <c r="H87" s="311"/>
      <c r="I87" s="302">
        <f t="shared" ref="I87:I96" si="15">+I86+1</f>
        <v>1</v>
      </c>
      <c r="J87" s="553" t="str">
        <f t="array" ref="J87:J136">_xlfn.SORTBY(BASE01[COD],BASE01[Columna38],-1)</f>
        <v>COD 15</v>
      </c>
      <c r="K87" s="352" t="str">
        <f>_xlfn.XLOOKUP(J87,CODIGOS_Y_PAGOS[CODIGO],CODIGOS_Y_PAGOS[NOMBRE PARTICIPANTE],"")</f>
        <v>CARLOS SUAREZ</v>
      </c>
      <c r="L87" s="338"/>
      <c r="M87" s="338"/>
      <c r="N87" s="339"/>
      <c r="O87" s="340">
        <f t="shared" ref="O87:O96" si="16">VLOOKUP(J$87:J$96,C$5:P$53,12,FALSE)</f>
        <v>3</v>
      </c>
      <c r="P87" s="340">
        <f t="shared" ref="P87:P96" si="17">VLOOKUP(J$87:J$96,C$5:P$53,13,FALSE)</f>
        <v>3</v>
      </c>
      <c r="Q87" s="378">
        <f t="shared" ref="Q87:Q96" si="18">+P87/O87</f>
        <v>1</v>
      </c>
      <c r="R87" s="311"/>
    </row>
    <row r="88" spans="1:23" s="388" customFormat="1" ht="23.1" customHeight="1" x14ac:dyDescent="0.35">
      <c r="A88" s="290"/>
      <c r="B88" s="302">
        <f t="shared" si="11"/>
        <v>2</v>
      </c>
      <c r="C88" s="553" t="str">
        <v>COD 01</v>
      </c>
      <c r="D88" s="352" t="str">
        <f>_xlfn.XLOOKUP(C88,CODIGOS_Y_PAGOS[CODIGO],CODIGOS_Y_PAGOS[NOMBRE PARTICIPANTE],"")</f>
        <v>GANADORES Y PULSO</v>
      </c>
      <c r="E88" s="336">
        <f t="shared" si="12"/>
        <v>13</v>
      </c>
      <c r="F88" s="336">
        <f t="shared" si="13"/>
        <v>11</v>
      </c>
      <c r="G88" s="337">
        <f t="shared" si="14"/>
        <v>0.84615384615384615</v>
      </c>
      <c r="H88" s="311"/>
      <c r="I88" s="302">
        <f t="shared" si="15"/>
        <v>2</v>
      </c>
      <c r="J88" s="553" t="str">
        <v>COD 23</v>
      </c>
      <c r="K88" s="352" t="str">
        <f>_xlfn.XLOOKUP(J88,CODIGOS_Y_PAGOS[CODIGO],CODIGOS_Y_PAGOS[NOMBRE PARTICIPANTE],"")</f>
        <v>GILBERT</v>
      </c>
      <c r="L88" s="341"/>
      <c r="M88" s="341"/>
      <c r="N88" s="342"/>
      <c r="O88" s="340">
        <f t="shared" si="16"/>
        <v>3</v>
      </c>
      <c r="P88" s="340">
        <f t="shared" si="17"/>
        <v>3</v>
      </c>
      <c r="Q88" s="378">
        <f t="shared" si="18"/>
        <v>1</v>
      </c>
      <c r="R88" s="311"/>
    </row>
    <row r="89" spans="1:23" s="388" customFormat="1" ht="23.1" customHeight="1" x14ac:dyDescent="0.35">
      <c r="A89" s="290"/>
      <c r="B89" s="302">
        <f t="shared" si="11"/>
        <v>3</v>
      </c>
      <c r="C89" s="553" t="str">
        <v>COD 21</v>
      </c>
      <c r="D89" s="352" t="str">
        <f>_xlfn.XLOOKUP(C89,CODIGOS_Y_PAGOS[CODIGO],CODIGOS_Y_PAGOS[NOMBRE PARTICIPANTE],"")</f>
        <v>WILMER</v>
      </c>
      <c r="E89" s="336">
        <f t="shared" si="12"/>
        <v>13</v>
      </c>
      <c r="F89" s="336">
        <f t="shared" si="13"/>
        <v>11</v>
      </c>
      <c r="G89" s="337">
        <f t="shared" si="14"/>
        <v>0.84615384615384615</v>
      </c>
      <c r="H89" s="311"/>
      <c r="I89" s="302">
        <f t="shared" si="15"/>
        <v>3</v>
      </c>
      <c r="J89" s="553" t="str">
        <v>COD 25</v>
      </c>
      <c r="K89" s="352" t="str">
        <f>_xlfn.XLOOKUP(J89,CODIGOS_Y_PAGOS[CODIGO],CODIGOS_Y_PAGOS[NOMBRE PARTICIPANTE],"")</f>
        <v>GLEY GARCIA</v>
      </c>
      <c r="L89" s="341"/>
      <c r="M89" s="341"/>
      <c r="N89" s="342"/>
      <c r="O89" s="340">
        <f t="shared" si="16"/>
        <v>3</v>
      </c>
      <c r="P89" s="340">
        <f t="shared" si="17"/>
        <v>3</v>
      </c>
      <c r="Q89" s="378">
        <f t="shared" si="18"/>
        <v>1</v>
      </c>
      <c r="R89" s="311"/>
    </row>
    <row r="90" spans="1:23" s="388" customFormat="1" ht="23.1" customHeight="1" x14ac:dyDescent="0.35">
      <c r="A90" s="290"/>
      <c r="B90" s="302">
        <f t="shared" si="11"/>
        <v>4</v>
      </c>
      <c r="C90" s="553" t="str">
        <v>COD 22</v>
      </c>
      <c r="D90" s="352" t="str">
        <f>_xlfn.XLOOKUP(C90,CODIGOS_Y_PAGOS[CODIGO],CODIGOS_Y_PAGOS[NOMBRE PARTICIPANTE],"")</f>
        <v>ROGER PIÑA</v>
      </c>
      <c r="E90" s="336">
        <f t="shared" si="12"/>
        <v>13</v>
      </c>
      <c r="F90" s="336">
        <f t="shared" si="13"/>
        <v>11</v>
      </c>
      <c r="G90" s="337">
        <f t="shared" si="14"/>
        <v>0.84615384615384615</v>
      </c>
      <c r="H90" s="311"/>
      <c r="I90" s="302">
        <f t="shared" si="15"/>
        <v>4</v>
      </c>
      <c r="J90" s="553" t="str">
        <v>COD 34</v>
      </c>
      <c r="K90" s="352" t="str">
        <f>_xlfn.XLOOKUP(J90,CODIGOS_Y_PAGOS[CODIGO],CODIGOS_Y_PAGOS[NOMBRE PARTICIPANTE],"")</f>
        <v>ROBERTO CARLOS</v>
      </c>
      <c r="L90" s="341"/>
      <c r="M90" s="341"/>
      <c r="N90" s="342"/>
      <c r="O90" s="340">
        <f t="shared" si="16"/>
        <v>3</v>
      </c>
      <c r="P90" s="340">
        <f t="shared" si="17"/>
        <v>3</v>
      </c>
      <c r="Q90" s="378">
        <f t="shared" si="18"/>
        <v>1</v>
      </c>
      <c r="R90" s="311"/>
    </row>
    <row r="91" spans="1:23" s="388" customFormat="1" ht="23.1" customHeight="1" x14ac:dyDescent="0.35">
      <c r="A91" s="290"/>
      <c r="B91" s="302">
        <f t="shared" si="11"/>
        <v>5</v>
      </c>
      <c r="C91" s="553" t="str">
        <v>COD 25</v>
      </c>
      <c r="D91" s="352" t="str">
        <f>_xlfn.XLOOKUP(C91,CODIGOS_Y_PAGOS[CODIGO],CODIGOS_Y_PAGOS[NOMBRE PARTICIPANTE],"")</f>
        <v>GLEY GARCIA</v>
      </c>
      <c r="E91" s="336">
        <f t="shared" si="12"/>
        <v>13</v>
      </c>
      <c r="F91" s="336">
        <f t="shared" si="13"/>
        <v>11</v>
      </c>
      <c r="G91" s="337">
        <f t="shared" si="14"/>
        <v>0.84615384615384615</v>
      </c>
      <c r="H91" s="311"/>
      <c r="I91" s="302">
        <f t="shared" si="15"/>
        <v>5</v>
      </c>
      <c r="J91" s="553" t="str">
        <v>COD 35</v>
      </c>
      <c r="K91" s="352" t="str">
        <f>_xlfn.XLOOKUP(J91,CODIGOS_Y_PAGOS[CODIGO],CODIGOS_Y_PAGOS[NOMBRE PARTICIPANTE],"")</f>
        <v>YOVANNY</v>
      </c>
      <c r="L91" s="341"/>
      <c r="M91" s="341"/>
      <c r="N91" s="342"/>
      <c r="O91" s="340">
        <f t="shared" si="16"/>
        <v>3</v>
      </c>
      <c r="P91" s="340">
        <f t="shared" si="17"/>
        <v>3</v>
      </c>
      <c r="Q91" s="378">
        <f t="shared" si="18"/>
        <v>1</v>
      </c>
      <c r="R91" s="311"/>
    </row>
    <row r="92" spans="1:23" s="388" customFormat="1" ht="23.1" customHeight="1" x14ac:dyDescent="0.35">
      <c r="A92" s="290"/>
      <c r="B92" s="302">
        <f t="shared" si="11"/>
        <v>6</v>
      </c>
      <c r="C92" s="553" t="str">
        <v>COD 27</v>
      </c>
      <c r="D92" s="352" t="str">
        <f>_xlfn.XLOOKUP(C92,CODIGOS_Y_PAGOS[CODIGO],CODIGOS_Y_PAGOS[NOMBRE PARTICIPANTE],"")</f>
        <v>ANDERSON HERNANDEZ</v>
      </c>
      <c r="E92" s="336">
        <f t="shared" si="12"/>
        <v>13</v>
      </c>
      <c r="F92" s="336">
        <f t="shared" si="13"/>
        <v>11</v>
      </c>
      <c r="G92" s="337">
        <f t="shared" si="14"/>
        <v>0.84615384615384615</v>
      </c>
      <c r="H92" s="311"/>
      <c r="I92" s="302">
        <f t="shared" si="15"/>
        <v>6</v>
      </c>
      <c r="J92" s="553" t="str">
        <v>COD 02</v>
      </c>
      <c r="K92" s="352" t="str">
        <f>_xlfn.XLOOKUP(J92,CODIGOS_Y_PAGOS[CODIGO],CODIGOS_Y_PAGOS[NOMBRE PARTICIPANTE],"")</f>
        <v>JESUS QUERALES</v>
      </c>
      <c r="L92" s="341"/>
      <c r="M92" s="341"/>
      <c r="N92" s="342"/>
      <c r="O92" s="340">
        <f t="shared" si="16"/>
        <v>3</v>
      </c>
      <c r="P92" s="340">
        <f t="shared" si="17"/>
        <v>2</v>
      </c>
      <c r="Q92" s="378">
        <f t="shared" si="18"/>
        <v>0.66666666666666663</v>
      </c>
      <c r="R92" s="311"/>
    </row>
    <row r="93" spans="1:23" ht="23.1" customHeight="1" x14ac:dyDescent="0.35">
      <c r="A93" s="3"/>
      <c r="B93" s="302">
        <f t="shared" si="11"/>
        <v>7</v>
      </c>
      <c r="C93" s="553" t="str">
        <v>COD 28</v>
      </c>
      <c r="D93" s="352" t="str">
        <f>_xlfn.XLOOKUP(C93,CODIGOS_Y_PAGOS[CODIGO],CODIGOS_Y_PAGOS[NOMBRE PARTICIPANTE],"")</f>
        <v>FRANKLIN DELGADO</v>
      </c>
      <c r="E93" s="336">
        <f t="shared" si="12"/>
        <v>13</v>
      </c>
      <c r="F93" s="336">
        <f t="shared" si="13"/>
        <v>11</v>
      </c>
      <c r="G93" s="337">
        <f t="shared" si="14"/>
        <v>0.84615384615384615</v>
      </c>
      <c r="H93" s="311"/>
      <c r="I93" s="302">
        <f t="shared" si="15"/>
        <v>7</v>
      </c>
      <c r="J93" s="553" t="str">
        <v>COD 03</v>
      </c>
      <c r="K93" s="352" t="str">
        <f>_xlfn.XLOOKUP(J93,CODIGOS_Y_PAGOS[CODIGO],CODIGOS_Y_PAGOS[NOMBRE PARTICIPANTE],"")</f>
        <v>MUÑECA DEL HIPISMO</v>
      </c>
      <c r="L93" s="341"/>
      <c r="M93" s="341"/>
      <c r="N93" s="342"/>
      <c r="O93" s="340">
        <f t="shared" si="16"/>
        <v>3</v>
      </c>
      <c r="P93" s="340">
        <f t="shared" si="17"/>
        <v>2</v>
      </c>
      <c r="Q93" s="378">
        <f t="shared" si="18"/>
        <v>0.66666666666666663</v>
      </c>
      <c r="R93" s="3"/>
    </row>
    <row r="94" spans="1:23" ht="23.1" customHeight="1" x14ac:dyDescent="0.35">
      <c r="B94" s="302">
        <f t="shared" si="11"/>
        <v>8</v>
      </c>
      <c r="C94" s="553" t="str">
        <v>COD 29</v>
      </c>
      <c r="D94" s="352" t="str">
        <f>_xlfn.XLOOKUP(C94,CODIGOS_Y_PAGOS[CODIGO],CODIGOS_Y_PAGOS[NOMBRE PARTICIPANTE],"")</f>
        <v>JEAN MARCO</v>
      </c>
      <c r="E94" s="336">
        <f t="shared" si="12"/>
        <v>13</v>
      </c>
      <c r="F94" s="336">
        <f t="shared" si="13"/>
        <v>11</v>
      </c>
      <c r="G94" s="337">
        <f t="shared" si="14"/>
        <v>0.84615384615384615</v>
      </c>
      <c r="H94" s="311"/>
      <c r="I94" s="302">
        <f t="shared" si="15"/>
        <v>8</v>
      </c>
      <c r="J94" s="553" t="str">
        <v>COD 05</v>
      </c>
      <c r="K94" s="352" t="str">
        <f>_xlfn.XLOOKUP(J94,CODIGOS_Y_PAGOS[CODIGO],CODIGOS_Y_PAGOS[NOMBRE PARTICIPANTE],"")</f>
        <v>MARCOS HIDALGO</v>
      </c>
      <c r="L94" s="341"/>
      <c r="M94" s="341"/>
      <c r="N94" s="342"/>
      <c r="O94" s="340">
        <f t="shared" si="16"/>
        <v>3</v>
      </c>
      <c r="P94" s="340">
        <f t="shared" si="17"/>
        <v>2</v>
      </c>
      <c r="Q94" s="378">
        <f t="shared" si="18"/>
        <v>0.66666666666666663</v>
      </c>
      <c r="R94" s="3"/>
    </row>
    <row r="95" spans="1:23" ht="23.1" customHeight="1" x14ac:dyDescent="0.35">
      <c r="B95" s="302">
        <f t="shared" si="11"/>
        <v>9</v>
      </c>
      <c r="C95" s="553" t="str">
        <v>COD 34</v>
      </c>
      <c r="D95" s="352" t="str">
        <f>_xlfn.XLOOKUP(C95,CODIGOS_Y_PAGOS[CODIGO],CODIGOS_Y_PAGOS[NOMBRE PARTICIPANTE],"")</f>
        <v>ROBERTO CARLOS</v>
      </c>
      <c r="E95" s="336">
        <f t="shared" si="12"/>
        <v>13</v>
      </c>
      <c r="F95" s="336">
        <f t="shared" si="13"/>
        <v>11</v>
      </c>
      <c r="G95" s="337">
        <f t="shared" si="14"/>
        <v>0.84615384615384615</v>
      </c>
      <c r="H95" s="311"/>
      <c r="I95" s="302">
        <f t="shared" si="15"/>
        <v>9</v>
      </c>
      <c r="J95" s="553" t="str">
        <v>COD 07</v>
      </c>
      <c r="K95" s="352" t="str">
        <f>_xlfn.XLOOKUP(J95,CODIGOS_Y_PAGOS[CODIGO],CODIGOS_Y_PAGOS[NOMBRE PARTICIPANTE],"")</f>
        <v>NELSON OSORIO</v>
      </c>
      <c r="L95" s="341"/>
      <c r="M95" s="341"/>
      <c r="N95" s="342"/>
      <c r="O95" s="340">
        <f t="shared" si="16"/>
        <v>3</v>
      </c>
      <c r="P95" s="340">
        <f t="shared" si="17"/>
        <v>2</v>
      </c>
      <c r="Q95" s="378">
        <f t="shared" si="18"/>
        <v>0.66666666666666663</v>
      </c>
      <c r="R95" s="3"/>
    </row>
    <row r="96" spans="1:23" ht="23.1" customHeight="1" thickBot="1" x14ac:dyDescent="0.4">
      <c r="B96" s="302">
        <f t="shared" si="11"/>
        <v>10</v>
      </c>
      <c r="C96" s="553" t="str">
        <v>COD 03</v>
      </c>
      <c r="D96" s="352" t="str">
        <f>_xlfn.XLOOKUP(C96,CODIGOS_Y_PAGOS[CODIGO],CODIGOS_Y_PAGOS[NOMBRE PARTICIPANTE],"")</f>
        <v>MUÑECA DEL HIPISMO</v>
      </c>
      <c r="E96" s="336">
        <f t="shared" si="12"/>
        <v>13</v>
      </c>
      <c r="F96" s="336">
        <f t="shared" si="13"/>
        <v>10</v>
      </c>
      <c r="G96" s="343">
        <f t="shared" si="14"/>
        <v>0.76923076923076927</v>
      </c>
      <c r="H96" s="311"/>
      <c r="I96" s="302">
        <f t="shared" si="15"/>
        <v>10</v>
      </c>
      <c r="J96" s="553" t="str">
        <v>COD 08</v>
      </c>
      <c r="K96" s="352" t="str">
        <f>_xlfn.XLOOKUP(J96,CODIGOS_Y_PAGOS[CODIGO],CODIGOS_Y_PAGOS[NOMBRE PARTICIPANTE],"")</f>
        <v>RUBEN DARIO CARDENAS</v>
      </c>
      <c r="L96" s="341"/>
      <c r="M96" s="341"/>
      <c r="N96" s="342"/>
      <c r="O96" s="340">
        <f t="shared" si="16"/>
        <v>3</v>
      </c>
      <c r="P96" s="340">
        <f t="shared" si="17"/>
        <v>2</v>
      </c>
      <c r="Q96" s="378">
        <f t="shared" si="18"/>
        <v>0.66666666666666663</v>
      </c>
      <c r="R96" s="3"/>
    </row>
    <row r="97" spans="2:18" ht="7.5" customHeight="1" x14ac:dyDescent="0.25">
      <c r="B97" s="326"/>
      <c r="C97" s="346" t="str">
        <v>COD 05</v>
      </c>
      <c r="D97" s="3"/>
      <c r="E97" s="3"/>
      <c r="F97" s="3"/>
      <c r="G97" s="3"/>
      <c r="H97" s="3"/>
      <c r="I97" s="3"/>
      <c r="J97" s="346" t="str">
        <v>COD 10</v>
      </c>
      <c r="K97" s="3"/>
      <c r="L97" s="3"/>
      <c r="M97" s="3"/>
      <c r="N97" s="3"/>
      <c r="O97" s="3"/>
      <c r="P97" s="3"/>
      <c r="Q97" s="3"/>
      <c r="R97" s="3"/>
    </row>
    <row r="98" spans="2:18" x14ac:dyDescent="0.25">
      <c r="C98" s="72" t="str">
        <v>COD 09</v>
      </c>
      <c r="J98" s="72" t="str">
        <v>COD 13</v>
      </c>
      <c r="R98" s="3"/>
    </row>
    <row r="99" spans="2:18" x14ac:dyDescent="0.25">
      <c r="C99" s="72" t="str">
        <v>COD 10</v>
      </c>
      <c r="J99" s="72" t="str">
        <v>COD 16</v>
      </c>
      <c r="R99" s="3"/>
    </row>
    <row r="100" spans="2:18" x14ac:dyDescent="0.25">
      <c r="C100" s="72" t="str">
        <v>COD 11</v>
      </c>
      <c r="J100" s="72" t="str">
        <v>COD 17</v>
      </c>
      <c r="R100" s="3"/>
    </row>
    <row r="101" spans="2:18" x14ac:dyDescent="0.25">
      <c r="C101" s="72" t="str">
        <v>COD 14</v>
      </c>
      <c r="J101" s="72" t="str">
        <v>COD 18</v>
      </c>
      <c r="R101" s="3"/>
    </row>
    <row r="102" spans="2:18" x14ac:dyDescent="0.25">
      <c r="C102" s="72" t="str">
        <v>COD 15</v>
      </c>
      <c r="J102" s="72" t="str">
        <v>COD 19</v>
      </c>
      <c r="R102" s="3"/>
    </row>
    <row r="103" spans="2:18" x14ac:dyDescent="0.25">
      <c r="C103" s="72" t="str">
        <v>COD 16</v>
      </c>
      <c r="J103" s="72" t="str">
        <v>COD 21</v>
      </c>
      <c r="R103" s="3"/>
    </row>
    <row r="104" spans="2:18" x14ac:dyDescent="0.25">
      <c r="C104" s="72" t="str">
        <v>COD 18</v>
      </c>
      <c r="J104" s="72" t="str">
        <v>COD 22</v>
      </c>
    </row>
    <row r="105" spans="2:18" x14ac:dyDescent="0.25">
      <c r="C105" s="72" t="str">
        <v>COD 23</v>
      </c>
      <c r="J105" s="72" t="str">
        <v>COD 24</v>
      </c>
    </row>
    <row r="106" spans="2:18" x14ac:dyDescent="0.25">
      <c r="C106" s="72" t="str">
        <v>COD 26</v>
      </c>
      <c r="J106" s="72" t="str">
        <v>COD 26</v>
      </c>
    </row>
    <row r="107" spans="2:18" x14ac:dyDescent="0.25">
      <c r="C107" s="72" t="str">
        <v>COD 32</v>
      </c>
      <c r="J107" s="72" t="str">
        <v>COD 27</v>
      </c>
    </row>
    <row r="108" spans="2:18" x14ac:dyDescent="0.25">
      <c r="C108" s="72" t="str">
        <v>COD 38</v>
      </c>
      <c r="J108" s="72" t="str">
        <v>COD 28</v>
      </c>
    </row>
    <row r="109" spans="2:18" x14ac:dyDescent="0.25">
      <c r="C109" s="72" t="str">
        <v>COD 02</v>
      </c>
      <c r="J109" s="72" t="str">
        <v>COD 30</v>
      </c>
    </row>
    <row r="110" spans="2:18" x14ac:dyDescent="0.25">
      <c r="C110" s="72" t="str">
        <v>COD 12</v>
      </c>
      <c r="J110" s="72" t="str">
        <v>COD 32</v>
      </c>
    </row>
    <row r="111" spans="2:18" x14ac:dyDescent="0.25">
      <c r="C111" s="72" t="str">
        <v>COD 20</v>
      </c>
      <c r="J111" s="72" t="str">
        <v>COD 33</v>
      </c>
    </row>
    <row r="112" spans="2:18" x14ac:dyDescent="0.25">
      <c r="C112" s="72" t="str">
        <v>COD 31</v>
      </c>
      <c r="J112" s="72" t="str">
        <v>COD 36</v>
      </c>
    </row>
    <row r="113" spans="3:10" x14ac:dyDescent="0.25">
      <c r="C113" s="72" t="str">
        <v>COD 33</v>
      </c>
      <c r="J113" s="72" t="str">
        <v>COD 37</v>
      </c>
    </row>
    <row r="114" spans="3:10" x14ac:dyDescent="0.25">
      <c r="C114" s="72" t="str">
        <v>COD 35</v>
      </c>
      <c r="J114" s="72" t="str">
        <v>COD 38</v>
      </c>
    </row>
    <row r="115" spans="3:10" x14ac:dyDescent="0.25">
      <c r="C115" s="72" t="str">
        <v>COD 36</v>
      </c>
      <c r="J115" s="72" t="str">
        <v>COD 06</v>
      </c>
    </row>
    <row r="116" spans="3:10" x14ac:dyDescent="0.25">
      <c r="C116" s="72" t="str">
        <v>COD 08</v>
      </c>
      <c r="J116" s="72" t="str">
        <v>COD 12</v>
      </c>
    </row>
    <row r="117" spans="3:10" x14ac:dyDescent="0.25">
      <c r="C117" s="72" t="str">
        <v>COD 13</v>
      </c>
      <c r="J117" s="72" t="str">
        <v>COD 01</v>
      </c>
    </row>
    <row r="118" spans="3:10" x14ac:dyDescent="0.25">
      <c r="C118" s="72" t="str">
        <v>COD 17</v>
      </c>
      <c r="J118" s="72" t="str">
        <v>COD 04</v>
      </c>
    </row>
    <row r="119" spans="3:10" x14ac:dyDescent="0.25">
      <c r="C119" s="72" t="str">
        <v>COD 19</v>
      </c>
      <c r="J119" s="72" t="str">
        <v>COD 09</v>
      </c>
    </row>
    <row r="120" spans="3:10" x14ac:dyDescent="0.25">
      <c r="C120" s="72" t="str">
        <v>COD 06</v>
      </c>
      <c r="J120" s="72" t="str">
        <v>COD 11</v>
      </c>
    </row>
    <row r="121" spans="3:10" x14ac:dyDescent="0.25">
      <c r="C121" s="72" t="str">
        <v>COD 07</v>
      </c>
      <c r="J121" s="72" t="str">
        <v>COD 20</v>
      </c>
    </row>
    <row r="122" spans="3:10" x14ac:dyDescent="0.25">
      <c r="C122" s="72" t="str">
        <v>COD 24</v>
      </c>
      <c r="J122" s="72" t="str">
        <v>COD 29</v>
      </c>
    </row>
    <row r="123" spans="3:10" x14ac:dyDescent="0.25">
      <c r="C123" s="72" t="str">
        <v>COD 30</v>
      </c>
      <c r="J123" s="72" t="str">
        <v>COD 31</v>
      </c>
    </row>
    <row r="124" spans="3:10" x14ac:dyDescent="0.25">
      <c r="C124" s="72" t="str">
        <v>COD 04</v>
      </c>
      <c r="J124" s="72" t="str">
        <v>COD 14</v>
      </c>
    </row>
    <row r="125" spans="3:10" x14ac:dyDescent="0.25">
      <c r="C125" s="72" t="str">
        <v>COD 39</v>
      </c>
      <c r="J125" s="72" t="str">
        <v>COD 39</v>
      </c>
    </row>
    <row r="126" spans="3:10" x14ac:dyDescent="0.25">
      <c r="C126" s="72" t="str">
        <v>COD 40</v>
      </c>
      <c r="J126" s="72" t="str">
        <v>COD 40</v>
      </c>
    </row>
    <row r="127" spans="3:10" x14ac:dyDescent="0.25">
      <c r="C127" s="72" t="str">
        <v>COD 41</v>
      </c>
      <c r="J127" s="72" t="str">
        <v>COD 41</v>
      </c>
    </row>
    <row r="128" spans="3:10" x14ac:dyDescent="0.25">
      <c r="C128" s="72" t="str">
        <v>COD 42</v>
      </c>
      <c r="J128" s="72" t="str">
        <v>COD 42</v>
      </c>
    </row>
    <row r="129" spans="3:10" x14ac:dyDescent="0.25">
      <c r="C129" t="str">
        <v>COD 43</v>
      </c>
      <c r="J129" t="str">
        <v>COD 43</v>
      </c>
    </row>
    <row r="130" spans="3:10" x14ac:dyDescent="0.25">
      <c r="C130" t="str">
        <v>COD 44</v>
      </c>
      <c r="J130" t="str">
        <v>COD 44</v>
      </c>
    </row>
    <row r="131" spans="3:10" x14ac:dyDescent="0.25">
      <c r="C131" t="str">
        <v>COD 45</v>
      </c>
      <c r="J131" t="str">
        <v>COD 45</v>
      </c>
    </row>
    <row r="132" spans="3:10" x14ac:dyDescent="0.25">
      <c r="C132" t="str">
        <v>COD 46</v>
      </c>
      <c r="J132" t="str">
        <v>COD 46</v>
      </c>
    </row>
    <row r="133" spans="3:10" x14ac:dyDescent="0.25">
      <c r="C133" t="str">
        <v>COD 47</v>
      </c>
      <c r="J133" t="str">
        <v>COD 47</v>
      </c>
    </row>
    <row r="134" spans="3:10" x14ac:dyDescent="0.25">
      <c r="C134" t="str">
        <v>COD 48</v>
      </c>
      <c r="J134" t="str">
        <v>COD 48</v>
      </c>
    </row>
    <row r="135" spans="3:10" x14ac:dyDescent="0.25">
      <c r="C135" t="str">
        <v>COD 49</v>
      </c>
      <c r="J135" t="str">
        <v>COD 49</v>
      </c>
    </row>
    <row r="136" spans="3:10" x14ac:dyDescent="0.25">
      <c r="C136" t="str">
        <v>COD 50</v>
      </c>
      <c r="J136" t="str">
        <v>COD 50</v>
      </c>
    </row>
  </sheetData>
  <mergeCells count="13">
    <mergeCell ref="E82:J82"/>
    <mergeCell ref="E76:J76"/>
    <mergeCell ref="M58:O58"/>
    <mergeCell ref="E78:J78"/>
    <mergeCell ref="E75:J75"/>
    <mergeCell ref="E79:J79"/>
    <mergeCell ref="E73:J73"/>
    <mergeCell ref="E74:J74"/>
    <mergeCell ref="E72:J72"/>
    <mergeCell ref="E77:J77"/>
    <mergeCell ref="E71:J71"/>
    <mergeCell ref="E81:J81"/>
    <mergeCell ref="E80:J80"/>
  </mergeCells>
  <conditionalFormatting sqref="B4">
    <cfRule type="containsText" priority="33" operator="containsText" text="0">
      <formula>NOT(ISERROR(SEARCH("0",B4)))</formula>
    </cfRule>
  </conditionalFormatting>
  <conditionalFormatting sqref="D5:D54">
    <cfRule type="expression" dxfId="322" priority="15">
      <formula>$K5=$L5</formula>
    </cfRule>
  </conditionalFormatting>
  <conditionalFormatting sqref="M71:M82">
    <cfRule type="cellIs" dxfId="321" priority="17" operator="between">
      <formula>1</formula>
      <formula>18</formula>
    </cfRule>
    <cfRule type="containsText" dxfId="320" priority="18" operator="containsText" text="V">
      <formula>NOT(ISERROR(SEARCH("V",M71)))</formula>
    </cfRule>
  </conditionalFormatting>
  <conditionalFormatting sqref="N71:N82">
    <cfRule type="cellIs" dxfId="319" priority="1" operator="equal">
      <formula>14</formula>
    </cfRule>
    <cfRule type="cellIs" dxfId="318" priority="2" operator="equal">
      <formula>13</formula>
    </cfRule>
    <cfRule type="cellIs" dxfId="317" priority="3" operator="equal">
      <formula>12</formula>
    </cfRule>
    <cfRule type="cellIs" dxfId="316" priority="4" operator="equal">
      <formula>11</formula>
    </cfRule>
    <cfRule type="cellIs" dxfId="315" priority="5" operator="equal">
      <formula>10</formula>
    </cfRule>
    <cfRule type="cellIs" dxfId="314" priority="6" operator="equal">
      <formula>9</formula>
    </cfRule>
    <cfRule type="cellIs" dxfId="313" priority="7" operator="equal">
      <formula>8</formula>
    </cfRule>
    <cfRule type="cellIs" dxfId="312" priority="8" operator="equal">
      <formula>7</formula>
    </cfRule>
    <cfRule type="cellIs" dxfId="311" priority="9" operator="equal">
      <formula>6</formula>
    </cfRule>
    <cfRule type="cellIs" dxfId="310" priority="10" operator="equal">
      <formula>5</formula>
    </cfRule>
    <cfRule type="cellIs" dxfId="309" priority="11" operator="equal">
      <formula>4</formula>
    </cfRule>
    <cfRule type="cellIs" dxfId="308" priority="12" operator="equal">
      <formula>3</formula>
    </cfRule>
    <cfRule type="cellIs" dxfId="307" priority="13" operator="equal">
      <formula>2</formula>
    </cfRule>
    <cfRule type="cellIs" dxfId="306" priority="14" operator="equal">
      <formula>1</formula>
    </cfRule>
  </conditionalFormatting>
  <pageMargins left="0.23622047244094491" right="0.23622047244094491" top="7.874015748031496E-2" bottom="7.874015748031496E-2" header="0" footer="0"/>
  <pageSetup paperSize="3" scale="72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J208"/>
  <sheetViews>
    <sheetView showGridLines="0" topLeftCell="A32" zoomScale="59" zoomScaleNormal="59" workbookViewId="0">
      <selection activeCell="C8" sqref="C8:C57"/>
    </sheetView>
  </sheetViews>
  <sheetFormatPr baseColWidth="10" defaultRowHeight="15" outlineLevelRow="1" outlineLevelCol="1" x14ac:dyDescent="0.25"/>
  <cols>
    <col min="1" max="1" width="3.42578125" style="514" customWidth="1"/>
    <col min="2" max="2" width="14.7109375" style="9" customWidth="1"/>
    <col min="3" max="3" width="24" style="514" customWidth="1"/>
    <col min="4" max="4" width="22.7109375" style="514" customWidth="1"/>
    <col min="5" max="5" width="8.140625" style="514" customWidth="1"/>
    <col min="6" max="13" width="6.7109375" style="514" customWidth="1"/>
    <col min="14" max="14" width="7.42578125" style="514" customWidth="1"/>
    <col min="15" max="31" width="6.7109375" style="514" customWidth="1"/>
    <col min="32" max="32" width="7.42578125" style="514" customWidth="1"/>
    <col min="33" max="40" width="6.7109375" style="514" customWidth="1"/>
    <col min="41" max="41" width="7.42578125" style="514" customWidth="1"/>
    <col min="42" max="43" width="6.7109375" style="514" customWidth="1"/>
    <col min="44" max="44" width="7.140625" style="514" customWidth="1"/>
    <col min="45" max="58" width="6.7109375" style="514" customWidth="1"/>
    <col min="59" max="59" width="7" style="351" customWidth="1"/>
    <col min="60" max="63" width="6.7109375" style="514" customWidth="1"/>
    <col min="64" max="64" width="6.7109375" style="351" customWidth="1"/>
    <col min="65" max="67" width="6.7109375" style="514" customWidth="1"/>
    <col min="68" max="68" width="7.140625" style="514" customWidth="1"/>
    <col min="69" max="74" width="6.7109375" style="514" customWidth="1"/>
    <col min="75" max="84" width="6.7109375" style="514" customWidth="1" outlineLevel="1"/>
    <col min="85" max="89" width="6.7109375" style="514" customWidth="1"/>
    <col min="90" max="90" width="8.140625" style="514" customWidth="1"/>
    <col min="91" max="92" width="6.7109375" style="514" customWidth="1"/>
    <col min="93" max="93" width="8.5703125" style="514" customWidth="1"/>
    <col min="94" max="95" width="6.7109375" style="514" customWidth="1"/>
    <col min="96" max="96" width="12.42578125" style="514" customWidth="1"/>
    <col min="97" max="100" width="15.7109375" style="514" customWidth="1"/>
    <col min="101" max="101" width="2.7109375" style="514" customWidth="1"/>
    <col min="103" max="103" width="17" style="514" customWidth="1"/>
    <col min="104" max="104" width="18.140625" style="514" customWidth="1"/>
    <col min="105" max="105" width="14.42578125" style="514" bestFit="1" customWidth="1"/>
    <col min="106" max="106" width="18.28515625" style="514" customWidth="1"/>
    <col min="122" max="122" width="13.42578125" style="514" bestFit="1" customWidth="1"/>
    <col min="137" max="137" width="13.7109375" style="514" bestFit="1" customWidth="1"/>
    <col min="140" max="140" width="13.42578125" style="514" bestFit="1" customWidth="1"/>
  </cols>
  <sheetData>
    <row r="1" spans="1:140" ht="15.75" customHeight="1" x14ac:dyDescent="0.3">
      <c r="B1" s="72">
        <v>0</v>
      </c>
      <c r="CV1" s="73" t="s">
        <v>133</v>
      </c>
      <c r="CX1" s="74" t="s">
        <v>133</v>
      </c>
      <c r="DA1" s="72" t="s">
        <v>133</v>
      </c>
    </row>
    <row r="2" spans="1:140" s="515" customFormat="1" ht="24" customHeight="1" thickBot="1" x14ac:dyDescent="0.3">
      <c r="B2" s="434" t="s">
        <v>134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  <c r="AG2" s="435"/>
      <c r="AH2" s="435"/>
      <c r="AI2" s="435"/>
      <c r="AJ2" s="435"/>
      <c r="AK2" s="435"/>
      <c r="AL2" s="435"/>
      <c r="AM2" s="435"/>
      <c r="AN2" s="435"/>
      <c r="AO2" s="435"/>
      <c r="AP2" s="435"/>
      <c r="AQ2" s="435"/>
      <c r="AR2" s="435"/>
      <c r="AS2" s="435"/>
      <c r="AT2" s="435"/>
      <c r="AU2" s="435"/>
      <c r="AV2" s="435"/>
      <c r="AW2" s="435"/>
      <c r="AX2" s="435"/>
      <c r="AY2" s="435"/>
      <c r="AZ2" s="435"/>
      <c r="BA2" s="435"/>
      <c r="BB2" s="435"/>
      <c r="BC2" s="435"/>
      <c r="BD2" s="435"/>
      <c r="BE2" s="435"/>
      <c r="BF2" s="435"/>
      <c r="BG2" s="436"/>
      <c r="BH2" s="435"/>
      <c r="BI2" s="435"/>
      <c r="BJ2" s="435"/>
      <c r="BK2" s="435"/>
      <c r="BL2" s="436"/>
      <c r="BM2" s="435"/>
      <c r="BN2" s="435"/>
      <c r="BO2" s="435"/>
      <c r="BP2" s="435"/>
      <c r="BQ2" s="435"/>
      <c r="BR2" s="435"/>
      <c r="BS2" s="435"/>
      <c r="BT2" s="435"/>
      <c r="BU2" s="435"/>
      <c r="BV2" s="435"/>
      <c r="BW2" s="435"/>
      <c r="BX2" s="435"/>
      <c r="BY2" s="435"/>
      <c r="BZ2" s="435"/>
      <c r="CA2" s="435"/>
      <c r="CB2" s="435"/>
      <c r="CC2" s="435"/>
      <c r="CD2" s="435"/>
      <c r="CE2" s="435"/>
      <c r="CF2" s="435"/>
      <c r="CG2" s="435"/>
      <c r="CH2" s="435"/>
      <c r="CI2" s="435"/>
      <c r="CJ2" s="435"/>
      <c r="CK2" s="435"/>
      <c r="CL2" s="435"/>
      <c r="CM2" s="435"/>
      <c r="CN2" s="435"/>
      <c r="CO2" s="435"/>
      <c r="CP2" s="435"/>
      <c r="CQ2" s="435"/>
      <c r="CR2" s="435"/>
      <c r="CS2" s="437"/>
      <c r="CT2" s="437"/>
      <c r="CU2" s="435"/>
      <c r="CV2" s="438"/>
      <c r="CX2" s="75" t="s">
        <v>135</v>
      </c>
      <c r="DA2" s="76" t="s">
        <v>135</v>
      </c>
    </row>
    <row r="3" spans="1:140" s="79" customFormat="1" ht="24" customHeight="1" thickBot="1" x14ac:dyDescent="0.3">
      <c r="A3" s="515"/>
      <c r="B3" s="439" t="s">
        <v>136</v>
      </c>
      <c r="C3" s="249"/>
      <c r="D3" s="248" t="str">
        <f>CODIGOS_Y_PAGOS[[#Headers],[13/09/2026]]</f>
        <v>13/09/2026</v>
      </c>
      <c r="E3" s="249"/>
      <c r="F3" s="244" t="s">
        <v>137</v>
      </c>
      <c r="G3" s="245"/>
      <c r="H3" s="245"/>
      <c r="I3" s="245"/>
      <c r="J3" s="246"/>
      <c r="K3" s="246"/>
      <c r="L3" s="246"/>
      <c r="M3" s="246"/>
      <c r="N3" s="247"/>
      <c r="O3" s="239">
        <f>CONTROL!H2</f>
        <v>1000</v>
      </c>
      <c r="P3" s="77"/>
      <c r="Q3" s="77"/>
      <c r="R3" s="77"/>
      <c r="S3" s="77"/>
      <c r="T3" s="569" t="s">
        <v>138</v>
      </c>
      <c r="U3" s="570"/>
      <c r="V3" s="570"/>
      <c r="W3" s="570"/>
      <c r="X3" s="570"/>
      <c r="Y3" s="570"/>
      <c r="Z3" s="570"/>
      <c r="AA3" s="570"/>
      <c r="AB3" s="564"/>
      <c r="AC3" s="419">
        <f>COUNTA(SEMANA2[COD])-COUNTIF(SEMANA2[TIPO],"NO ENVIÓ")</f>
        <v>39</v>
      </c>
      <c r="AD3" s="457"/>
      <c r="AE3" s="457"/>
      <c r="AF3" s="457"/>
      <c r="AG3" s="458"/>
      <c r="AH3" s="572" t="s">
        <v>139</v>
      </c>
      <c r="AI3" s="570"/>
      <c r="AJ3" s="570"/>
      <c r="AK3" s="570"/>
      <c r="AL3" s="570"/>
      <c r="AM3" s="564"/>
      <c r="AN3" s="419">
        <f>COUNTIF(SEMANA2[TIPO],"PREMIO")</f>
        <v>36</v>
      </c>
      <c r="AO3" s="457"/>
      <c r="AP3" s="457"/>
      <c r="AQ3" s="457"/>
      <c r="AR3" s="458"/>
      <c r="AS3" s="241" t="s">
        <v>140</v>
      </c>
      <c r="AT3" s="242"/>
      <c r="AU3" s="242"/>
      <c r="AV3" s="242"/>
      <c r="AW3" s="242"/>
      <c r="AX3" s="243"/>
      <c r="AY3" s="239">
        <f>+O3*AN3</f>
        <v>36000</v>
      </c>
      <c r="AZ3" s="240"/>
      <c r="BA3" s="240"/>
      <c r="BB3" s="240"/>
      <c r="BC3" s="216"/>
      <c r="BD3" s="216"/>
      <c r="BE3" s="216"/>
      <c r="BF3" s="216"/>
      <c r="BG3" s="217"/>
      <c r="BH3" s="216"/>
      <c r="BI3" s="216"/>
      <c r="BJ3" s="216"/>
      <c r="BK3" s="216"/>
      <c r="BL3" s="217"/>
      <c r="BM3" s="216"/>
      <c r="BN3" s="216"/>
      <c r="BO3" s="216"/>
      <c r="BP3" s="216"/>
      <c r="BQ3" s="216"/>
      <c r="BR3" s="216"/>
      <c r="BS3" s="216"/>
      <c r="BT3" s="216"/>
      <c r="BU3" s="216"/>
      <c r="BV3" s="216"/>
      <c r="BW3" s="216"/>
      <c r="BX3" s="216"/>
      <c r="BY3" s="216"/>
      <c r="BZ3" s="216"/>
      <c r="CA3" s="216"/>
      <c r="CB3" s="216"/>
      <c r="CC3" s="216"/>
      <c r="CD3" s="216"/>
      <c r="CE3" s="216"/>
      <c r="CF3" s="216"/>
      <c r="CG3" s="218" t="s">
        <v>325</v>
      </c>
      <c r="CH3" s="218"/>
      <c r="CI3" s="218"/>
      <c r="CJ3" s="218"/>
      <c r="CK3" s="218"/>
      <c r="CL3" s="218"/>
      <c r="CM3" s="218"/>
      <c r="CN3" s="218"/>
      <c r="CO3" s="218"/>
      <c r="CP3" s="218"/>
      <c r="CQ3" s="218"/>
      <c r="CR3" s="218"/>
      <c r="CS3" s="222"/>
      <c r="CT3" s="223"/>
      <c r="CU3" s="228"/>
      <c r="CV3" s="440"/>
      <c r="CW3" s="515"/>
      <c r="CX3" s="78" t="s">
        <v>142</v>
      </c>
    </row>
    <row r="4" spans="1:140" s="79" customFormat="1" ht="21" customHeight="1" thickBot="1" x14ac:dyDescent="0.4">
      <c r="A4" s="515"/>
      <c r="B4" s="254">
        <f>COUNTA(F6,K6,P6,U6,Z6,AE6,AJ6,AO6,AT6,AY6,BD6,BI6,BN6,BS6,BX6,CC6)</f>
        <v>14</v>
      </c>
      <c r="C4" s="250" t="s">
        <v>143</v>
      </c>
      <c r="D4" s="251" t="s">
        <v>144</v>
      </c>
      <c r="E4" s="523">
        <f>D5+1</f>
        <v>1</v>
      </c>
      <c r="F4" s="256"/>
      <c r="G4" s="256"/>
      <c r="H4" s="257"/>
      <c r="I4" s="258"/>
      <c r="J4" s="523">
        <f>E4+1</f>
        <v>2</v>
      </c>
      <c r="K4" s="256"/>
      <c r="L4" s="256"/>
      <c r="M4" s="257"/>
      <c r="N4" s="258"/>
      <c r="O4" s="523">
        <f>J4+1</f>
        <v>3</v>
      </c>
      <c r="P4" s="256"/>
      <c r="Q4" s="256"/>
      <c r="R4" s="257"/>
      <c r="S4" s="258"/>
      <c r="T4" s="523">
        <f>O4+1</f>
        <v>4</v>
      </c>
      <c r="U4" s="256"/>
      <c r="V4" s="256"/>
      <c r="W4" s="257"/>
      <c r="X4" s="258"/>
      <c r="Y4" s="523">
        <f>T4+1</f>
        <v>5</v>
      </c>
      <c r="Z4" s="256"/>
      <c r="AA4" s="256"/>
      <c r="AB4" s="257"/>
      <c r="AC4" s="258"/>
      <c r="AD4" s="523">
        <f>Y4+1</f>
        <v>6</v>
      </c>
      <c r="AE4" s="256"/>
      <c r="AF4" s="256"/>
      <c r="AG4" s="257"/>
      <c r="AH4" s="258"/>
      <c r="AI4" s="523">
        <f>AD4+1</f>
        <v>7</v>
      </c>
      <c r="AJ4" s="256"/>
      <c r="AK4" s="256"/>
      <c r="AL4" s="257"/>
      <c r="AM4" s="258"/>
      <c r="AN4" s="523">
        <f>AI4+1</f>
        <v>8</v>
      </c>
      <c r="AO4" s="256"/>
      <c r="AP4" s="256"/>
      <c r="AQ4" s="257"/>
      <c r="AR4" s="258"/>
      <c r="AS4" s="523">
        <f>AN4+1</f>
        <v>9</v>
      </c>
      <c r="AT4" s="256"/>
      <c r="AU4" s="256"/>
      <c r="AV4" s="257"/>
      <c r="AW4" s="258"/>
      <c r="AX4" s="523">
        <f>AS4+1</f>
        <v>10</v>
      </c>
      <c r="AY4" s="256"/>
      <c r="AZ4" s="256"/>
      <c r="BA4" s="257"/>
      <c r="BB4" s="258"/>
      <c r="BC4" s="523">
        <f>AX4+1</f>
        <v>11</v>
      </c>
      <c r="BD4" s="256"/>
      <c r="BE4" s="256"/>
      <c r="BF4" s="257"/>
      <c r="BG4" s="258"/>
      <c r="BH4" s="523">
        <f>BC4+1</f>
        <v>12</v>
      </c>
      <c r="BI4" s="256"/>
      <c r="BJ4" s="256"/>
      <c r="BK4" s="257"/>
      <c r="BL4" s="258"/>
      <c r="BM4" s="523">
        <f>BH4+1</f>
        <v>13</v>
      </c>
      <c r="BN4" s="256"/>
      <c r="BO4" s="256"/>
      <c r="BP4" s="257"/>
      <c r="BQ4" s="258"/>
      <c r="BR4" s="523">
        <f>BM4+1</f>
        <v>14</v>
      </c>
      <c r="BS4" s="256"/>
      <c r="BT4" s="256"/>
      <c r="BU4" s="257"/>
      <c r="BV4" s="258"/>
      <c r="BW4" s="523">
        <f>BR4+1</f>
        <v>15</v>
      </c>
      <c r="BX4" s="256"/>
      <c r="BY4" s="256"/>
      <c r="BZ4" s="257"/>
      <c r="CA4" s="258"/>
      <c r="CB4" s="523">
        <f>BW4+1</f>
        <v>16</v>
      </c>
      <c r="CC4" s="256"/>
      <c r="CD4" s="256"/>
      <c r="CE4" s="257"/>
      <c r="CF4" s="258"/>
      <c r="CG4" s="219" t="s">
        <v>145</v>
      </c>
      <c r="CH4" s="220"/>
      <c r="CI4" s="220"/>
      <c r="CJ4" s="220"/>
      <c r="CK4" s="220"/>
      <c r="CL4" s="220"/>
      <c r="CM4" s="220"/>
      <c r="CN4" s="220"/>
      <c r="CO4" s="220"/>
      <c r="CP4" s="220"/>
      <c r="CQ4" s="220"/>
      <c r="CR4" s="220"/>
      <c r="CS4" s="224"/>
      <c r="CT4" s="225"/>
      <c r="CU4" s="230"/>
      <c r="CV4" s="441"/>
      <c r="CW4" s="515"/>
      <c r="CX4" s="78" t="s">
        <v>146</v>
      </c>
    </row>
    <row r="5" spans="1:140" s="79" customFormat="1" ht="21" customHeight="1" thickBot="1" x14ac:dyDescent="0.35">
      <c r="A5" s="515"/>
      <c r="B5" s="165">
        <f>ROUNDUP($C$5/2, 0)</f>
        <v>7</v>
      </c>
      <c r="C5" s="166">
        <f>COUNTA('SEM 2'!E8,'SEM 2'!J8,'SEM 2'!O8,'SEM 2'!T8,'SEM 2'!Y8,'SEM 2'!AD8,'SEM 2'!AI8,'SEM 2'!AN8,'SEM 2'!AS8,'SEM 2'!AX8,'SEM 2'!BC8,'SEM 2'!BH8,'SEM 2'!BM8,'SEM 2'!BR8,'SEM 2'!BW8,'SEM 2'!CB8)</f>
        <v>14</v>
      </c>
      <c r="D5" s="429">
        <v>0</v>
      </c>
      <c r="E5" s="524">
        <v>6</v>
      </c>
      <c r="F5" s="525">
        <v>4</v>
      </c>
      <c r="G5" s="526">
        <v>9</v>
      </c>
      <c r="H5" s="527" t="str">
        <f>E5&amp;"SF"</f>
        <v>6SF</v>
      </c>
      <c r="I5" s="528" t="str">
        <f>E5&amp;"F"</f>
        <v>6F</v>
      </c>
      <c r="J5" s="529">
        <v>7</v>
      </c>
      <c r="K5" s="529">
        <v>2</v>
      </c>
      <c r="L5" s="529">
        <v>9</v>
      </c>
      <c r="M5" s="530" t="str">
        <f>J5&amp;"SF"</f>
        <v>7SF</v>
      </c>
      <c r="N5" s="531" t="str">
        <f>J5&amp;"F"</f>
        <v>7F</v>
      </c>
      <c r="O5" s="532">
        <v>1</v>
      </c>
      <c r="P5" s="529">
        <v>3</v>
      </c>
      <c r="Q5" s="529">
        <v>9</v>
      </c>
      <c r="R5" s="530" t="str">
        <f>O5&amp;"SF"</f>
        <v>1SF</v>
      </c>
      <c r="S5" s="531" t="str">
        <f>O5&amp;"F"</f>
        <v>1F</v>
      </c>
      <c r="T5" s="532">
        <v>1</v>
      </c>
      <c r="U5" s="529">
        <v>3</v>
      </c>
      <c r="V5" s="529">
        <v>4</v>
      </c>
      <c r="W5" s="530" t="str">
        <f>T5&amp;"SF"</f>
        <v>1SF</v>
      </c>
      <c r="X5" s="531" t="str">
        <f>T5&amp;"F"</f>
        <v>1F</v>
      </c>
      <c r="Y5" s="532">
        <v>2</v>
      </c>
      <c r="Z5" s="529">
        <v>4</v>
      </c>
      <c r="AA5" s="529">
        <v>7</v>
      </c>
      <c r="AB5" s="530" t="str">
        <f>Y5&amp;"SF"</f>
        <v>2SF</v>
      </c>
      <c r="AC5" s="531" t="str">
        <f>Y5&amp;"F"</f>
        <v>2F</v>
      </c>
      <c r="AD5" s="532">
        <v>7</v>
      </c>
      <c r="AE5" s="529">
        <v>5</v>
      </c>
      <c r="AF5" s="529">
        <v>2</v>
      </c>
      <c r="AG5" s="530" t="str">
        <f>AD5&amp;"SF"</f>
        <v>7SF</v>
      </c>
      <c r="AH5" s="531" t="str">
        <f>AD5&amp;"F"</f>
        <v>7F</v>
      </c>
      <c r="AI5" s="532">
        <v>9</v>
      </c>
      <c r="AJ5" s="529">
        <v>6</v>
      </c>
      <c r="AK5" s="529">
        <v>7</v>
      </c>
      <c r="AL5" s="530" t="str">
        <f>AI5&amp;"SF"</f>
        <v>9SF</v>
      </c>
      <c r="AM5" s="531" t="str">
        <f>AI5&amp;"F"</f>
        <v>9F</v>
      </c>
      <c r="AN5" s="532">
        <v>8</v>
      </c>
      <c r="AO5" s="529">
        <v>6</v>
      </c>
      <c r="AP5" s="529">
        <v>2</v>
      </c>
      <c r="AQ5" s="530" t="str">
        <f>AN5&amp;"SF"</f>
        <v>8SF</v>
      </c>
      <c r="AR5" s="531" t="str">
        <f>AN5&amp;"F"</f>
        <v>8F</v>
      </c>
      <c r="AS5" s="532">
        <v>2</v>
      </c>
      <c r="AT5" s="529">
        <v>5</v>
      </c>
      <c r="AU5" s="529">
        <v>3</v>
      </c>
      <c r="AV5" s="530" t="str">
        <f>AS5&amp;"SF"</f>
        <v>2SF</v>
      </c>
      <c r="AW5" s="531" t="str">
        <f>AS5&amp;"F"</f>
        <v>2F</v>
      </c>
      <c r="AX5" s="532">
        <v>2</v>
      </c>
      <c r="AY5" s="529">
        <v>6</v>
      </c>
      <c r="AZ5" s="529">
        <v>8</v>
      </c>
      <c r="BA5" s="530" t="str">
        <f>AX5&amp;"SF"</f>
        <v>2SF</v>
      </c>
      <c r="BB5" s="531" t="str">
        <f>AX5&amp;"F"</f>
        <v>2F</v>
      </c>
      <c r="BC5" s="532">
        <v>7</v>
      </c>
      <c r="BD5" s="529">
        <v>6</v>
      </c>
      <c r="BE5" s="529">
        <v>5</v>
      </c>
      <c r="BF5" s="530" t="str">
        <f>BC5&amp;"SF"</f>
        <v>7SF</v>
      </c>
      <c r="BG5" s="531" t="str">
        <f>BC5&amp;"F"</f>
        <v>7F</v>
      </c>
      <c r="BH5" s="532">
        <v>6</v>
      </c>
      <c r="BI5" s="529">
        <v>5</v>
      </c>
      <c r="BJ5" s="529">
        <v>1</v>
      </c>
      <c r="BK5" s="530" t="str">
        <f>BH5&amp;"SF"</f>
        <v>6SF</v>
      </c>
      <c r="BL5" s="531" t="str">
        <f>$BH$5&amp;"F"</f>
        <v>6F</v>
      </c>
      <c r="BM5" s="532">
        <v>5</v>
      </c>
      <c r="BN5" s="529">
        <v>1</v>
      </c>
      <c r="BO5" s="529">
        <v>3</v>
      </c>
      <c r="BP5" s="530" t="str">
        <f>BM5&amp;"SF"</f>
        <v>5SF</v>
      </c>
      <c r="BQ5" s="531" t="str">
        <f>BM5&amp;"F"</f>
        <v>5F</v>
      </c>
      <c r="BR5" s="532">
        <v>1</v>
      </c>
      <c r="BS5" s="529">
        <v>5</v>
      </c>
      <c r="BT5" s="529">
        <v>11</v>
      </c>
      <c r="BU5" s="530" t="str">
        <f>BR5&amp;"SF"</f>
        <v>1SF</v>
      </c>
      <c r="BV5" s="531" t="str">
        <f>BR5&amp;"F"</f>
        <v>1F</v>
      </c>
      <c r="BW5" s="532" t="s">
        <v>68</v>
      </c>
      <c r="BX5" s="529"/>
      <c r="BY5" s="529"/>
      <c r="BZ5" s="530" t="str">
        <f>BW5&amp;"SF"</f>
        <v>-SF</v>
      </c>
      <c r="CA5" s="531" t="str">
        <f>BW5&amp;"F"</f>
        <v>-F</v>
      </c>
      <c r="CB5" s="532" t="s">
        <v>68</v>
      </c>
      <c r="CC5" s="529"/>
      <c r="CD5" s="529"/>
      <c r="CE5" s="530" t="str">
        <f>CB5&amp;"SF"</f>
        <v>-SF</v>
      </c>
      <c r="CF5" s="531" t="str">
        <f>CB5&amp;"F"</f>
        <v>-F</v>
      </c>
      <c r="CG5" s="151"/>
      <c r="CH5" s="152"/>
      <c r="CI5" s="152"/>
      <c r="CJ5" s="152"/>
      <c r="CK5" s="152"/>
      <c r="CL5" s="152"/>
      <c r="CM5" s="152"/>
      <c r="CN5" s="152"/>
      <c r="CO5" s="152"/>
      <c r="CP5" s="152"/>
      <c r="CQ5" s="152"/>
      <c r="CR5" s="152"/>
      <c r="CS5" s="226" t="s">
        <v>124</v>
      </c>
      <c r="CT5" s="227"/>
      <c r="CU5" s="273">
        <f>(AY3*80%)/3</f>
        <v>9600</v>
      </c>
      <c r="CV5" s="442"/>
      <c r="CW5" s="515"/>
    </row>
    <row r="6" spans="1:140" s="79" customFormat="1" ht="21" customHeight="1" x14ac:dyDescent="0.25">
      <c r="A6" s="515"/>
      <c r="B6" s="255">
        <f>COUNTA(F6,Z6,AY6)</f>
        <v>3</v>
      </c>
      <c r="C6" s="253" t="s">
        <v>147</v>
      </c>
      <c r="D6" s="252"/>
      <c r="E6" s="259" t="s">
        <v>148</v>
      </c>
      <c r="F6" s="260">
        <v>476.82</v>
      </c>
      <c r="G6" s="261"/>
      <c r="H6" s="261"/>
      <c r="I6" s="262"/>
      <c r="J6" s="263" t="s">
        <v>148</v>
      </c>
      <c r="K6" s="264">
        <v>344.19</v>
      </c>
      <c r="L6" s="265"/>
      <c r="M6" s="265"/>
      <c r="N6" s="266"/>
      <c r="O6" s="267" t="s">
        <v>148</v>
      </c>
      <c r="P6" s="264">
        <v>196.47</v>
      </c>
      <c r="Q6" s="265"/>
      <c r="R6" s="265"/>
      <c r="S6" s="266"/>
      <c r="T6" s="267" t="s">
        <v>148</v>
      </c>
      <c r="U6" s="264">
        <v>546.89</v>
      </c>
      <c r="V6" s="265"/>
      <c r="W6" s="265"/>
      <c r="X6" s="266"/>
      <c r="Y6" s="267" t="s">
        <v>148</v>
      </c>
      <c r="Z6" s="264">
        <v>171.46</v>
      </c>
      <c r="AA6" s="265"/>
      <c r="AB6" s="265"/>
      <c r="AC6" s="266"/>
      <c r="AD6" s="267" t="s">
        <v>148</v>
      </c>
      <c r="AE6" s="264">
        <v>798.32</v>
      </c>
      <c r="AF6" s="265"/>
      <c r="AG6" s="265"/>
      <c r="AH6" s="266"/>
      <c r="AI6" s="267" t="s">
        <v>148</v>
      </c>
      <c r="AJ6" s="264">
        <v>1046.8399999999999</v>
      </c>
      <c r="AK6" s="265"/>
      <c r="AL6" s="265"/>
      <c r="AM6" s="266"/>
      <c r="AN6" s="267" t="s">
        <v>148</v>
      </c>
      <c r="AO6" s="264">
        <v>128.36000000000001</v>
      </c>
      <c r="AP6" s="265"/>
      <c r="AQ6" s="265"/>
      <c r="AR6" s="266"/>
      <c r="AS6" s="267" t="s">
        <v>148</v>
      </c>
      <c r="AT6" s="264">
        <v>380.3</v>
      </c>
      <c r="AU6" s="265"/>
      <c r="AV6" s="265"/>
      <c r="AW6" s="266"/>
      <c r="AX6" s="267" t="s">
        <v>148</v>
      </c>
      <c r="AY6" s="264">
        <v>163.44</v>
      </c>
      <c r="AZ6" s="265"/>
      <c r="BA6" s="265"/>
      <c r="BB6" s="266"/>
      <c r="BC6" s="267" t="s">
        <v>148</v>
      </c>
      <c r="BD6" s="264">
        <v>156.87</v>
      </c>
      <c r="BE6" s="265"/>
      <c r="BF6" s="265"/>
      <c r="BG6" s="268"/>
      <c r="BH6" s="267" t="s">
        <v>148</v>
      </c>
      <c r="BI6" s="264">
        <v>177.86</v>
      </c>
      <c r="BJ6" s="265"/>
      <c r="BK6" s="265"/>
      <c r="BL6" s="268"/>
      <c r="BM6" s="267" t="s">
        <v>148</v>
      </c>
      <c r="BN6" s="264">
        <v>915.58</v>
      </c>
      <c r="BO6" s="265"/>
      <c r="BP6" s="265"/>
      <c r="BQ6" s="266"/>
      <c r="BR6" s="267" t="s">
        <v>148</v>
      </c>
      <c r="BS6" s="264">
        <v>313.13</v>
      </c>
      <c r="BT6" s="265"/>
      <c r="BU6" s="265"/>
      <c r="BV6" s="266"/>
      <c r="BW6" s="267" t="s">
        <v>148</v>
      </c>
      <c r="BX6" s="264"/>
      <c r="BY6" s="265"/>
      <c r="BZ6" s="265"/>
      <c r="CA6" s="266"/>
      <c r="CB6" s="267" t="s">
        <v>148</v>
      </c>
      <c r="CC6" s="264"/>
      <c r="CD6" s="265"/>
      <c r="CE6" s="265"/>
      <c r="CF6" s="266"/>
      <c r="CG6" s="236" t="s">
        <v>149</v>
      </c>
      <c r="CH6" s="237"/>
      <c r="CI6" s="238"/>
      <c r="CJ6" s="236" t="s">
        <v>150</v>
      </c>
      <c r="CK6" s="237"/>
      <c r="CL6" s="238"/>
      <c r="CM6" s="236" t="s">
        <v>151</v>
      </c>
      <c r="CN6" s="237"/>
      <c r="CO6" s="238"/>
      <c r="CP6" s="233" t="s">
        <v>147</v>
      </c>
      <c r="CQ6" s="234"/>
      <c r="CR6" s="235"/>
      <c r="CS6" s="275" t="s">
        <v>152</v>
      </c>
      <c r="CT6" s="276" t="s">
        <v>153</v>
      </c>
      <c r="CU6" s="274" t="s">
        <v>154</v>
      </c>
      <c r="CV6" s="443" t="s">
        <v>155</v>
      </c>
      <c r="CW6" s="515"/>
      <c r="DB6" s="395" t="s">
        <v>156</v>
      </c>
      <c r="DC6" s="395"/>
      <c r="DD6" s="395"/>
      <c r="DE6" s="395"/>
      <c r="DF6" s="395"/>
      <c r="DG6" s="395"/>
      <c r="DH6" s="395"/>
      <c r="DI6" s="395"/>
      <c r="DJ6" s="395"/>
      <c r="DK6" s="395"/>
      <c r="DL6" s="395"/>
      <c r="DM6" s="395"/>
      <c r="DN6" s="395"/>
      <c r="DO6" s="395"/>
      <c r="DP6" s="395"/>
      <c r="DQ6" s="395"/>
      <c r="DR6" s="395"/>
      <c r="DT6" s="392" t="s">
        <v>157</v>
      </c>
      <c r="DU6" s="393"/>
      <c r="DV6" s="393"/>
      <c r="DW6" s="393"/>
      <c r="DX6" s="393"/>
      <c r="DY6" s="393"/>
      <c r="DZ6" s="393"/>
      <c r="EA6" s="393"/>
      <c r="EB6" s="393"/>
      <c r="EC6" s="393"/>
      <c r="ED6" s="393"/>
      <c r="EE6" s="393"/>
      <c r="EF6" s="393"/>
      <c r="EG6" s="393"/>
      <c r="EH6" s="393"/>
      <c r="EI6" s="393"/>
      <c r="EJ6" s="394"/>
    </row>
    <row r="7" spans="1:140" ht="27.75" customHeight="1" x14ac:dyDescent="0.25">
      <c r="A7" s="515"/>
      <c r="B7" s="405" t="s">
        <v>158</v>
      </c>
      <c r="C7" s="400" t="s">
        <v>159</v>
      </c>
      <c r="D7" s="400" t="s">
        <v>160</v>
      </c>
      <c r="E7" s="401" t="s">
        <v>161</v>
      </c>
      <c r="F7" s="401" t="s">
        <v>162</v>
      </c>
      <c r="G7" s="401" t="s">
        <v>163</v>
      </c>
      <c r="H7" s="401" t="s">
        <v>164</v>
      </c>
      <c r="I7" s="401" t="s">
        <v>165</v>
      </c>
      <c r="J7" s="401" t="s">
        <v>166</v>
      </c>
      <c r="K7" s="401" t="s">
        <v>21</v>
      </c>
      <c r="L7" s="401" t="s">
        <v>167</v>
      </c>
      <c r="M7" s="401" t="s">
        <v>168</v>
      </c>
      <c r="N7" s="401" t="s">
        <v>22</v>
      </c>
      <c r="O7" s="401" t="s">
        <v>23</v>
      </c>
      <c r="P7" s="401" t="s">
        <v>24</v>
      </c>
      <c r="Q7" s="401" t="s">
        <v>169</v>
      </c>
      <c r="R7" s="401" t="s">
        <v>170</v>
      </c>
      <c r="S7" s="401" t="s">
        <v>171</v>
      </c>
      <c r="T7" s="401" t="s">
        <v>172</v>
      </c>
      <c r="U7" s="401" t="s">
        <v>173</v>
      </c>
      <c r="V7" s="401" t="s">
        <v>174</v>
      </c>
      <c r="W7" s="401" t="s">
        <v>175</v>
      </c>
      <c r="X7" s="401" t="s">
        <v>176</v>
      </c>
      <c r="Y7" s="401" t="s">
        <v>177</v>
      </c>
      <c r="Z7" s="401" t="s">
        <v>178</v>
      </c>
      <c r="AA7" s="401" t="s">
        <v>179</v>
      </c>
      <c r="AB7" s="401" t="s">
        <v>180</v>
      </c>
      <c r="AC7" s="401" t="s">
        <v>181</v>
      </c>
      <c r="AD7" s="401" t="s">
        <v>182</v>
      </c>
      <c r="AE7" s="401" t="s">
        <v>183</v>
      </c>
      <c r="AF7" s="401" t="s">
        <v>184</v>
      </c>
      <c r="AG7" s="401" t="s">
        <v>185</v>
      </c>
      <c r="AH7" s="401" t="s">
        <v>186</v>
      </c>
      <c r="AI7" s="401" t="s">
        <v>187</v>
      </c>
      <c r="AJ7" s="401" t="s">
        <v>188</v>
      </c>
      <c r="AK7" s="401" t="s">
        <v>189</v>
      </c>
      <c r="AL7" s="401" t="s">
        <v>190</v>
      </c>
      <c r="AM7" s="401" t="s">
        <v>191</v>
      </c>
      <c r="AN7" s="401" t="s">
        <v>192</v>
      </c>
      <c r="AO7" s="401" t="s">
        <v>193</v>
      </c>
      <c r="AP7" s="401" t="s">
        <v>194</v>
      </c>
      <c r="AQ7" s="401" t="s">
        <v>195</v>
      </c>
      <c r="AR7" s="401" t="s">
        <v>196</v>
      </c>
      <c r="AS7" s="402" t="s">
        <v>197</v>
      </c>
      <c r="AT7" s="402" t="s">
        <v>198</v>
      </c>
      <c r="AU7" s="402" t="s">
        <v>199</v>
      </c>
      <c r="AV7" s="402" t="s">
        <v>200</v>
      </c>
      <c r="AW7" s="402" t="s">
        <v>201</v>
      </c>
      <c r="AX7" s="399" t="s">
        <v>202</v>
      </c>
      <c r="AY7" s="403" t="s">
        <v>203</v>
      </c>
      <c r="AZ7" s="404" t="s">
        <v>204</v>
      </c>
      <c r="BA7" s="404" t="s">
        <v>205</v>
      </c>
      <c r="BB7" s="405" t="s">
        <v>206</v>
      </c>
      <c r="BC7" s="404" t="s">
        <v>207</v>
      </c>
      <c r="BD7" s="404" t="s">
        <v>208</v>
      </c>
      <c r="BE7" s="404" t="s">
        <v>209</v>
      </c>
      <c r="BF7" s="404" t="s">
        <v>210</v>
      </c>
      <c r="BG7" s="404" t="s">
        <v>211</v>
      </c>
      <c r="BH7" s="404" t="s">
        <v>212</v>
      </c>
      <c r="BI7" s="404" t="s">
        <v>213</v>
      </c>
      <c r="BJ7" s="404" t="s">
        <v>214</v>
      </c>
      <c r="BK7" s="404" t="s">
        <v>215</v>
      </c>
      <c r="BL7" s="404" t="s">
        <v>216</v>
      </c>
      <c r="BM7" s="404" t="s">
        <v>217</v>
      </c>
      <c r="BN7" s="404" t="s">
        <v>218</v>
      </c>
      <c r="BO7" s="404" t="s">
        <v>219</v>
      </c>
      <c r="BP7" s="404" t="s">
        <v>220</v>
      </c>
      <c r="BQ7" s="404" t="s">
        <v>221</v>
      </c>
      <c r="BR7" s="404" t="s">
        <v>222</v>
      </c>
      <c r="BS7" s="404" t="s">
        <v>223</v>
      </c>
      <c r="BT7" s="404" t="s">
        <v>224</v>
      </c>
      <c r="BU7" s="404" t="s">
        <v>225</v>
      </c>
      <c r="BV7" s="404" t="s">
        <v>226</v>
      </c>
      <c r="BW7" s="404" t="s">
        <v>227</v>
      </c>
      <c r="BX7" s="404" t="s">
        <v>228</v>
      </c>
      <c r="BY7" s="404" t="s">
        <v>229</v>
      </c>
      <c r="BZ7" s="404" t="s">
        <v>230</v>
      </c>
      <c r="CA7" s="404" t="s">
        <v>231</v>
      </c>
      <c r="CB7" s="404" t="s">
        <v>232</v>
      </c>
      <c r="CC7" s="404" t="s">
        <v>233</v>
      </c>
      <c r="CD7" s="404" t="s">
        <v>234</v>
      </c>
      <c r="CE7" s="404" t="s">
        <v>235</v>
      </c>
      <c r="CF7" s="404" t="s">
        <v>236</v>
      </c>
      <c r="CG7" s="406" t="s">
        <v>237</v>
      </c>
      <c r="CH7" s="406" t="s">
        <v>238</v>
      </c>
      <c r="CI7" s="407" t="s">
        <v>239</v>
      </c>
      <c r="CJ7" s="406" t="s">
        <v>240</v>
      </c>
      <c r="CK7" s="406" t="s">
        <v>241</v>
      </c>
      <c r="CL7" s="407" t="s">
        <v>242</v>
      </c>
      <c r="CM7" s="408" t="s">
        <v>243</v>
      </c>
      <c r="CN7" s="406" t="s">
        <v>244</v>
      </c>
      <c r="CO7" s="407" t="s">
        <v>245</v>
      </c>
      <c r="CP7" s="408" t="s">
        <v>246</v>
      </c>
      <c r="CQ7" s="406" t="s">
        <v>247</v>
      </c>
      <c r="CR7" s="406" t="s">
        <v>248</v>
      </c>
      <c r="CS7" s="409" t="s">
        <v>20</v>
      </c>
      <c r="CT7" s="409" t="s">
        <v>249</v>
      </c>
      <c r="CU7" s="409" t="s">
        <v>250</v>
      </c>
      <c r="CV7" s="403" t="s">
        <v>251</v>
      </c>
      <c r="CW7" s="515"/>
      <c r="CY7" t="s">
        <v>252</v>
      </c>
      <c r="CZ7" t="s">
        <v>253</v>
      </c>
      <c r="DB7" s="396" t="s">
        <v>9</v>
      </c>
      <c r="DC7" s="397">
        <v>1</v>
      </c>
      <c r="DD7" s="396">
        <v>2</v>
      </c>
      <c r="DE7" s="396">
        <v>3</v>
      </c>
      <c r="DF7" s="396">
        <v>4</v>
      </c>
      <c r="DG7" s="396">
        <v>5</v>
      </c>
      <c r="DH7" s="396">
        <v>6</v>
      </c>
      <c r="DI7" s="396">
        <v>7</v>
      </c>
      <c r="DJ7" s="396">
        <v>8</v>
      </c>
      <c r="DK7" s="396">
        <v>9</v>
      </c>
      <c r="DL7" s="396">
        <v>10</v>
      </c>
      <c r="DM7" s="396">
        <v>11</v>
      </c>
      <c r="DN7" s="396">
        <v>12</v>
      </c>
      <c r="DO7" s="396">
        <v>13</v>
      </c>
      <c r="DP7" s="396">
        <v>14</v>
      </c>
      <c r="DQ7" s="396">
        <v>15</v>
      </c>
      <c r="DR7" s="396">
        <v>16</v>
      </c>
      <c r="DT7" s="396" t="s">
        <v>9</v>
      </c>
      <c r="DU7" s="397">
        <v>1</v>
      </c>
      <c r="DV7" s="396">
        <v>2</v>
      </c>
      <c r="DW7" s="396">
        <v>3</v>
      </c>
      <c r="DX7" s="396">
        <v>4</v>
      </c>
      <c r="DY7" s="396">
        <v>5</v>
      </c>
      <c r="DZ7" s="396">
        <v>6</v>
      </c>
      <c r="EA7" s="396">
        <v>7</v>
      </c>
      <c r="EB7" s="396">
        <v>8</v>
      </c>
      <c r="EC7" s="396">
        <v>9</v>
      </c>
      <c r="ED7" s="396">
        <v>10</v>
      </c>
      <c r="EE7" s="396">
        <v>11</v>
      </c>
      <c r="EF7" s="396">
        <v>12</v>
      </c>
      <c r="EG7" s="396">
        <v>13</v>
      </c>
      <c r="EH7" s="396">
        <v>14</v>
      </c>
      <c r="EI7" s="396">
        <v>15</v>
      </c>
      <c r="EJ7" s="396">
        <v>16</v>
      </c>
    </row>
    <row r="8" spans="1:140" ht="20.100000000000001" customHeight="1" x14ac:dyDescent="0.35">
      <c r="A8" s="515"/>
      <c r="B8" s="444">
        <f>IF(SEMANA2[[#This Row],[COD]]&lt;&gt;"",B7+1,"")</f>
        <v>1</v>
      </c>
      <c r="C8" s="554" t="s">
        <v>29</v>
      </c>
      <c r="D8" s="410" t="str">
        <f t="array" ref="D8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8" s="411">
        <v>9</v>
      </c>
      <c r="F8" s="413">
        <v>2</v>
      </c>
      <c r="G8" s="413">
        <v>6</v>
      </c>
      <c r="H8" s="413"/>
      <c r="I8" s="534">
        <f t="shared" ref="I8:I39" si="0">SUM(IF(E8=E$5,4,0),IF(E8&amp;F8=E$5&amp;F$5,1,0),
IF(AND(E8=E$5,F$6&gt;=$D$115),1,0),
IF(AND(F8=E$5,F$6&gt;=$D$115),1,0),
IF(AND(G8=E$5,F$6&gt;=$D$115),1,0),
IF(E8&amp;H8=I$5,1,0),
IF(F8=E$5,2,0),
IF(G8=E$5,1,0),
IF(OR(E8&amp;F8&amp;G8=E$5&amp;F$5&amp;G$5,E8&amp;F8&amp;G8=E$5&amp;G$5&amp;F$5,E8&amp;F8&amp;G8=F$5&amp;E$5&amp;G$5,E8&amp;F8&amp;G8=F$5&amp;G$5&amp;E$5,E8&amp;F8&amp;G8=G$5&amp;E$5&amp;F$5,E8&amp;F8&amp;G8=G$5&amp;F$5&amp;E$5),2,0),IF(AND(E8=E$5,F$6&gt;=$D$129),1,0),IF(AND(F8=E$5,F$6&gt;=$D$129),1,0),IF(AND(G8=E$5,F$6&gt;=$D$129),1,0),IF(E8&amp;H8=H$5,4,0),IF(AND(E8=E$5,F$6&lt;=$D$104),-0.5,0),IF(AND(F8=E$5,F$6&lt;=$D$104),-0.5,0),IF(AND(G8=E$5,F$6&lt;=$D$104),-0.5,0))</f>
        <v>1</v>
      </c>
      <c r="J8" s="411">
        <v>2</v>
      </c>
      <c r="K8" s="413">
        <v>1</v>
      </c>
      <c r="L8" s="413">
        <v>6</v>
      </c>
      <c r="M8" s="413"/>
      <c r="N8" s="534">
        <f t="shared" ref="N8:N39" si="1">SUM(IF(J8=J$5,4,0),IF(J8&amp;K8=J$5&amp;K$5,1,0),
IF(AND(J8=J$5,K$6&gt;=$D$115),1,0),
IF(AND(K8=J$5,K$6&gt;=$D$115),1,0),
IF(AND(L8=J$5,K$6&gt;=$D$115),1,0),
IF(J8&amp;M8=N$5,1,0),
IF(K8=J$5,2,0),
IF(L8=J$5,1,0),
IF(OR(J8&amp;K8&amp;L8=J$5&amp;K$5&amp;L$5,J8&amp;K8&amp;L8=J$5&amp;L$5&amp;K$5,J8&amp;K8&amp;L8=K$5&amp;J$5&amp;L$5,J8&amp;K8&amp;L8=K$5&amp;L$5&amp;J$5,J8&amp;K8&amp;L8=L$5&amp;J$5&amp;K$5,J8&amp;K8&amp;L8=L$5&amp;K$5&amp;J$5),2,0),IF(AND(J8=J$5,K$6&gt;=$D$129),1,0),IF(AND(K8=J$5,K$6&gt;=$D$129),1,0),IF(AND(L8=J$5,K$6&gt;=$D$129),1,0),IF(J8&amp;M8=M$5,4,0),IF(AND(J8=J$5,K$6&lt;=$D$104),-0.5,0),IF(AND(K8=J$5,K$6&lt;=$D$104),-0.5,0),IF(AND(L8=J$5,K$6&lt;=$D$104),-0.5,0))</f>
        <v>0</v>
      </c>
      <c r="O8" s="411">
        <v>1</v>
      </c>
      <c r="P8" s="413">
        <v>5</v>
      </c>
      <c r="Q8" s="413">
        <v>8</v>
      </c>
      <c r="R8" s="413"/>
      <c r="S8" s="534">
        <f t="shared" ref="S8:S39" si="2">SUM(IF(O8=O$5,4,0),IF(O8&amp;P8=O$5&amp;P$5,1,0),
IF(AND(O8=O$5,P$6&gt;=$D$115),1,0),
IF(AND(P8=O$5,P$6&gt;=$D$115),1,0),
IF(AND(Q8=O$5,P$6&gt;=$D$115),1,0),
IF(O8&amp;R8=S$5,1,0),
IF(P8=O$5,2,0),
IF(Q8=O$5,1,0),
IF(OR(O8&amp;P8&amp;Q8=O$5&amp;P$5&amp;Q$5,O8&amp;P8&amp;Q8=O$5&amp;Q$5&amp;P$5,O8&amp;P8&amp;Q8=P$5&amp;O$5&amp;Q$5,O8&amp;P8&amp;Q8=P$5&amp;Q$5&amp;O$5,O8&amp;P8&amp;Q8=Q$5&amp;O$5&amp;P$5,O8&amp;P8&amp;Q8=Q$5&amp;P$5&amp;O$5),2,0),IF(AND(O8=O$5,P$6&gt;=$D$129),1,0),IF(AND(P8=O$5,P$6&gt;=$D$129),1,0),IF(AND(Q8=O$5,P$6&gt;=$D$129),1,0),IF(O8&amp;R8=R$5,4,0),IF(AND(O8=O$5,P$6&lt;=$D$104),-0.5,0),IF(AND(P8=O$5,P$6&lt;=$D$104),-0.5,0),IF(AND(Q8=O$5,P$6&lt;=$D$104),-0.5,0))</f>
        <v>4</v>
      </c>
      <c r="T8" s="411">
        <v>3</v>
      </c>
      <c r="U8" s="413">
        <v>1</v>
      </c>
      <c r="V8" s="413">
        <v>4</v>
      </c>
      <c r="W8" s="413"/>
      <c r="X8" s="534">
        <f t="shared" ref="X8:X39" si="3">SUM(IF(T8=T$5,4,0),IF(T8&amp;U8=T$5&amp;U$5,1,0),
IF(AND(T8=T$5,U$6&gt;=$D$115),1,0),
IF(AND(U8=T$5,U$6&gt;=$D$115),1,0),
IF(AND(V8=T$5,U$6&gt;=$D$115),1,0),
IF(T8&amp;W8=X$5,1,0),
IF(U8=T$5,2,0),
IF(V8=T$5,1,0),
IF(OR(T8&amp;U8&amp;V8=T$5&amp;U$5&amp;V$5,T8&amp;U8&amp;V8=T$5&amp;V$5&amp;U$5,T8&amp;U8&amp;V8=U$5&amp;T$5&amp;V$5,T8&amp;U8&amp;V8=U$5&amp;V$5&amp;T$5,T8&amp;U8&amp;V8=V$5&amp;T$5&amp;U$5,T8&amp;U8&amp;V8=V$5&amp;U$5&amp;T$5),2,0),IF(AND(T8=T$5,U$6&gt;=$D$129),1,0),IF(AND(U8=T$5,U$6&gt;=$D$129),1,0),IF(AND(V8=T$5,U$6&gt;=$D$129),1,0),IF(T8&amp;W8=W$5,4,0),IF(AND(T8=T$5,U$6&lt;=$D$104),-0.5,0),IF(AND(U8=T$5,U$6&lt;=$D$104),-0.5,0),IF(AND(V8=T$5,U$6&lt;=$D$104),-0.5,0))</f>
        <v>5</v>
      </c>
      <c r="Y8" s="411">
        <v>2</v>
      </c>
      <c r="Z8" s="413">
        <v>7</v>
      </c>
      <c r="AA8" s="413">
        <v>1</v>
      </c>
      <c r="AB8" s="413"/>
      <c r="AC8" s="534">
        <f t="shared" ref="AC8:AC39" si="4">SUM(IF(Y8=Y$5,4,0),IF(Y8&amp;Z8=Y$5&amp;Z$5,1,0),
IF(AND(Y8=Y$5,Z$6&gt;=$D$115),1,0),
IF(AND(Z8=Y$5,Z$6&gt;=$D$115),1,0),
IF(AND(AA8=Y$5,Z$6&gt;=$D$115),1,0),
IF(Y8&amp;AB8=AC$5,1,0),
IF(Z8=Y$5,2,0),
IF(AA8=Y$5,1,0),
IF(OR(Y8&amp;Z8&amp;AA8=Y$5&amp;Z$5&amp;AA$5,Y8&amp;Z8&amp;AA8=Y$5&amp;AA$5&amp;Z$5,Y8&amp;Z8&amp;AA8=Z$5&amp;Y$5&amp;AA$5,Y8&amp;Z8&amp;AA8=Z$5&amp;AA$5&amp;Y$5,Y8&amp;Z8&amp;AA8=AA$5&amp;Y$5&amp;Z$5,Y8&amp;Z8&amp;AA8=AA$5&amp;Z$5&amp;Y$5),2,0),IF(AND(Y8=Y$5,Z$6&gt;=$D$129),1,0),IF(AND(Z8=Y$5,Z$6&gt;=$D$129),1,0),IF(AND(AA8=Y$5,Z$6&gt;=$D$129),1,0),IF(Y8&amp;AB8=AB$5,4,0),IF(AND(Y8=Y$5,Z$6&lt;=$D$104),-0.5,0),IF(AND(Z8=Y$5,Z$6&lt;=$D$104),-0.5,0),IF(AND(AA8=Y$5,Z$6&lt;=$D$104),-0.5,0))</f>
        <v>4</v>
      </c>
      <c r="AD8" s="411">
        <v>5</v>
      </c>
      <c r="AE8" s="413">
        <v>4</v>
      </c>
      <c r="AF8" s="413">
        <v>7</v>
      </c>
      <c r="AG8" s="413"/>
      <c r="AH8" s="534">
        <f t="shared" ref="AH8:AH39" si="5">SUM(IF(AD8=AD$5,4,0),IF(AD8&amp;AE8=AD$5&amp;AE$5,1,0),
IF(AND(AD8=AD$5,AE$6&gt;=$D$115),1,0),
IF(AND(AE8=AD$5,AE$6&gt;=$D$115),1,0),
IF(AND(AF8=AD$5,AE$6&gt;=$D$115),1,0),
IF(AD8&amp;AG8=AH$5,1,0),
IF(AE8=AD$5,2,0),
IF(AF8=AD$5,1,0),
IF(OR(AD8&amp;AE8&amp;AF8=AD$5&amp;AE$5&amp;AF$5,AD8&amp;AE8&amp;AF8=AD$5&amp;AF$5&amp;AE$5,AD8&amp;AE8&amp;AF8=AE$5&amp;AD$5&amp;AF$5,AD8&amp;AE8&amp;AF8=AE$5&amp;AF$5&amp;AD$5,AD8&amp;AE8&amp;AF8=AF$5&amp;AD$5&amp;AE$5,AD8&amp;AE8&amp;AF8=AF$5&amp;AE$5&amp;AD$5),2,0),IF(AND(AD8=AD$5,AE$6&gt;=$D$129),1,0),IF(AND(AE8=AD$5,AE$6&gt;=$D$129),1,0),IF(AND(AF8=AD$5,AE$6&gt;=$D$129),1,0),IF(AD8&amp;AG8=AG$5,4,0),IF(AND(AD8=AD$5,AE$6&lt;=$D$104),-0.5,0),IF(AND(AE8=AD$5,AE$6&lt;=$D$104),-0.5,0),IF(AND(AF8=AD$5,AE$6&lt;=$D$104),-0.5,0))</f>
        <v>2</v>
      </c>
      <c r="AI8" s="411">
        <v>7</v>
      </c>
      <c r="AJ8" s="413">
        <v>6</v>
      </c>
      <c r="AK8" s="413">
        <v>2</v>
      </c>
      <c r="AL8" s="413" t="s">
        <v>254</v>
      </c>
      <c r="AM8" s="534">
        <f t="shared" ref="AM8:AM39" si="6">SUM(IF(AI8=AI$5,4,0),IF(AI8&amp;AJ8=AI$5&amp;AJ$5,1,0),
IF(AND(AI8=AI$5,AJ$6&gt;=$D$115),1,0),
IF(AND(AJ8=AI$5,AJ$6&gt;=$D$115),1,0),
IF(AND(AK8=AI$5,AJ$6&gt;=$D$115),1,0),
IF(AI8&amp;AL8=AM$5,1,0),
IF(AJ8=AI$5,2,0),
IF(AK8=AI$5,1,0),
IF(OR(AI8&amp;AJ8&amp;AK8=AI$5&amp;AJ$5&amp;AK$5,AI8&amp;AJ8&amp;AK8=AI$5&amp;AK$5&amp;AJ$5,AI8&amp;AJ8&amp;AK8=AJ$5&amp;AI$5&amp;AK$5,AI8&amp;AJ8&amp;AK8=AJ$5&amp;AK$5&amp;AI$5,AI8&amp;AJ8&amp;AK8=AK$5&amp;AI$5&amp;AJ$5,AI8&amp;AJ8&amp;AK8=AK$5&amp;AJ$5&amp;AI$5),2,0),IF(AND(AI8=AI$5,AJ$6&gt;=$D$129),1,0),IF(AND(AJ8=AI$5,AJ$6&gt;=$D$129),1,0),IF(AND(AK8=AI$5,AJ$6&gt;=$D$129),1,0),IF(AI8&amp;AL8=AL$5,4,0),IF(AND(AI8=AI$5,AJ$6&lt;=$D$104),-0.5,0),IF(AND(AJ8=AI$5,AJ$6&lt;=$D$104),-0.5,0),IF(AND(AK8=AI$5,AJ$6&lt;=$D$104),-0.5,0))</f>
        <v>0</v>
      </c>
      <c r="AN8" s="411">
        <v>8</v>
      </c>
      <c r="AO8" s="413"/>
      <c r="AP8" s="413"/>
      <c r="AQ8" s="413" t="s">
        <v>255</v>
      </c>
      <c r="AR8" s="534">
        <f t="shared" ref="AR8:AR39" si="7">SUM(IF(AN8=AN$5,4,0),IF(AN8&amp;AO8=AN$5&amp;AO$5,1,0),
IF(AND(AN8=AN$5,AO$6&gt;=$D$115),1,0),
IF(AND(AO8=AN$5,AO$6&gt;=$D$115),1,0),
IF(AND(AP8=AN$5,AO$6&gt;=$D$115),1,0),
IF(AN8&amp;AQ8=AR$5,1,0),
IF(AO8=AN$5,2,0),
IF(AP8=AN$5,1,0),
IF(OR(AN8&amp;AO8&amp;AP8=AN$5&amp;AO$5&amp;AP$5,AN8&amp;AO8&amp;AP8=AN$5&amp;AP$5&amp;AO$5,AN8&amp;AO8&amp;AP8=AO$5&amp;AN$5&amp;AP$5,AN8&amp;AO8&amp;AP8=AO$5&amp;AP$5&amp;AN$5,AN8&amp;AO8&amp;AP8=AP$5&amp;AN$5&amp;AO$5,AN8&amp;AO8&amp;AP8=AP$5&amp;AO$5&amp;AN$5),2,0),IF(AND(AN8=AN$5,AO$6&gt;=$D$129),1,0),IF(AND(AO8=AN$5,AO$6&gt;=$D$129),1,0),IF(AND(AP8=AN$5,AO$6&gt;=$D$129),1,0),IF(AN8&amp;AQ8=AQ$5,4,0),IF(AND(AN8=AN$5,AO$6&lt;=$D$104),-0.5,0),IF(AND(AO8=AN$5,AO$6&lt;=$D$104),-0.5,0),IF(AND(AP8=AN$5,AO$6&lt;=$D$104),-0.5,0))</f>
        <v>7.5</v>
      </c>
      <c r="AS8" s="411">
        <v>2</v>
      </c>
      <c r="AT8" s="413">
        <v>1</v>
      </c>
      <c r="AU8" s="413">
        <v>8</v>
      </c>
      <c r="AV8" s="413"/>
      <c r="AW8" s="534">
        <f t="shared" ref="AW8:AW39" si="8">SUM(IF(AS8=AS$5,4,0),IF(AS8&amp;AT8=AS$5&amp;AT$5,1,0),
IF(AND(AS8=AS$5,AT$6&gt;=$D$115),1,0),
IF(AND(AT8=AS$5,AT$6&gt;=$D$115),1,0),
IF(AND(AU8=AS$5,AT$6&gt;=$D$115),1,0),
IF(AS8&amp;AV8=AW$5,1,0),
IF(AT8=AS$5,2,0),
IF(AU8=AS$5,1,0),
IF(OR(AS8&amp;AT8&amp;AU8=AS$5&amp;AT$5&amp;AU$5,AS8&amp;AT8&amp;AU8=AS$5&amp;AU$5&amp;AT$5,AS8&amp;AT8&amp;AU8=AT$5&amp;AS$5&amp;AU$5,AS8&amp;AT8&amp;AU8=AT$5&amp;AU$5&amp;AS$5,AS8&amp;AT8&amp;AU8=AU$5&amp;AS$5&amp;AT$5,AS8&amp;AT8&amp;AU8=AU$5&amp;AT$5&amp;AS$5),2,0),IF(AND(AS8=AS$5,AT$6&gt;=$D$129),1,0),IF(AND(AT8=AS$5,AT$6&gt;=$D$129),1,0),IF(AND(AU8=AS$5,AT$6&gt;=$D$129),1,0),IF(AS8&amp;AV8=AV$5,4,0),IF(AND(AS8=AS$5,AT$6&lt;=$D$104),-0.5,0),IF(AND(AT8=AS$5,AT$6&lt;=$D$104),-0.5,0),IF(AND(AU8=AS$5,AT$6&lt;=$D$104),-0.5,0))</f>
        <v>4</v>
      </c>
      <c r="AX8" s="411">
        <v>10</v>
      </c>
      <c r="AY8" s="413">
        <v>2</v>
      </c>
      <c r="AZ8" s="413">
        <v>1</v>
      </c>
      <c r="BA8" s="413"/>
      <c r="BB8" s="534">
        <f t="shared" ref="BB8:BB39" si="9">SUM(IF(AX8=AX$5,4,0),IF(AX8&amp;AY8=AX$5&amp;AY$5,1,0),
IF(AND(AX8=AX$5,AY$6&gt;=$D$115),1,0),
IF(AND(AY8=AX$5,AY$6&gt;=$D$115),1,0),
IF(AND(AZ8=AX$5,AY$6&gt;=$D$115),1,0),
IF(AX8&amp;BA8=BB$5,1,0),
IF(AY8=AX$5,2,0),
IF(AZ8=AX$5,1,0),
IF(OR(AX8&amp;AY8&amp;AZ8=AX$5&amp;AY$5&amp;AZ$5,AX8&amp;AY8&amp;AZ8=AX$5&amp;AZ$5&amp;AY$5,AX8&amp;AY8&amp;AZ8=AY$5&amp;AX$5&amp;AZ$5,AX8&amp;AY8&amp;AZ8=AY$5&amp;AZ$5&amp;AX$5,AX8&amp;AY8&amp;AZ8=AZ$5&amp;AX$5&amp;AY$5,AX8&amp;AY8&amp;AZ8=AZ$5&amp;AY$5&amp;AX$5),2,0),IF(AND(AX8=AX$5,AY$6&gt;=$D$129),1,0),IF(AND(AY8=AX$5,AY$6&gt;=$D$129),1,0),IF(AND(AZ8=AX$5,AY$6&gt;=$D$129),1,0),IF(AX8&amp;BA8=BA$5,4,0),IF(AND(AX8=AX$5,AY$6&lt;=$D$104),-0.5,0),IF(AND(AY8=AX$5,AY$6&lt;=$D$104),-0.5,0),IF(AND(AZ8=AX$5,AY$6&lt;=$D$104),-0.5,0))</f>
        <v>2</v>
      </c>
      <c r="BC8" s="411">
        <v>7</v>
      </c>
      <c r="BD8" s="413">
        <v>5</v>
      </c>
      <c r="BE8" s="413">
        <v>3</v>
      </c>
      <c r="BF8" s="413"/>
      <c r="BG8" s="534">
        <f t="shared" ref="BG8:BG39" si="10">SUM(IF(BC8=BC$5,4,0),IF(BC8&amp;BD8=BC$5&amp;BD$5,1,0),
IF(AND(BC8=BC$5,BD$6&gt;=$D$115),1,0),
IF(AND(BD8=BC$5,BD$6&gt;=$D$115),1,0),
IF(AND(BE8=BC$5,BD$6&gt;=$D$115),1,0),
IF(BC8&amp;BF8=BG$5,1,0),
IF(BD8=BC$5,2,0),
IF(BE8=BC$5,1,0),
IF(OR(BC8&amp;BD8&amp;BE8=BC$5&amp;BD$5&amp;BE$5,BC8&amp;BD8&amp;BE8=BC$5&amp;BE$5&amp;BD$5,BC8&amp;BD8&amp;BE8=BD$5&amp;BC$5&amp;BE$5,BC8&amp;BD8&amp;BE8=BD$5&amp;BE$5&amp;BC$5,BC8&amp;BD8&amp;BE8=BE$5&amp;BC$5&amp;BD$5,BC8&amp;BD8&amp;BE8=BE$5&amp;BD$5&amp;BC$5),2,0),IF(AND(BC8=BC$5,BD$6&gt;=$D$129),1,0),IF(AND(BD8=BC$5,BD$6&gt;=$D$129),1,0),IF(AND(BE8=BC$5,BD$6&gt;=$D$129),1,0),IF(BC8&amp;BF8=BF$5,4,0),IF(AND(BC8=BC$5,BD$6&lt;=$D$104),-0.5,0),IF(AND(BD8=BC$5,BD$6&lt;=$D$104),-0.5,0),IF(AND(BE8=BC$5,BD$6&lt;=$D$104),-0.5,0))</f>
        <v>4</v>
      </c>
      <c r="BH8" s="411">
        <v>6</v>
      </c>
      <c r="BI8" s="413">
        <v>2</v>
      </c>
      <c r="BJ8" s="413">
        <v>1</v>
      </c>
      <c r="BK8" s="413" t="s">
        <v>254</v>
      </c>
      <c r="BL8" s="534">
        <f t="shared" ref="BL8:BL39" si="11">SUM(IF(BH8=BH$5,4,0),IF(BH8&amp;BI8=BH$5&amp;BI$5,1,0),
IF(AND(BH8=BH$5,BI$6&gt;=$D$115),1,0),
IF(AND(BI8=BH$5,BI$6&gt;=$D$115),1,0),
IF(AND(BJ8=BH$5,BI$6&gt;=$D$115),1,0),
IF(BH8&amp;BK8=BL$5,1,0),
IF(BI8=BH$5,2,0),
IF(BJ8=BH$5,1,0),
IF(OR(BH8&amp;BI8&amp;BJ8=BH$5&amp;BI$5&amp;BJ$5,BH8&amp;BI8&amp;BJ8=BH$5&amp;BJ$5&amp;BI$5,BH8&amp;BI8&amp;BJ8=BI$5&amp;BH$5&amp;BJ$5,BH8&amp;BI8&amp;BJ8=BI$5&amp;BJ$5&amp;BH$5,BH8&amp;BI8&amp;BJ8=BJ$5&amp;BH$5&amp;BI$5,BH8&amp;BI8&amp;BJ8=BJ$5&amp;BI$5&amp;BH$5),2,0),IF(AND(BH8=BH$5,BI$6&gt;=$D$129),1,0),IF(AND(BI8=BH$5,BI$6&gt;=$D$129),1,0),IF(AND(BJ8=BH$5,BI$6&gt;=$D$129),1,0),IF(BH8&amp;BK8=BK$5,4,0),IF(AND(BH8=BH$5,BI$6&lt;=$D$104),-0.5,0),IF(AND(BI8=BH$5,BI$6&lt;=$D$104),-0.5,0),IF(AND(BJ8=BH$5,BI$6&lt;=$D$104),-0.5,0))</f>
        <v>5</v>
      </c>
      <c r="BM8" s="411">
        <v>3</v>
      </c>
      <c r="BN8" s="413">
        <v>4</v>
      </c>
      <c r="BO8" s="413">
        <v>5</v>
      </c>
      <c r="BP8" s="413"/>
      <c r="BQ8" s="534">
        <f t="shared" ref="BQ8:BQ39" si="12">SUM(IF(BM8=BM$5,4,0),IF(BM8&amp;BN8=BM$5&amp;BN$5,1,0),
IF(AND(BM8=BM$5,BN$6&gt;=$D$115),1,0),
IF(AND(BN8=BM$5,BN$6&gt;=$D$115),1,0),
IF(AND(BO8=BM$5,BN$6&gt;=$D$115),1,0),
IF(BM8&amp;BP8=BQ$5,1,0),
IF(BN8=BM$5,2,0),
IF(BO8=BM$5,1,0),
IF(OR(BM8&amp;BN8&amp;BO8=BM$5&amp;BN$5&amp;BO$5,BM8&amp;BN8&amp;BO8=BM$5&amp;BO$5&amp;BN$5,BM8&amp;BN8&amp;BO8=BN$5&amp;BM$5&amp;BO$5,BM8&amp;BN8&amp;BO8=BN$5&amp;BO$5&amp;BM$5,BM8&amp;BN8&amp;BO8=BO$5&amp;BM$5&amp;BN$5,BM8&amp;BN8&amp;BO8=BO$5&amp;BN$5&amp;BM$5),2,0),IF(AND(BM8=BM$5,BN$6&gt;=$D$129),1,0),IF(AND(BN8=BM$5,BN$6&gt;=$D$129),1,0),IF(AND(BO8=BM$5,BN$6&gt;=$D$129),1,0),IF(BM8&amp;BP8=BP$5,4,0),IF(AND(BM8=BM$5,BN$6&lt;=$D$104),-0.5,0),IF(AND(BN8=BM$5,BN$6&lt;=$D$104),-0.5,0),IF(AND(BO8=BM$5,BN$6&lt;=$D$104),-0.5,0))</f>
        <v>2</v>
      </c>
      <c r="BR8" s="411">
        <v>2</v>
      </c>
      <c r="BS8" s="413">
        <v>11</v>
      </c>
      <c r="BT8" s="413">
        <v>9</v>
      </c>
      <c r="BU8" s="413"/>
      <c r="BV8" s="534">
        <f t="shared" ref="BV8:BV39" si="13">SUM(IF(BR8=BR$5,4,0),IF(BR8&amp;BS8=BR$5&amp;BS$5,1,0),
IF(AND(BR8=BR$5,BS$6&gt;=$D$115),1,0),
IF(AND(BS8=BR$5,BS$6&gt;=$D$115),1,0),
IF(AND(BT8=BR$5,BS$6&gt;=$D$115),1,0),
IF(BR8&amp;BU8=BV$5,1,0),
IF(BS8=BR$5,2,0),
IF(BT8=BR$5,1,0),
IF(OR(BR8&amp;BS8&amp;BT8=BR$5&amp;BS$5&amp;BT$5,BR8&amp;BS8&amp;BT8=BR$5&amp;BT$5&amp;BS$5,BR8&amp;BS8&amp;BT8=BS$5&amp;BR$5&amp;BT$5,BR8&amp;BS8&amp;BT8=BS$5&amp;BT$5&amp;BR$5,BR8&amp;BS8&amp;BT8=BT$5&amp;BR$5&amp;BS$5,BR8&amp;BS8&amp;BT8=BT$5&amp;BS$5&amp;BR$5),2,0),IF(AND(BR8=BR$5,BS$6&gt;=$D$129),1,0),IF(AND(BS8=BR$5,BS$6&gt;=$D$129),1,0),IF(AND(BT8=BR$5,BS$6&gt;=$D$129),1,0),IF(BR8&amp;BU8=BU$5,4,0),IF(AND(BR8=BR$5,BS$6&lt;=$D$104),-0.5,0),IF(AND(BS8=BR$5,BS$6&lt;=$D$104),-0.5,0),IF(AND(BT8=BR$5,BS$6&lt;=$D$104),-0.5,0))</f>
        <v>0</v>
      </c>
      <c r="BW8" s="411"/>
      <c r="BX8" s="413"/>
      <c r="BY8" s="413"/>
      <c r="BZ8" s="413"/>
      <c r="CA8" s="534">
        <f t="shared" ref="CA8:CA39" si="14">SUM(IF(BW8=BW$5,4,0),IF(BW8&amp;BX8=BW$5&amp;BX$5,1,0),
IF(AND(BW8=BW$5,BX$6&gt;=$D$115),1,0),
IF(AND(BX8=BW$5,BX$6&gt;=$D$115),1,0),
IF(AND(BY8=BW$5,BX$6&gt;=$D$115),1,0),
IF(BW8&amp;BZ8=CA$5,1,0),
IF(BX8=BW$5,2,0),
IF(BY8=BW$5,1,0),
IF(OR(BW8&amp;BX8&amp;BY8=BW$5&amp;BX$5&amp;BY$5,BW8&amp;BX8&amp;BY8=BW$5&amp;BY$5&amp;BX$5,BW8&amp;BX8&amp;BY8=BX$5&amp;BW$5&amp;BY$5,BW8&amp;BX8&amp;BY8=BX$5&amp;BY$5&amp;BW$5,BW8&amp;BX8&amp;BY8=BY$5&amp;BW$5&amp;BX$5,BW8&amp;BX8&amp;BY8=BY$5&amp;BX$5&amp;BW$5),2,0),IF(AND(BW8=BW$5,BX$6&gt;=$D$129),1,0),IF(AND(BX8=BW$5,BX$6&gt;=$D$129),1,0),IF(AND(BY8=BW$5,BX$6&gt;=$D$129),1,0),IF(BW8&amp;BZ8=BZ$5,4,0),IF(AND(BW8=BW$5,BX$6&lt;=$D$104),-0.5,0),IF(AND(BX8=BW$5,BX$6&lt;=$D$104),-0.5,0),IF(AND(BY8=BW$5,BX$6&lt;=$D$104),-0.5,0))</f>
        <v>0</v>
      </c>
      <c r="CB8" s="411"/>
      <c r="CC8" s="413"/>
      <c r="CD8" s="413"/>
      <c r="CE8" s="413"/>
      <c r="CF8" s="534">
        <f t="shared" ref="CF8:CF39" si="15">SUM(IF(CB8=CB$5,4,0),IF(CB8&amp;CC8=CB$5&amp;CC$5,1,0),
IF(AND(CB8=CB$5,CC$6&gt;=$D$115),1,0),
IF(AND(CC8=CB$5,CC$6&gt;=$D$115),1,0),
IF(AND(CD8=CB$5,CC$6&gt;=$D$115),1,0),
IF(CB8&amp;CE8=CF$5,1,0),
IF(CC8=CB$5,2,0),
IF(CD8=CB$5,1,0),
IF(OR(CB8&amp;CC8&amp;CD8=CB$5&amp;CC$5&amp;CD$5,CB8&amp;CC8&amp;CD8=CB$5&amp;CD$5&amp;CC$5,CB8&amp;CC8&amp;CD8=CC$5&amp;CB$5&amp;CD$5,CB8&amp;CC8&amp;CD8=CC$5&amp;CD$5&amp;CB$5,CB8&amp;CC8&amp;CD8=CD$5&amp;CB$5&amp;CC$5,CB8&amp;CC8&amp;CD8=CD$5&amp;CC$5&amp;CB$5),2,0),IF(AND(CB8=CB$5,CC$6&gt;=$D$129),1,0),IF(AND(CC8=CB$5,CC$6&gt;=$D$129),1,0),IF(AND(CD8=CB$5,CC$6&gt;=$D$129),1,0),IF(CB8&amp;CE8=CE$5,4,0),IF(AND(CB8=CB$5,CC$6&lt;=$D$104),-0.5,0),IF(AND(CC8=CB$5,CC$6&lt;=$D$104),-0.5,0),IF(AND(CD8=CB$5,CC$6&lt;=$D$104),-0.5,0))</f>
        <v>0</v>
      </c>
      <c r="CG8" s="162">
        <f>IF(SEMANA2[[#This Row],[1]]="",0,$B$4)</f>
        <v>14</v>
      </c>
      <c r="CH8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6</v>
      </c>
      <c r="CI8" s="164">
        <f>IF(SEMANA2[[#This Row],[Columna14]]=0,0,(CH8/CG8))</f>
        <v>0.42857142857142855</v>
      </c>
      <c r="CJ8" s="163">
        <f>IF(SEMANA2[[#This Row],[1]]="",0,$B$4)</f>
        <v>14</v>
      </c>
      <c r="CK8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8</v>
      </c>
      <c r="CL8" s="164">
        <f>IF(SEMANA2[[#This Row],[Columna14]]=0,0,(CK8/CJ8))</f>
        <v>0.5714285714285714</v>
      </c>
      <c r="CM8" s="162">
        <f>IF(SEMANA2[[#This Row],[1]]="",0,$B$4)</f>
        <v>14</v>
      </c>
      <c r="CN8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11</v>
      </c>
      <c r="CO8" s="164">
        <f>IF(SEMANA2[[#This Row],[Columna14]]=0,0,(CN8/CM8))</f>
        <v>0.7857142857142857</v>
      </c>
      <c r="CP8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8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Row],[Columna25]],$AX$5,BA8,"SF")+COUNTIFS(SEMANA2[[#This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8" s="164">
        <f>IFERROR(IF(SEMANA2[[#This Row],[Columna14]]=0,0,(CQ8/CP8)),0)</f>
        <v>0.66666666666666663</v>
      </c>
      <c r="CS8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40.5</v>
      </c>
      <c r="CT8" s="93">
        <f>_xlfn.XLOOKUP(SEMANA2[[#This Row],[COD]],BASE01[COD],BASE01[Columna33])</f>
        <v>28</v>
      </c>
      <c r="CU8" s="536">
        <f t="shared" ref="CU8:CU39" si="16">SUM(CS8,CT8)</f>
        <v>68.5</v>
      </c>
      <c r="CV8" s="445">
        <f>IF(SEMANA2[[#This Row],[TIPO]]="PREMIO",$O$3,"0,00")</f>
        <v>1000</v>
      </c>
      <c r="CW8" s="515"/>
      <c r="CY8" s="388">
        <v>1</v>
      </c>
      <c r="CZ8" s="349">
        <f>F$6</f>
        <v>476.82</v>
      </c>
      <c r="DB8" s="537" t="str">
        <f>SEMANA2[[#This Row],[COD]]</f>
        <v>COD 01</v>
      </c>
      <c r="DC8" s="390" t="str">
        <f t="array" ref="DC8">IFERROR(IF(AND(INDEX($E$8:$CE$57, MATCH($C8, $C$8:$C$57, 0), (COLUMNS($DC8:DC8)-1)*5 + 1) = INDEX($E$5:$CE$5, 1, (COLUMNS($DC8:DC8)-1)*5 + 1), INDEX($E$8:$CE$57, MATCH($C8, $C$8:$C$57, 0), (COLUMNS($DC8:DC8)-1)*5 + 4) = "F"), INDEX($CZ$8:$CZ$23, COLUMNS($DC8:DC8)), "0"), "")</f>
        <v>0</v>
      </c>
      <c r="DD8" s="390" t="str">
        <f t="array" ref="DD8">IFERROR(IF(AND(INDEX($E$8:$CE$57, MATCH($C8, $C$8:$C$57, 0), (COLUMNS($DC8:DD8)-1)*5 + 1) = INDEX($E$5:$CE$5, 1, (COLUMNS($DC8:DD8)-1)*5 + 1), INDEX($E$8:$CE$57, MATCH($C8, $C$8:$C$57, 0), (COLUMNS($DC8:DD8)-1)*5 + 4) = "F"), INDEX($CZ$8:$CZ$23, COLUMNS($DC8:DD8)), "0"), "")</f>
        <v>0</v>
      </c>
      <c r="DE8" s="390" t="str">
        <f t="array" ref="DE8">IFERROR(IF(AND(INDEX($E$8:$CE$57, MATCH($C8, $C$8:$C$57, 0), (COLUMNS($DC8:DE8)-1)*5 + 1) = INDEX($E$5:$CE$5, 1, (COLUMNS($DC8:DE8)-1)*5 + 1), INDEX($E$8:$CE$57, MATCH($C8, $C$8:$C$57, 0), (COLUMNS($DC8:DE8)-1)*5 + 4) = "F"), INDEX($CZ$8:$CZ$23, COLUMNS($DC8:DE8)), "0"), "")</f>
        <v>0</v>
      </c>
      <c r="DF8" s="390" t="str">
        <f t="array" ref="DF8">IFERROR(IF(AND(INDEX($E$8:$CE$57, MATCH($C8, $C$8:$C$57, 0), (COLUMNS($DC8:DF8)-1)*5 + 1) = INDEX($E$5:$CE$5, 1, (COLUMNS($DC8:DF8)-1)*5 + 1), INDEX($E$8:$CE$57, MATCH($C8, $C$8:$C$57, 0), (COLUMNS($DC8:DF8)-1)*5 + 4) = "F"), INDEX($CZ$8:$CZ$23, COLUMNS($DC8:DF8)), "0"), "")</f>
        <v>0</v>
      </c>
      <c r="DG8" s="390" t="str">
        <f t="array" ref="DG8">IFERROR(IF(AND(INDEX($E$8:$CE$57, MATCH($C8, $C$8:$C$57, 0), (COLUMNS($DC8:DG8)-1)*5 + 1) = INDEX($E$5:$CE$5, 1, (COLUMNS($DC8:DG8)-1)*5 + 1), INDEX($E$8:$CE$57, MATCH($C8, $C$8:$C$57, 0), (COLUMNS($DC8:DG8)-1)*5 + 4) = "F"), INDEX($CZ$8:$CZ$23, COLUMNS($DC8:DG8)), "0"), "")</f>
        <v>0</v>
      </c>
      <c r="DH8" s="390" t="str">
        <f t="array" ref="DH8">IFERROR(IF(AND(INDEX($E$8:$CE$57, MATCH($C8, $C$8:$C$57, 0), (COLUMNS($DC8:DH8)-1)*5 + 1) = INDEX($E$5:$CE$5, 1, (COLUMNS($DC8:DH8)-1)*5 + 1), INDEX($E$8:$CE$57, MATCH($C8, $C$8:$C$57, 0), (COLUMNS($DC8:DH8)-1)*5 + 4) = "F"), INDEX($CZ$8:$CZ$23, COLUMNS($DC8:DH8)), "0"), "")</f>
        <v>0</v>
      </c>
      <c r="DI8" s="390" t="str">
        <f t="array" ref="DI8">IFERROR(IF(AND(INDEX($E$8:$CE$57, MATCH($C8, $C$8:$C$57, 0), (COLUMNS($DC8:DI8)-1)*5 + 1) = INDEX($E$5:$CE$5, 1, (COLUMNS($DC8:DI8)-1)*5 + 1), INDEX($E$8:$CE$57, MATCH($C8, $C$8:$C$57, 0), (COLUMNS($DC8:DI8)-1)*5 + 4) = "F"), INDEX($CZ$8:$CZ$23, COLUMNS($DC8:DI8)), "0"), "")</f>
        <v>0</v>
      </c>
      <c r="DJ8" s="390" t="str">
        <f t="array" ref="DJ8">IFERROR(IF(AND(INDEX($E$8:$CE$57, MATCH($C8, $C$8:$C$57, 0), (COLUMNS($DC8:DJ8)-1)*5 + 1) = INDEX($E$5:$CE$5, 1, (COLUMNS($DC8:DJ8)-1)*5 + 1), INDEX($E$8:$CE$57, MATCH($C8, $C$8:$C$57, 0), (COLUMNS($DC8:DJ8)-1)*5 + 4) = "F"), INDEX($CZ$8:$CZ$23, COLUMNS($DC8:DJ8)), "0"), "")</f>
        <v>0</v>
      </c>
      <c r="DK8" s="390" t="str">
        <f t="array" ref="DK8">IFERROR(IF(AND(INDEX($E$8:$CE$57, MATCH($C8, $C$8:$C$57, 0), (COLUMNS($DC8:DK8)-1)*5 + 1) = INDEX($E$5:$CE$5, 1, (COLUMNS($DC8:DK8)-1)*5 + 1), INDEX($E$8:$CE$57, MATCH($C8, $C$8:$C$57, 0), (COLUMNS($DC8:DK8)-1)*5 + 4) = "F"), INDEX($CZ$8:$CZ$23, COLUMNS($DC8:DK8)), "0"), "")</f>
        <v>0</v>
      </c>
      <c r="DL8" s="390" t="str">
        <f t="array" ref="DL8">IFERROR(IF(AND(INDEX($E$8:$CE$57, MATCH($C8, $C$8:$C$57, 0), (COLUMNS($DC8:DL8)-1)*5 + 1) = INDEX($E$5:$CE$5, 1, (COLUMNS($DC8:DL8)-1)*5 + 1), INDEX($E$8:$CE$57, MATCH($C8, $C$8:$C$57, 0), (COLUMNS($DC8:DL8)-1)*5 + 4) = "F"), INDEX($CZ$8:$CZ$23, COLUMNS($DC8:DL8)), "0"), "")</f>
        <v>0</v>
      </c>
      <c r="DM8" s="390" t="str">
        <f t="array" ref="DM8">IFERROR(IF(AND(INDEX($E$8:$CE$57, MATCH($C8, $C$8:$C$57, 0), (COLUMNS($DC8:DM8)-1)*5 + 1) = INDEX($E$5:$CE$5, 1, (COLUMNS($DC8:DM8)-1)*5 + 1), INDEX($E$8:$CE$57, MATCH($C8, $C$8:$C$57, 0), (COLUMNS($DC8:DM8)-1)*5 + 4) = "F"), INDEX($CZ$8:$CZ$23, COLUMNS($DC8:DM8)), "0"), "")</f>
        <v>0</v>
      </c>
      <c r="DN8" s="390">
        <f t="array" ref="DN8">IFERROR(IF(AND(INDEX($E$8:$CE$57, MATCH($C8, $C$8:$C$57, 0), (COLUMNS($DC8:DN8)-1)*5 + 1) = INDEX($E$5:$CE$5, 1, (COLUMNS($DC8:DN8)-1)*5 + 1), INDEX($E$8:$CE$57, MATCH($C8, $C$8:$C$57, 0), (COLUMNS($DC8:DN8)-1)*5 + 4) = "F"), INDEX($CZ$8:$CZ$23, COLUMNS($DC8:DN8)), "0"), "")</f>
        <v>177.86</v>
      </c>
      <c r="DO8" s="390" t="str">
        <f t="array" ref="DO8">IFERROR(IF(AND(INDEX($E$8:$CE$57, MATCH($C8, $C$8:$C$57, 0), (COLUMNS($DC8:DO8)-1)*5 + 1) = INDEX($E$5:$CE$5, 1, (COLUMNS($DC8:DO8)-1)*5 + 1), INDEX($E$8:$CE$57, MATCH($C8, $C$8:$C$57, 0), (COLUMNS($DC8:DO8)-1)*5 + 4) = "F"), INDEX($CZ$8:$CZ$23, COLUMNS($DC8:DO8)), "0"), "")</f>
        <v>0</v>
      </c>
      <c r="DP8" s="390" t="str">
        <f t="array" ref="DP8">IFERROR(IF(AND(INDEX($E$8:$CE$57, MATCH($C8, $C$8:$C$57, 0), (COLUMNS($DC8:DP8)-1)*5 + 1) = INDEX($E$5:$CE$5, 1, (COLUMNS($DC8:DP8)-1)*5 + 1), INDEX($E$8:$CE$57, MATCH($C8, $C$8:$C$57, 0), (COLUMNS($DC8:DP8)-1)*5 + 4) = "F"), INDEX($CZ$8:$CZ$23, COLUMNS($DC8:DP8)), "0"), "")</f>
        <v>0</v>
      </c>
      <c r="DQ8" s="390" t="str">
        <f t="array" ref="DQ8">IFERROR(IF(AND(INDEX($E$8:$CE$57, MATCH($C8, $C$8:$C$57, 0), (COLUMNS($DC8:DQ8)-1)*5 + 1) = INDEX($E$5:$CE$5, 1, (COLUMNS($DC8:DQ8)-1)*5 + 1), INDEX($E$8:$CE$57, MATCH($C8, $C$8:$C$57, 0), (COLUMNS($DC8:DQ8)-1)*5 + 4) = "F"), INDEX($CZ$8:$CZ$23, COLUMNS($DC8:DQ8)), "0"), "")</f>
        <v>0</v>
      </c>
      <c r="DR8" s="390" t="str">
        <f t="array" ref="DR8">IFERROR(IF(AND(INDEX($E$8:$CE$57, MATCH($C8, $C$8:$C$57, 0), (COLUMNS($DC8:DR8)-1)*5 + 1) = INDEX($E$5:$CE$5, 1, (COLUMNS($DC8:DR8)-1)*5 + 1), INDEX($E$8:$CE$57, MATCH($C8, $C$8:$C$57, 0), (COLUMNS($DC8:DR8)-1)*5 + 4) = "F"), INDEX($CZ$8:$CZ$23, COLUMNS($DC8:DR8)), "0"), "")</f>
        <v>0</v>
      </c>
      <c r="DT8" s="537" t="str">
        <f>SEMANA2[[#This Row],[COD]]</f>
        <v>COD 01</v>
      </c>
      <c r="DU8" s="390" t="str">
        <f t="array" ref="DU8">IFERROR(IF(AND(INDEX($E$8:$CE$57, MATCH($C8, $C$8:$C$57, 0), (COLUMNS($DU8:DU8)-1)*5 + 1) = INDEX($E$5:$CE$5, 1, (COLUMNS($DU8:DU8)-1)*5 + 1), INDEX($E$8:$CE$57, MATCH($C8, $C$8:$C$57, 0), (COLUMNS($DU8:DU8)-1)*5 + 4) = "SF"), INDEX($CZ$8:$CZ$23, COLUMNS($DU8:DU8)), "0"), "")</f>
        <v>0</v>
      </c>
      <c r="DV8" s="390" t="str">
        <f t="array" ref="DV8">IFERROR(IF(AND(INDEX($E$8:$CE$57, MATCH($C8, $C$8:$C$57, 0), (COLUMNS($DU8:DV8)-1)*5 + 1) = INDEX($E$5:$CE$5, 1, (COLUMNS($DU8:DV8)-1)*5 + 1), INDEX($E$8:$CE$57, MATCH($C8, $C$8:$C$57, 0), (COLUMNS($DU8:DV8)-1)*5 + 4) = "SF"), INDEX($CZ$8:$CZ$23, COLUMNS($DU8:DV8)), "0"), "")</f>
        <v>0</v>
      </c>
      <c r="DW8" s="390" t="str">
        <f t="array" ref="DW8">IFERROR(IF(AND(INDEX($E$8:$CE$57, MATCH($C8, $C$8:$C$57, 0), (COLUMNS($DU8:DW8)-1)*5 + 1) = INDEX($E$5:$CE$5, 1, (COLUMNS($DU8:DW8)-1)*5 + 1), INDEX($E$8:$CE$57, MATCH($C8, $C$8:$C$57, 0), (COLUMNS($DU8:DW8)-1)*5 + 4) = "SF"), INDEX($CZ$8:$CZ$23, COLUMNS($DU8:DW8)), "0"), "")</f>
        <v>0</v>
      </c>
      <c r="DX8" s="390" t="str">
        <f t="array" ref="DX8">IFERROR(IF(AND(INDEX($E$8:$CE$57, MATCH($C8, $C$8:$C$57, 0), (COLUMNS($DU8:DX8)-1)*5 + 1) = INDEX($E$5:$CE$5, 1, (COLUMNS($DU8:DX8)-1)*5 + 1), INDEX($E$8:$CE$57, MATCH($C8, $C$8:$C$57, 0), (COLUMNS($DU8:DX8)-1)*5 + 4) = "SF"), INDEX($CZ$8:$CZ$23, COLUMNS($DU8:DX8)), "0"), "")</f>
        <v>0</v>
      </c>
      <c r="DY8" s="390" t="str">
        <f t="array" ref="DY8">IFERROR(IF(AND(INDEX($E$8:$CE$57, MATCH($C8, $C$8:$C$57, 0), (COLUMNS($DU8:DY8)-1)*5 + 1) = INDEX($E$5:$CE$5, 1, (COLUMNS($DU8:DY8)-1)*5 + 1), INDEX($E$8:$CE$57, MATCH($C8, $C$8:$C$57, 0), (COLUMNS($DU8:DY8)-1)*5 + 4) = "SF"), INDEX($CZ$8:$CZ$23, COLUMNS($DU8:DY8)), "0"), "")</f>
        <v>0</v>
      </c>
      <c r="DZ8" s="390" t="str">
        <f t="array" ref="DZ8">IFERROR(IF(AND(INDEX($E$8:$CE$57, MATCH($C8, $C$8:$C$57, 0), (COLUMNS($DU8:DZ8)-1)*5 + 1) = INDEX($E$5:$CE$5, 1, (COLUMNS($DU8:DZ8)-1)*5 + 1), INDEX($E$8:$CE$57, MATCH($C8, $C$8:$C$57, 0), (COLUMNS($DU8:DZ8)-1)*5 + 4) = "SF"), INDEX($CZ$8:$CZ$23, COLUMNS($DU8:DZ8)), "0"), "")</f>
        <v>0</v>
      </c>
      <c r="EA8" s="390" t="str">
        <f t="array" ref="EA8">IFERROR(IF(AND(INDEX($E$8:$CE$57, MATCH($C8, $C$8:$C$57, 0), (COLUMNS($DU8:EA8)-1)*5 + 1) = INDEX($E$5:$CE$5, 1, (COLUMNS($DU8:EA8)-1)*5 + 1), INDEX($E$8:$CE$57, MATCH($C8, $C$8:$C$57, 0), (COLUMNS($DU8:EA8)-1)*5 + 4) = "SF"), INDEX($CZ$8:$CZ$23, COLUMNS($DU8:EA8)), "0"), "")</f>
        <v>0</v>
      </c>
      <c r="EB8" s="390">
        <f t="array" ref="EB8">IFERROR(IF(AND(INDEX($E$8:$CE$57, MATCH($C8, $C$8:$C$57, 0), (COLUMNS($DU8:EB8)-1)*5 + 1) = INDEX($E$5:$CE$5, 1, (COLUMNS($DU8:EB8)-1)*5 + 1), INDEX($E$8:$CE$57, MATCH($C8, $C$8:$C$57, 0), (COLUMNS($DU8:EB8)-1)*5 + 4) = "SF"), INDEX($CZ$8:$CZ$23, COLUMNS($DU8:EB8)), "0"), "")</f>
        <v>128.36000000000001</v>
      </c>
      <c r="EC8" s="390" t="str">
        <f t="array" ref="EC8">IFERROR(IF(AND(INDEX($E$8:$CE$57, MATCH($C8, $C$8:$C$57, 0), (COLUMNS($DU8:EC8)-1)*5 + 1) = INDEX($E$5:$CE$5, 1, (COLUMNS($DU8:EC8)-1)*5 + 1), INDEX($E$8:$CE$57, MATCH($C8, $C$8:$C$57, 0), (COLUMNS($DU8:EC8)-1)*5 + 4) = "SF"), INDEX($CZ$8:$CZ$23, COLUMNS($DU8:EC8)), "0"), "")</f>
        <v>0</v>
      </c>
      <c r="ED8" s="390" t="str">
        <f t="array" ref="ED8">IFERROR(IF(AND(INDEX($E$8:$CE$57, MATCH($C8, $C$8:$C$57, 0), (COLUMNS($DU8:ED8)-1)*5 + 1) = INDEX($E$5:$CE$5, 1, (COLUMNS($DU8:ED8)-1)*5 + 1), INDEX($E$8:$CE$57, MATCH($C8, $C$8:$C$57, 0), (COLUMNS($DU8:ED8)-1)*5 + 4) = "SF"), INDEX($CZ$8:$CZ$23, COLUMNS($DU8:ED8)), "0"), "")</f>
        <v>0</v>
      </c>
      <c r="EE8" s="390" t="str">
        <f t="array" ref="EE8">IFERROR(IF(AND(INDEX($E$8:$CE$57, MATCH($C8, $C$8:$C$57, 0), (COLUMNS($DU8:EE8)-1)*5 + 1) = INDEX($E$5:$CE$5, 1, (COLUMNS($DU8:EE8)-1)*5 + 1), INDEX($E$8:$CE$57, MATCH($C8, $C$8:$C$57, 0), (COLUMNS($DU8:EE8)-1)*5 + 4) = "SF"), INDEX($CZ$8:$CZ$23, COLUMNS($DU8:EE8)), "0"), "")</f>
        <v>0</v>
      </c>
      <c r="EF8" s="390" t="str">
        <f t="array" ref="EF8">IFERROR(IF(AND(INDEX($E$8:$CE$57, MATCH($C8, $C$8:$C$57, 0), (COLUMNS($DU8:EF8)-1)*5 + 1) = INDEX($E$5:$CE$5, 1, (COLUMNS($DU8:EF8)-1)*5 + 1), INDEX($E$8:$CE$57, MATCH($C8, $C$8:$C$57, 0), (COLUMNS($DU8:EF8)-1)*5 + 4) = "SF"), INDEX($CZ$8:$CZ$23, COLUMNS($DU8:EF8)), "0"), "")</f>
        <v>0</v>
      </c>
      <c r="EG8" s="390" t="str">
        <f t="array" ref="EG8">IFERROR(IF(AND(INDEX($E$8:$CE$57, MATCH($C8, $C$8:$C$57, 0), (COLUMNS($DU8:EG8)-1)*5 + 1) = INDEX($E$5:$CE$5, 1, (COLUMNS($DU8:EG8)-1)*5 + 1), INDEX($E$8:$CE$57, MATCH($C8, $C$8:$C$57, 0), (COLUMNS($DU8:EG8)-1)*5 + 4) = "SF"), INDEX($CZ$8:$CZ$23, COLUMNS($DU8:EG8)), "0"), "")</f>
        <v>0</v>
      </c>
      <c r="EH8" s="390" t="str">
        <f t="array" ref="EH8">IFERROR(IF(AND(INDEX($E$8:$CE$57, MATCH($C8, $C$8:$C$57, 0), (COLUMNS($DU8:EH8)-1)*5 + 1) = INDEX($E$5:$CE$5, 1, (COLUMNS($DU8:EH8)-1)*5 + 1), INDEX($E$8:$CE$57, MATCH($C8, $C$8:$C$57, 0), (COLUMNS($DU8:EH8)-1)*5 + 4) = "SF"), INDEX($CZ$8:$CZ$23, COLUMNS($DU8:EH8)), "0"), "")</f>
        <v>0</v>
      </c>
      <c r="EI8" s="390" t="str">
        <f t="array" ref="EI8">IFERROR(IF(AND(INDEX($E$8:$CE$57, MATCH($C8, $C$8:$C$57, 0), (COLUMNS($DU8:EI8)-1)*5 + 1) = INDEX($E$5:$CE$5, 1, (COLUMNS($DU8:EI8)-1)*5 + 1), INDEX($E$8:$CE$57, MATCH($C8, $C$8:$C$57, 0), (COLUMNS($DU8:EI8)-1)*5 + 4) = "SF"), INDEX($CZ$8:$CZ$23, COLUMNS($DU8:EI8)), "0"), "")</f>
        <v>0</v>
      </c>
      <c r="EJ8" s="390" t="str">
        <f t="array" ref="EJ8">IFERROR(IF(AND(INDEX($E$8:$CE$57, MATCH($C8, $C$8:$C$57, 0), (COLUMNS($DU8:EJ8)-1)*5 + 1) = INDEX($E$5:$CE$5, 1, (COLUMNS($DU8:EJ8)-1)*5 + 1), INDEX($E$8:$CE$57, MATCH($C8, $C$8:$C$57, 0), (COLUMNS($DU8:EJ8)-1)*5 + 4) = "SF"), INDEX($CZ$8:$CZ$23, COLUMNS($DU8:EJ8)), "0"), "")</f>
        <v>0</v>
      </c>
    </row>
    <row r="9" spans="1:140" ht="20.100000000000001" customHeight="1" x14ac:dyDescent="0.35">
      <c r="A9" s="515"/>
      <c r="B9" s="444">
        <f>IF(SEMANA2[[#This Row],[COD]]&lt;&gt;"",B8+1,"")</f>
        <v>2</v>
      </c>
      <c r="C9" s="554" t="s">
        <v>33</v>
      </c>
      <c r="D9" s="410" t="str">
        <f t="array" ref="D9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9" s="414">
        <v>9</v>
      </c>
      <c r="F9" s="416">
        <v>2</v>
      </c>
      <c r="G9" s="415">
        <v>3</v>
      </c>
      <c r="H9" s="411"/>
      <c r="I9" s="534">
        <f t="shared" si="0"/>
        <v>0</v>
      </c>
      <c r="J9" s="414">
        <v>1</v>
      </c>
      <c r="K9" s="416">
        <v>2</v>
      </c>
      <c r="L9" s="415">
        <v>4</v>
      </c>
      <c r="M9" s="411" t="s">
        <v>254</v>
      </c>
      <c r="N9" s="534">
        <f t="shared" si="1"/>
        <v>0</v>
      </c>
      <c r="O9" s="414">
        <v>5</v>
      </c>
      <c r="P9" s="416">
        <v>1</v>
      </c>
      <c r="Q9" s="415">
        <v>8</v>
      </c>
      <c r="R9" s="411"/>
      <c r="S9" s="534">
        <f t="shared" si="2"/>
        <v>2</v>
      </c>
      <c r="T9" s="414">
        <v>3</v>
      </c>
      <c r="U9" s="416">
        <v>4</v>
      </c>
      <c r="V9" s="415">
        <v>5</v>
      </c>
      <c r="W9" s="411"/>
      <c r="X9" s="534">
        <f t="shared" si="3"/>
        <v>0</v>
      </c>
      <c r="Y9" s="414">
        <v>2</v>
      </c>
      <c r="Z9" s="416">
        <v>1</v>
      </c>
      <c r="AA9" s="415">
        <v>5</v>
      </c>
      <c r="AB9" s="411"/>
      <c r="AC9" s="534">
        <f t="shared" si="4"/>
        <v>4</v>
      </c>
      <c r="AD9" s="414">
        <v>2</v>
      </c>
      <c r="AE9" s="416">
        <v>7</v>
      </c>
      <c r="AF9" s="415">
        <v>3</v>
      </c>
      <c r="AG9" s="411"/>
      <c r="AH9" s="534">
        <f t="shared" si="5"/>
        <v>3</v>
      </c>
      <c r="AI9" s="414">
        <v>7</v>
      </c>
      <c r="AJ9" s="416">
        <v>6</v>
      </c>
      <c r="AK9" s="415">
        <v>9</v>
      </c>
      <c r="AL9" s="411"/>
      <c r="AM9" s="534">
        <f t="shared" si="6"/>
        <v>4</v>
      </c>
      <c r="AN9" s="414">
        <v>8</v>
      </c>
      <c r="AO9" s="416"/>
      <c r="AP9" s="415"/>
      <c r="AQ9" s="411" t="s">
        <v>255</v>
      </c>
      <c r="AR9" s="534">
        <f t="shared" si="7"/>
        <v>7.5</v>
      </c>
      <c r="AS9" s="414">
        <v>2</v>
      </c>
      <c r="AT9" s="416">
        <v>10</v>
      </c>
      <c r="AU9" s="415">
        <v>11</v>
      </c>
      <c r="AV9" s="411"/>
      <c r="AW9" s="534">
        <f t="shared" si="8"/>
        <v>4</v>
      </c>
      <c r="AX9" s="414">
        <v>10</v>
      </c>
      <c r="AY9" s="416">
        <v>2</v>
      </c>
      <c r="AZ9" s="415">
        <v>1</v>
      </c>
      <c r="BA9" s="411"/>
      <c r="BB9" s="534">
        <f t="shared" si="9"/>
        <v>2</v>
      </c>
      <c r="BC9" s="414">
        <v>7</v>
      </c>
      <c r="BD9" s="416">
        <v>6</v>
      </c>
      <c r="BE9" s="415">
        <v>2</v>
      </c>
      <c r="BF9" s="411" t="s">
        <v>254</v>
      </c>
      <c r="BG9" s="534">
        <f t="shared" si="10"/>
        <v>6</v>
      </c>
      <c r="BH9" s="414">
        <v>6</v>
      </c>
      <c r="BI9" s="416">
        <v>2</v>
      </c>
      <c r="BJ9" s="415">
        <v>1</v>
      </c>
      <c r="BK9" s="411"/>
      <c r="BL9" s="534">
        <f t="shared" si="11"/>
        <v>4</v>
      </c>
      <c r="BM9" s="414">
        <v>1</v>
      </c>
      <c r="BN9" s="416">
        <v>4</v>
      </c>
      <c r="BO9" s="415">
        <v>9</v>
      </c>
      <c r="BP9" s="411"/>
      <c r="BQ9" s="534">
        <f t="shared" si="12"/>
        <v>0</v>
      </c>
      <c r="BR9" s="414">
        <v>11</v>
      </c>
      <c r="BS9" s="416">
        <v>1</v>
      </c>
      <c r="BT9" s="415">
        <v>2</v>
      </c>
      <c r="BU9" s="411"/>
      <c r="BV9" s="534">
        <f t="shared" si="13"/>
        <v>2</v>
      </c>
      <c r="BW9" s="414"/>
      <c r="BX9" s="416"/>
      <c r="BY9" s="415"/>
      <c r="BZ9" s="411"/>
      <c r="CA9" s="534">
        <f t="shared" si="14"/>
        <v>0</v>
      </c>
      <c r="CB9" s="414"/>
      <c r="CC9" s="416"/>
      <c r="CD9" s="415"/>
      <c r="CE9" s="411"/>
      <c r="CF9" s="534">
        <f t="shared" si="15"/>
        <v>0</v>
      </c>
      <c r="CG9" s="162">
        <f>IF(SEMANA2[[#This Row],[1]]="",0,$B$4)</f>
        <v>14</v>
      </c>
      <c r="CH9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5</v>
      </c>
      <c r="CI9" s="164">
        <f>IF(SEMANA2[[#This Row],[Columna14]]=0,0,(CH9/CG9))</f>
        <v>0.35714285714285715</v>
      </c>
      <c r="CJ9" s="163">
        <f>IF(SEMANA2[[#This Row],[1]]="",0,$B$4)</f>
        <v>14</v>
      </c>
      <c r="CK9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9</v>
      </c>
      <c r="CL9" s="164">
        <f>IF(SEMANA2[[#This Row],[Columna14]]=0,0,(CK9/CJ9))</f>
        <v>0.6428571428571429</v>
      </c>
      <c r="CM9" s="162">
        <f>IF(SEMANA2[[#This Row],[1]]="",0,$B$4)</f>
        <v>14</v>
      </c>
      <c r="CN9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10</v>
      </c>
      <c r="CO9" s="164">
        <f>IF(SEMANA2[[#This Row],[Columna14]]=0,0,(CN9/CM9))</f>
        <v>0.7142857142857143</v>
      </c>
      <c r="CP9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9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Row],[Columna25]],$AX$5,BA9,"SF")+COUNTIFS(SEMANA2[[#This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9" s="164">
        <f>IFERROR(IF(SEMANA2[[#This Row],[Columna14]]=0,0,(CQ9/CP9)),0)</f>
        <v>0.66666666666666663</v>
      </c>
      <c r="CS9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38.5</v>
      </c>
      <c r="CT9" s="93">
        <f>_xlfn.XLOOKUP(SEMANA2[[#This Row],[COD]],BASE01[COD],BASE01[Columna33])</f>
        <v>40</v>
      </c>
      <c r="CU9" s="536">
        <f t="shared" si="16"/>
        <v>78.5</v>
      </c>
      <c r="CV9" s="445">
        <f>IF(SEMANA2[[#This Row],[TIPO]]="PREMIO",$O$3,"0,00")</f>
        <v>1000</v>
      </c>
      <c r="CW9" s="515"/>
      <c r="CY9" s="388">
        <v>2</v>
      </c>
      <c r="CZ9" s="349">
        <f>K$6</f>
        <v>344.19</v>
      </c>
      <c r="DB9" s="537" t="str">
        <f>SEMANA2[[#This Row],[COD]]</f>
        <v>COD 02</v>
      </c>
      <c r="DC9" s="390" t="str">
        <f t="array" ref="DC9">IFERROR(IF(AND(INDEX($E$8:$CE$57, MATCH($C9, $C$8:$C$57, 0), (COLUMNS($DC9:DC9)-1)*5 + 1) = INDEX($E$5:$CE$5, 1, (COLUMNS($DC9:DC9)-1)*5 + 1), INDEX($E$8:$CE$57, MATCH($C9, $C$8:$C$57, 0), (COLUMNS($DC9:DC9)-1)*5 + 4) = "F"), INDEX($CZ$8:$CZ$23, COLUMNS($DC9:DC9)), "0"), "")</f>
        <v>0</v>
      </c>
      <c r="DD9" s="390" t="str">
        <f t="array" ref="DD9">IFERROR(IF(AND(INDEX($E$8:$CE$57, MATCH($C9, $C$8:$C$57, 0), (COLUMNS($DC9:DD9)-1)*5 + 1) = INDEX($E$5:$CE$5, 1, (COLUMNS($DC9:DD9)-1)*5 + 1), INDEX($E$8:$CE$57, MATCH($C9, $C$8:$C$57, 0), (COLUMNS($DC9:DD9)-1)*5 + 4) = "F"), INDEX($CZ$8:$CZ$23, COLUMNS($DC9:DD9)), "0"), "")</f>
        <v>0</v>
      </c>
      <c r="DE9" s="390" t="str">
        <f t="array" ref="DE9">IFERROR(IF(AND(INDEX($E$8:$CE$57, MATCH($C9, $C$8:$C$57, 0), (COLUMNS($DC9:DE9)-1)*5 + 1) = INDEX($E$5:$CE$5, 1, (COLUMNS($DC9:DE9)-1)*5 + 1), INDEX($E$8:$CE$57, MATCH($C9, $C$8:$C$57, 0), (COLUMNS($DC9:DE9)-1)*5 + 4) = "F"), INDEX($CZ$8:$CZ$23, COLUMNS($DC9:DE9)), "0"), "")</f>
        <v>0</v>
      </c>
      <c r="DF9" s="390" t="str">
        <f t="array" ref="DF9">IFERROR(IF(AND(INDEX($E$8:$CE$57, MATCH($C9, $C$8:$C$57, 0), (COLUMNS($DC9:DF9)-1)*5 + 1) = INDEX($E$5:$CE$5, 1, (COLUMNS($DC9:DF9)-1)*5 + 1), INDEX($E$8:$CE$57, MATCH($C9, $C$8:$C$57, 0), (COLUMNS($DC9:DF9)-1)*5 + 4) = "F"), INDEX($CZ$8:$CZ$23, COLUMNS($DC9:DF9)), "0"), "")</f>
        <v>0</v>
      </c>
      <c r="DG9" s="390" t="str">
        <f t="array" ref="DG9">IFERROR(IF(AND(INDEX($E$8:$CE$57, MATCH($C9, $C$8:$C$57, 0), (COLUMNS($DC9:DG9)-1)*5 + 1) = INDEX($E$5:$CE$5, 1, (COLUMNS($DC9:DG9)-1)*5 + 1), INDEX($E$8:$CE$57, MATCH($C9, $C$8:$C$57, 0), (COLUMNS($DC9:DG9)-1)*5 + 4) = "F"), INDEX($CZ$8:$CZ$23, COLUMNS($DC9:DG9)), "0"), "")</f>
        <v>0</v>
      </c>
      <c r="DH9" s="390" t="str">
        <f t="array" ref="DH9">IFERROR(IF(AND(INDEX($E$8:$CE$57, MATCH($C9, $C$8:$C$57, 0), (COLUMNS($DC9:DH9)-1)*5 + 1) = INDEX($E$5:$CE$5, 1, (COLUMNS($DC9:DH9)-1)*5 + 1), INDEX($E$8:$CE$57, MATCH($C9, $C$8:$C$57, 0), (COLUMNS($DC9:DH9)-1)*5 + 4) = "F"), INDEX($CZ$8:$CZ$23, COLUMNS($DC9:DH9)), "0"), "")</f>
        <v>0</v>
      </c>
      <c r="DI9" s="390" t="str">
        <f t="array" ref="DI9">IFERROR(IF(AND(INDEX($E$8:$CE$57, MATCH($C9, $C$8:$C$57, 0), (COLUMNS($DC9:DI9)-1)*5 + 1) = INDEX($E$5:$CE$5, 1, (COLUMNS($DC9:DI9)-1)*5 + 1), INDEX($E$8:$CE$57, MATCH($C9, $C$8:$C$57, 0), (COLUMNS($DC9:DI9)-1)*5 + 4) = "F"), INDEX($CZ$8:$CZ$23, COLUMNS($DC9:DI9)), "0"), "")</f>
        <v>0</v>
      </c>
      <c r="DJ9" s="390" t="str">
        <f t="array" ref="DJ9">IFERROR(IF(AND(INDEX($E$8:$CE$57, MATCH($C9, $C$8:$C$57, 0), (COLUMNS($DC9:DJ9)-1)*5 + 1) = INDEX($E$5:$CE$5, 1, (COLUMNS($DC9:DJ9)-1)*5 + 1), INDEX($E$8:$CE$57, MATCH($C9, $C$8:$C$57, 0), (COLUMNS($DC9:DJ9)-1)*5 + 4) = "F"), INDEX($CZ$8:$CZ$23, COLUMNS($DC9:DJ9)), "0"), "")</f>
        <v>0</v>
      </c>
      <c r="DK9" s="390" t="str">
        <f t="array" ref="DK9">IFERROR(IF(AND(INDEX($E$8:$CE$57, MATCH($C9, $C$8:$C$57, 0), (COLUMNS($DC9:DK9)-1)*5 + 1) = INDEX($E$5:$CE$5, 1, (COLUMNS($DC9:DK9)-1)*5 + 1), INDEX($E$8:$CE$57, MATCH($C9, $C$8:$C$57, 0), (COLUMNS($DC9:DK9)-1)*5 + 4) = "F"), INDEX($CZ$8:$CZ$23, COLUMNS($DC9:DK9)), "0"), "")</f>
        <v>0</v>
      </c>
      <c r="DL9" s="390" t="str">
        <f t="array" ref="DL9">IFERROR(IF(AND(INDEX($E$8:$CE$57, MATCH($C9, $C$8:$C$57, 0), (COLUMNS($DC9:DL9)-1)*5 + 1) = INDEX($E$5:$CE$5, 1, (COLUMNS($DC9:DL9)-1)*5 + 1), INDEX($E$8:$CE$57, MATCH($C9, $C$8:$C$57, 0), (COLUMNS($DC9:DL9)-1)*5 + 4) = "F"), INDEX($CZ$8:$CZ$23, COLUMNS($DC9:DL9)), "0"), "")</f>
        <v>0</v>
      </c>
      <c r="DM9" s="390">
        <f t="array" ref="DM9">IFERROR(IF(AND(INDEX($E$8:$CE$57, MATCH($C9, $C$8:$C$57, 0), (COLUMNS($DC9:DM9)-1)*5 + 1) = INDEX($E$5:$CE$5, 1, (COLUMNS($DC9:DM9)-1)*5 + 1), INDEX($E$8:$CE$57, MATCH($C9, $C$8:$C$57, 0), (COLUMNS($DC9:DM9)-1)*5 + 4) = "F"), INDEX($CZ$8:$CZ$23, COLUMNS($DC9:DM9)), "0"), "")</f>
        <v>156.87</v>
      </c>
      <c r="DN9" s="390" t="str">
        <f t="array" ref="DN9">IFERROR(IF(AND(INDEX($E$8:$CE$57, MATCH($C9, $C$8:$C$57, 0), (COLUMNS($DC9:DN9)-1)*5 + 1) = INDEX($E$5:$CE$5, 1, (COLUMNS($DC9:DN9)-1)*5 + 1), INDEX($E$8:$CE$57, MATCH($C9, $C$8:$C$57, 0), (COLUMNS($DC9:DN9)-1)*5 + 4) = "F"), INDEX($CZ$8:$CZ$23, COLUMNS($DC9:DN9)), "0"), "")</f>
        <v>0</v>
      </c>
      <c r="DO9" s="390" t="str">
        <f t="array" ref="DO9">IFERROR(IF(AND(INDEX($E$8:$CE$57, MATCH($C9, $C$8:$C$57, 0), (COLUMNS($DC9:DO9)-1)*5 + 1) = INDEX($E$5:$CE$5, 1, (COLUMNS($DC9:DO9)-1)*5 + 1), INDEX($E$8:$CE$57, MATCH($C9, $C$8:$C$57, 0), (COLUMNS($DC9:DO9)-1)*5 + 4) = "F"), INDEX($CZ$8:$CZ$23, COLUMNS($DC9:DO9)), "0"), "")</f>
        <v>0</v>
      </c>
      <c r="DP9" s="390" t="str">
        <f t="array" ref="DP9">IFERROR(IF(AND(INDEX($E$8:$CE$57, MATCH($C9, $C$8:$C$57, 0), (COLUMNS($DC9:DP9)-1)*5 + 1) = INDEX($E$5:$CE$5, 1, (COLUMNS($DC9:DP9)-1)*5 + 1), INDEX($E$8:$CE$57, MATCH($C9, $C$8:$C$57, 0), (COLUMNS($DC9:DP9)-1)*5 + 4) = "F"), INDEX($CZ$8:$CZ$23, COLUMNS($DC9:DP9)), "0"), "")</f>
        <v>0</v>
      </c>
      <c r="DQ9" s="390" t="str">
        <f t="array" ref="DQ9">IFERROR(IF(AND(INDEX($E$8:$CE$57, MATCH($C9, $C$8:$C$57, 0), (COLUMNS($DC9:DQ9)-1)*5 + 1) = INDEX($E$5:$CE$5, 1, (COLUMNS($DC9:DQ9)-1)*5 + 1), INDEX($E$8:$CE$57, MATCH($C9, $C$8:$C$57, 0), (COLUMNS($DC9:DQ9)-1)*5 + 4) = "F"), INDEX($CZ$8:$CZ$23, COLUMNS($DC9:DQ9)), "0"), "")</f>
        <v>0</v>
      </c>
      <c r="DR9" s="390" t="str">
        <f t="array" ref="DR9">IFERROR(IF(AND(INDEX($E$8:$CE$57, MATCH($C9, $C$8:$C$57, 0), (COLUMNS($DC9:DR9)-1)*5 + 1) = INDEX($E$5:$CE$5, 1, (COLUMNS($DC9:DR9)-1)*5 + 1), INDEX($E$8:$CE$57, MATCH($C9, $C$8:$C$57, 0), (COLUMNS($DC9:DR9)-1)*5 + 4) = "F"), INDEX($CZ$8:$CZ$23, COLUMNS($DC9:DR9)), "0"), "")</f>
        <v>0</v>
      </c>
      <c r="DT9" s="537" t="str">
        <f>SEMANA2[[#This Row],[COD]]</f>
        <v>COD 02</v>
      </c>
      <c r="DU9" s="390" t="str">
        <f t="array" ref="DU9">IFERROR(IF(AND(INDEX($E$8:$CE$57, MATCH($C9, $C$8:$C$57, 0), (COLUMNS($DU9:DU9)-1)*5 + 1) = INDEX($E$5:$CE$5, 1, (COLUMNS($DU9:DU9)-1)*5 + 1), INDEX($E$8:$CE$57, MATCH($C9, $C$8:$C$57, 0), (COLUMNS($DU9:DU9)-1)*5 + 4) = "SF"), INDEX($CZ$8:$CZ$23, COLUMNS($DU9:DU9)), "0"), "")</f>
        <v>0</v>
      </c>
      <c r="DV9" s="390" t="str">
        <f t="array" ref="DV9">IFERROR(IF(AND(INDEX($E$8:$CE$57, MATCH($C9, $C$8:$C$57, 0), (COLUMNS($DU9:DV9)-1)*5 + 1) = INDEX($E$5:$CE$5, 1, (COLUMNS($DU9:DV9)-1)*5 + 1), INDEX($E$8:$CE$57, MATCH($C9, $C$8:$C$57, 0), (COLUMNS($DU9:DV9)-1)*5 + 4) = "SF"), INDEX($CZ$8:$CZ$23, COLUMNS($DU9:DV9)), "0"), "")</f>
        <v>0</v>
      </c>
      <c r="DW9" s="390" t="str">
        <f t="array" ref="DW9">IFERROR(IF(AND(INDEX($E$8:$CE$57, MATCH($C9, $C$8:$C$57, 0), (COLUMNS($DU9:DW9)-1)*5 + 1) = INDEX($E$5:$CE$5, 1, (COLUMNS($DU9:DW9)-1)*5 + 1), INDEX($E$8:$CE$57, MATCH($C9, $C$8:$C$57, 0), (COLUMNS($DU9:DW9)-1)*5 + 4) = "SF"), INDEX($CZ$8:$CZ$23, COLUMNS($DU9:DW9)), "0"), "")</f>
        <v>0</v>
      </c>
      <c r="DX9" s="390" t="str">
        <f t="array" ref="DX9">IFERROR(IF(AND(INDEX($E$8:$CE$57, MATCH($C9, $C$8:$C$57, 0), (COLUMNS($DU9:DX9)-1)*5 + 1) = INDEX($E$5:$CE$5, 1, (COLUMNS($DU9:DX9)-1)*5 + 1), INDEX($E$8:$CE$57, MATCH($C9, $C$8:$C$57, 0), (COLUMNS($DU9:DX9)-1)*5 + 4) = "SF"), INDEX($CZ$8:$CZ$23, COLUMNS($DU9:DX9)), "0"), "")</f>
        <v>0</v>
      </c>
      <c r="DY9" s="390" t="str">
        <f t="array" ref="DY9">IFERROR(IF(AND(INDEX($E$8:$CE$57, MATCH($C9, $C$8:$C$57, 0), (COLUMNS($DU9:DY9)-1)*5 + 1) = INDEX($E$5:$CE$5, 1, (COLUMNS($DU9:DY9)-1)*5 + 1), INDEX($E$8:$CE$57, MATCH($C9, $C$8:$C$57, 0), (COLUMNS($DU9:DY9)-1)*5 + 4) = "SF"), INDEX($CZ$8:$CZ$23, COLUMNS($DU9:DY9)), "0"), "")</f>
        <v>0</v>
      </c>
      <c r="DZ9" s="390" t="str">
        <f t="array" ref="DZ9">IFERROR(IF(AND(INDEX($E$8:$CE$57, MATCH($C9, $C$8:$C$57, 0), (COLUMNS($DU9:DZ9)-1)*5 + 1) = INDEX($E$5:$CE$5, 1, (COLUMNS($DU9:DZ9)-1)*5 + 1), INDEX($E$8:$CE$57, MATCH($C9, $C$8:$C$57, 0), (COLUMNS($DU9:DZ9)-1)*5 + 4) = "SF"), INDEX($CZ$8:$CZ$23, COLUMNS($DU9:DZ9)), "0"), "")</f>
        <v>0</v>
      </c>
      <c r="EA9" s="390" t="str">
        <f t="array" ref="EA9">IFERROR(IF(AND(INDEX($E$8:$CE$57, MATCH($C9, $C$8:$C$57, 0), (COLUMNS($DU9:EA9)-1)*5 + 1) = INDEX($E$5:$CE$5, 1, (COLUMNS($DU9:EA9)-1)*5 + 1), INDEX($E$8:$CE$57, MATCH($C9, $C$8:$C$57, 0), (COLUMNS($DU9:EA9)-1)*5 + 4) = "SF"), INDEX($CZ$8:$CZ$23, COLUMNS($DU9:EA9)), "0"), "")</f>
        <v>0</v>
      </c>
      <c r="EB9" s="390">
        <f t="array" ref="EB9">IFERROR(IF(AND(INDEX($E$8:$CE$57, MATCH($C9, $C$8:$C$57, 0), (COLUMNS($DU9:EB9)-1)*5 + 1) = INDEX($E$5:$CE$5, 1, (COLUMNS($DU9:EB9)-1)*5 + 1), INDEX($E$8:$CE$57, MATCH($C9, $C$8:$C$57, 0), (COLUMNS($DU9:EB9)-1)*5 + 4) = "SF"), INDEX($CZ$8:$CZ$23, COLUMNS($DU9:EB9)), "0"), "")</f>
        <v>128.36000000000001</v>
      </c>
      <c r="EC9" s="390" t="str">
        <f t="array" ref="EC9">IFERROR(IF(AND(INDEX($E$8:$CE$57, MATCH($C9, $C$8:$C$57, 0), (COLUMNS($DU9:EC9)-1)*5 + 1) = INDEX($E$5:$CE$5, 1, (COLUMNS($DU9:EC9)-1)*5 + 1), INDEX($E$8:$CE$57, MATCH($C9, $C$8:$C$57, 0), (COLUMNS($DU9:EC9)-1)*5 + 4) = "SF"), INDEX($CZ$8:$CZ$23, COLUMNS($DU9:EC9)), "0"), "")</f>
        <v>0</v>
      </c>
      <c r="ED9" s="390" t="str">
        <f t="array" ref="ED9">IFERROR(IF(AND(INDEX($E$8:$CE$57, MATCH($C9, $C$8:$C$57, 0), (COLUMNS($DU9:ED9)-1)*5 + 1) = INDEX($E$5:$CE$5, 1, (COLUMNS($DU9:ED9)-1)*5 + 1), INDEX($E$8:$CE$57, MATCH($C9, $C$8:$C$57, 0), (COLUMNS($DU9:ED9)-1)*5 + 4) = "SF"), INDEX($CZ$8:$CZ$23, COLUMNS($DU9:ED9)), "0"), "")</f>
        <v>0</v>
      </c>
      <c r="EE9" s="390" t="str">
        <f t="array" ref="EE9">IFERROR(IF(AND(INDEX($E$8:$CE$57, MATCH($C9, $C$8:$C$57, 0), (COLUMNS($DU9:EE9)-1)*5 + 1) = INDEX($E$5:$CE$5, 1, (COLUMNS($DU9:EE9)-1)*5 + 1), INDEX($E$8:$CE$57, MATCH($C9, $C$8:$C$57, 0), (COLUMNS($DU9:EE9)-1)*5 + 4) = "SF"), INDEX($CZ$8:$CZ$23, COLUMNS($DU9:EE9)), "0"), "")</f>
        <v>0</v>
      </c>
      <c r="EF9" s="390" t="str">
        <f t="array" ref="EF9">IFERROR(IF(AND(INDEX($E$8:$CE$57, MATCH($C9, $C$8:$C$57, 0), (COLUMNS($DU9:EF9)-1)*5 + 1) = INDEX($E$5:$CE$5, 1, (COLUMNS($DU9:EF9)-1)*5 + 1), INDEX($E$8:$CE$57, MATCH($C9, $C$8:$C$57, 0), (COLUMNS($DU9:EF9)-1)*5 + 4) = "SF"), INDEX($CZ$8:$CZ$23, COLUMNS($DU9:EF9)), "0"), "")</f>
        <v>0</v>
      </c>
      <c r="EG9" s="390" t="str">
        <f t="array" ref="EG9">IFERROR(IF(AND(INDEX($E$8:$CE$57, MATCH($C9, $C$8:$C$57, 0), (COLUMNS($DU9:EG9)-1)*5 + 1) = INDEX($E$5:$CE$5, 1, (COLUMNS($DU9:EG9)-1)*5 + 1), INDEX($E$8:$CE$57, MATCH($C9, $C$8:$C$57, 0), (COLUMNS($DU9:EG9)-1)*5 + 4) = "SF"), INDEX($CZ$8:$CZ$23, COLUMNS($DU9:EG9)), "0"), "")</f>
        <v>0</v>
      </c>
      <c r="EH9" s="390" t="str">
        <f t="array" ref="EH9">IFERROR(IF(AND(INDEX($E$8:$CE$57, MATCH($C9, $C$8:$C$57, 0), (COLUMNS($DU9:EH9)-1)*5 + 1) = INDEX($E$5:$CE$5, 1, (COLUMNS($DU9:EH9)-1)*5 + 1), INDEX($E$8:$CE$57, MATCH($C9, $C$8:$C$57, 0), (COLUMNS($DU9:EH9)-1)*5 + 4) = "SF"), INDEX($CZ$8:$CZ$23, COLUMNS($DU9:EH9)), "0"), "")</f>
        <v>0</v>
      </c>
      <c r="EI9" s="390" t="str">
        <f t="array" ref="EI9">IFERROR(IF(AND(INDEX($E$8:$CE$57, MATCH($C9, $C$8:$C$57, 0), (COLUMNS($DU9:EI9)-1)*5 + 1) = INDEX($E$5:$CE$5, 1, (COLUMNS($DU9:EI9)-1)*5 + 1), INDEX($E$8:$CE$57, MATCH($C9, $C$8:$C$57, 0), (COLUMNS($DU9:EI9)-1)*5 + 4) = "SF"), INDEX($CZ$8:$CZ$23, COLUMNS($DU9:EI9)), "0"), "")</f>
        <v>0</v>
      </c>
      <c r="EJ9" s="390" t="str">
        <f t="array" ref="EJ9">IFERROR(IF(AND(INDEX($E$8:$CE$57, MATCH($C9, $C$8:$C$57, 0), (COLUMNS($DU9:EJ9)-1)*5 + 1) = INDEX($E$5:$CE$5, 1, (COLUMNS($DU9:EJ9)-1)*5 + 1), INDEX($E$8:$CE$57, MATCH($C9, $C$8:$C$57, 0), (COLUMNS($DU9:EJ9)-1)*5 + 4) = "SF"), INDEX($CZ$8:$CZ$23, COLUMNS($DU9:EJ9)), "0"), "")</f>
        <v>0</v>
      </c>
    </row>
    <row r="10" spans="1:140" ht="20.100000000000001" customHeight="1" x14ac:dyDescent="0.35">
      <c r="A10" s="515"/>
      <c r="B10" s="444">
        <f>IF(SEMANA2[[#This Row],[COD]]&lt;&gt;"",B9+1,"")</f>
        <v>3</v>
      </c>
      <c r="C10" s="554" t="s">
        <v>35</v>
      </c>
      <c r="D10" s="410" t="str">
        <f t="array" ref="D10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10" s="411">
        <v>9</v>
      </c>
      <c r="F10" s="413">
        <v>2</v>
      </c>
      <c r="G10" s="413">
        <v>3</v>
      </c>
      <c r="H10" s="413"/>
      <c r="I10" s="534">
        <f t="shared" si="0"/>
        <v>0</v>
      </c>
      <c r="J10" s="411">
        <v>1</v>
      </c>
      <c r="K10" s="413">
        <v>10</v>
      </c>
      <c r="L10" s="413">
        <v>2</v>
      </c>
      <c r="M10" s="413"/>
      <c r="N10" s="534">
        <f t="shared" si="1"/>
        <v>0</v>
      </c>
      <c r="O10" s="411">
        <v>1</v>
      </c>
      <c r="P10" s="413">
        <v>8</v>
      </c>
      <c r="Q10" s="413">
        <v>5</v>
      </c>
      <c r="R10" s="413"/>
      <c r="S10" s="534">
        <f t="shared" si="2"/>
        <v>4</v>
      </c>
      <c r="T10" s="411">
        <v>3</v>
      </c>
      <c r="U10" s="413">
        <v>4</v>
      </c>
      <c r="V10" s="413">
        <v>5</v>
      </c>
      <c r="W10" s="413" t="s">
        <v>254</v>
      </c>
      <c r="X10" s="534">
        <f t="shared" si="3"/>
        <v>0</v>
      </c>
      <c r="Y10" s="411">
        <v>2</v>
      </c>
      <c r="Z10" s="413">
        <v>1</v>
      </c>
      <c r="AA10" s="413">
        <v>4</v>
      </c>
      <c r="AB10" s="413"/>
      <c r="AC10" s="534">
        <f t="shared" si="4"/>
        <v>4</v>
      </c>
      <c r="AD10" s="411">
        <v>4</v>
      </c>
      <c r="AE10" s="413">
        <v>7</v>
      </c>
      <c r="AF10" s="413">
        <v>5</v>
      </c>
      <c r="AG10" s="413"/>
      <c r="AH10" s="534">
        <f t="shared" si="5"/>
        <v>3</v>
      </c>
      <c r="AI10" s="411">
        <v>7</v>
      </c>
      <c r="AJ10" s="413">
        <v>6</v>
      </c>
      <c r="AK10" s="413">
        <v>3</v>
      </c>
      <c r="AL10" s="413"/>
      <c r="AM10" s="534">
        <f t="shared" si="6"/>
        <v>0</v>
      </c>
      <c r="AN10" s="411">
        <v>8</v>
      </c>
      <c r="AO10" s="413"/>
      <c r="AP10" s="413"/>
      <c r="AQ10" s="413" t="s">
        <v>255</v>
      </c>
      <c r="AR10" s="534">
        <f t="shared" si="7"/>
        <v>7.5</v>
      </c>
      <c r="AS10" s="411">
        <v>5</v>
      </c>
      <c r="AT10" s="413">
        <v>2</v>
      </c>
      <c r="AU10" s="413">
        <v>10</v>
      </c>
      <c r="AV10" s="413"/>
      <c r="AW10" s="534">
        <f t="shared" si="8"/>
        <v>2</v>
      </c>
      <c r="AX10" s="411">
        <v>2</v>
      </c>
      <c r="AY10" s="413">
        <v>6</v>
      </c>
      <c r="AZ10" s="413">
        <v>10</v>
      </c>
      <c r="BA10" s="413"/>
      <c r="BB10" s="534">
        <f t="shared" si="9"/>
        <v>5</v>
      </c>
      <c r="BC10" s="411">
        <v>7</v>
      </c>
      <c r="BD10" s="413">
        <v>5</v>
      </c>
      <c r="BE10" s="413">
        <v>3</v>
      </c>
      <c r="BF10" s="413"/>
      <c r="BG10" s="534">
        <f t="shared" si="10"/>
        <v>4</v>
      </c>
      <c r="BH10" s="411">
        <v>6</v>
      </c>
      <c r="BI10" s="413">
        <v>1</v>
      </c>
      <c r="BJ10" s="413">
        <v>5</v>
      </c>
      <c r="BK10" s="413"/>
      <c r="BL10" s="534">
        <f t="shared" si="11"/>
        <v>6</v>
      </c>
      <c r="BM10" s="411">
        <v>3</v>
      </c>
      <c r="BN10" s="413">
        <v>9</v>
      </c>
      <c r="BO10" s="413">
        <v>4</v>
      </c>
      <c r="BP10" s="413"/>
      <c r="BQ10" s="534">
        <f t="shared" si="12"/>
        <v>0</v>
      </c>
      <c r="BR10" s="411">
        <v>11</v>
      </c>
      <c r="BS10" s="413">
        <v>2</v>
      </c>
      <c r="BT10" s="413">
        <v>5</v>
      </c>
      <c r="BU10" s="413" t="s">
        <v>254</v>
      </c>
      <c r="BV10" s="534">
        <f t="shared" si="13"/>
        <v>0</v>
      </c>
      <c r="BW10" s="411"/>
      <c r="BX10" s="413"/>
      <c r="BY10" s="413"/>
      <c r="BZ10" s="413"/>
      <c r="CA10" s="534">
        <f t="shared" si="14"/>
        <v>0</v>
      </c>
      <c r="CB10" s="411"/>
      <c r="CC10" s="413"/>
      <c r="CD10" s="413"/>
      <c r="CE10" s="413"/>
      <c r="CF10" s="534">
        <f t="shared" si="15"/>
        <v>0</v>
      </c>
      <c r="CG10" s="162">
        <f>IF(SEMANA2[[#This Row],[1]]="",0,$B$4)</f>
        <v>14</v>
      </c>
      <c r="CH10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6</v>
      </c>
      <c r="CI10" s="164">
        <f>IF(SEMANA2[[#This Row],[Columna14]]=0,0,(CH10/CG10))</f>
        <v>0.42857142857142855</v>
      </c>
      <c r="CJ10" s="163">
        <f>IF(SEMANA2[[#This Row],[1]]="",0,$B$4)</f>
        <v>14</v>
      </c>
      <c r="CK10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8</v>
      </c>
      <c r="CL10" s="164">
        <f>IF(SEMANA2[[#This Row],[Columna14]]=0,0,(CK10/CJ10))</f>
        <v>0.5714285714285714</v>
      </c>
      <c r="CM10" s="162">
        <f>IF(SEMANA2[[#This Row],[1]]="",0,$B$4)</f>
        <v>14</v>
      </c>
      <c r="CN10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8</v>
      </c>
      <c r="CO10" s="164">
        <f>IF(SEMANA2[[#This Row],[Columna14]]=0,0,(CN10/CM10))</f>
        <v>0.5714285714285714</v>
      </c>
      <c r="CP10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10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Row],[Columna25]],$AX$5,BA10,"SF")+COUNTIFS(SEMANA2[[#This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1</v>
      </c>
      <c r="CR10" s="164">
        <f>IFERROR(IF(SEMANA2[[#This Row],[Columna14]]=0,0,(CQ10/CP10)),0)</f>
        <v>0.33333333333333331</v>
      </c>
      <c r="CS10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35.5</v>
      </c>
      <c r="CT10" s="93">
        <f>_xlfn.XLOOKUP(SEMANA2[[#This Row],[COD]],BASE01[COD],BASE01[Columna33])</f>
        <v>30</v>
      </c>
      <c r="CU10" s="536">
        <f t="shared" si="16"/>
        <v>65.5</v>
      </c>
      <c r="CV10" s="445">
        <f>IF(SEMANA2[[#This Row],[TIPO]]="PREMIO",$O$3,"0,00")</f>
        <v>1000</v>
      </c>
      <c r="CW10" s="515"/>
      <c r="CY10" s="388">
        <v>3</v>
      </c>
      <c r="CZ10" s="349">
        <f>P$6</f>
        <v>196.47</v>
      </c>
      <c r="DB10" s="537" t="str">
        <f>SEMANA2[[#This Row],[COD]]</f>
        <v>COD 03</v>
      </c>
      <c r="DC10" s="390" t="str">
        <f t="array" ref="DC10">IFERROR(IF(AND(INDEX($E$8:$CE$57, MATCH($C10, $C$8:$C$57, 0), (COLUMNS($DC10:DC10)-1)*5 + 1) = INDEX($E$5:$CE$5, 1, (COLUMNS($DC10:DC10)-1)*5 + 1), INDEX($E$8:$CE$57, MATCH($C10, $C$8:$C$57, 0), (COLUMNS($DC10:DC10)-1)*5 + 4) = "F"), INDEX($CZ$8:$CZ$23, COLUMNS($DC10:DC10)), "0"), "")</f>
        <v>0</v>
      </c>
      <c r="DD10" s="390" t="str">
        <f t="array" ref="DD10">IFERROR(IF(AND(INDEX($E$8:$CE$57, MATCH($C10, $C$8:$C$57, 0), (COLUMNS($DC10:DD10)-1)*5 + 1) = INDEX($E$5:$CE$5, 1, (COLUMNS($DC10:DD10)-1)*5 + 1), INDEX($E$8:$CE$57, MATCH($C10, $C$8:$C$57, 0), (COLUMNS($DC10:DD10)-1)*5 + 4) = "F"), INDEX($CZ$8:$CZ$23, COLUMNS($DC10:DD10)), "0"), "")</f>
        <v>0</v>
      </c>
      <c r="DE10" s="390" t="str">
        <f t="array" ref="DE10">IFERROR(IF(AND(INDEX($E$8:$CE$57, MATCH($C10, $C$8:$C$57, 0), (COLUMNS($DC10:DE10)-1)*5 + 1) = INDEX($E$5:$CE$5, 1, (COLUMNS($DC10:DE10)-1)*5 + 1), INDEX($E$8:$CE$57, MATCH($C10, $C$8:$C$57, 0), (COLUMNS($DC10:DE10)-1)*5 + 4) = "F"), INDEX($CZ$8:$CZ$23, COLUMNS($DC10:DE10)), "0"), "")</f>
        <v>0</v>
      </c>
      <c r="DF10" s="390" t="str">
        <f t="array" ref="DF10">IFERROR(IF(AND(INDEX($E$8:$CE$57, MATCH($C10, $C$8:$C$57, 0), (COLUMNS($DC10:DF10)-1)*5 + 1) = INDEX($E$5:$CE$5, 1, (COLUMNS($DC10:DF10)-1)*5 + 1), INDEX($E$8:$CE$57, MATCH($C10, $C$8:$C$57, 0), (COLUMNS($DC10:DF10)-1)*5 + 4) = "F"), INDEX($CZ$8:$CZ$23, COLUMNS($DC10:DF10)), "0"), "")</f>
        <v>0</v>
      </c>
      <c r="DG10" s="390" t="str">
        <f t="array" ref="DG10">IFERROR(IF(AND(INDEX($E$8:$CE$57, MATCH($C10, $C$8:$C$57, 0), (COLUMNS($DC10:DG10)-1)*5 + 1) = INDEX($E$5:$CE$5, 1, (COLUMNS($DC10:DG10)-1)*5 + 1), INDEX($E$8:$CE$57, MATCH($C10, $C$8:$C$57, 0), (COLUMNS($DC10:DG10)-1)*5 + 4) = "F"), INDEX($CZ$8:$CZ$23, COLUMNS($DC10:DG10)), "0"), "")</f>
        <v>0</v>
      </c>
      <c r="DH10" s="390" t="str">
        <f t="array" ref="DH10">IFERROR(IF(AND(INDEX($E$8:$CE$57, MATCH($C10, $C$8:$C$57, 0), (COLUMNS($DC10:DH10)-1)*5 + 1) = INDEX($E$5:$CE$5, 1, (COLUMNS($DC10:DH10)-1)*5 + 1), INDEX($E$8:$CE$57, MATCH($C10, $C$8:$C$57, 0), (COLUMNS($DC10:DH10)-1)*5 + 4) = "F"), INDEX($CZ$8:$CZ$23, COLUMNS($DC10:DH10)), "0"), "")</f>
        <v>0</v>
      </c>
      <c r="DI10" s="390" t="str">
        <f t="array" ref="DI10">IFERROR(IF(AND(INDEX($E$8:$CE$57, MATCH($C10, $C$8:$C$57, 0), (COLUMNS($DC10:DI10)-1)*5 + 1) = INDEX($E$5:$CE$5, 1, (COLUMNS($DC10:DI10)-1)*5 + 1), INDEX($E$8:$CE$57, MATCH($C10, $C$8:$C$57, 0), (COLUMNS($DC10:DI10)-1)*5 + 4) = "F"), INDEX($CZ$8:$CZ$23, COLUMNS($DC10:DI10)), "0"), "")</f>
        <v>0</v>
      </c>
      <c r="DJ10" s="390" t="str">
        <f t="array" ref="DJ10">IFERROR(IF(AND(INDEX($E$8:$CE$57, MATCH($C10, $C$8:$C$57, 0), (COLUMNS($DC10:DJ10)-1)*5 + 1) = INDEX($E$5:$CE$5, 1, (COLUMNS($DC10:DJ10)-1)*5 + 1), INDEX($E$8:$CE$57, MATCH($C10, $C$8:$C$57, 0), (COLUMNS($DC10:DJ10)-1)*5 + 4) = "F"), INDEX($CZ$8:$CZ$23, COLUMNS($DC10:DJ10)), "0"), "")</f>
        <v>0</v>
      </c>
      <c r="DK10" s="390" t="str">
        <f t="array" ref="DK10">IFERROR(IF(AND(INDEX($E$8:$CE$57, MATCH($C10, $C$8:$C$57, 0), (COLUMNS($DC10:DK10)-1)*5 + 1) = INDEX($E$5:$CE$5, 1, (COLUMNS($DC10:DK10)-1)*5 + 1), INDEX($E$8:$CE$57, MATCH($C10, $C$8:$C$57, 0), (COLUMNS($DC10:DK10)-1)*5 + 4) = "F"), INDEX($CZ$8:$CZ$23, COLUMNS($DC10:DK10)), "0"), "")</f>
        <v>0</v>
      </c>
      <c r="DL10" s="390" t="str">
        <f t="array" ref="DL10">IFERROR(IF(AND(INDEX($E$8:$CE$57, MATCH($C10, $C$8:$C$57, 0), (COLUMNS($DC10:DL10)-1)*5 + 1) = INDEX($E$5:$CE$5, 1, (COLUMNS($DC10:DL10)-1)*5 + 1), INDEX($E$8:$CE$57, MATCH($C10, $C$8:$C$57, 0), (COLUMNS($DC10:DL10)-1)*5 + 4) = "F"), INDEX($CZ$8:$CZ$23, COLUMNS($DC10:DL10)), "0"), "")</f>
        <v>0</v>
      </c>
      <c r="DM10" s="390" t="str">
        <f t="array" ref="DM10">IFERROR(IF(AND(INDEX($E$8:$CE$57, MATCH($C10, $C$8:$C$57, 0), (COLUMNS($DC10:DM10)-1)*5 + 1) = INDEX($E$5:$CE$5, 1, (COLUMNS($DC10:DM10)-1)*5 + 1), INDEX($E$8:$CE$57, MATCH($C10, $C$8:$C$57, 0), (COLUMNS($DC10:DM10)-1)*5 + 4) = "F"), INDEX($CZ$8:$CZ$23, COLUMNS($DC10:DM10)), "0"), "")</f>
        <v>0</v>
      </c>
      <c r="DN10" s="390" t="str">
        <f t="array" ref="DN10">IFERROR(IF(AND(INDEX($E$8:$CE$57, MATCH($C10, $C$8:$C$57, 0), (COLUMNS($DC10:DN10)-1)*5 + 1) = INDEX($E$5:$CE$5, 1, (COLUMNS($DC10:DN10)-1)*5 + 1), INDEX($E$8:$CE$57, MATCH($C10, $C$8:$C$57, 0), (COLUMNS($DC10:DN10)-1)*5 + 4) = "F"), INDEX($CZ$8:$CZ$23, COLUMNS($DC10:DN10)), "0"), "")</f>
        <v>0</v>
      </c>
      <c r="DO10" s="390" t="str">
        <f t="array" ref="DO10">IFERROR(IF(AND(INDEX($E$8:$CE$57, MATCH($C10, $C$8:$C$57, 0), (COLUMNS($DC10:DO10)-1)*5 + 1) = INDEX($E$5:$CE$5, 1, (COLUMNS($DC10:DO10)-1)*5 + 1), INDEX($E$8:$CE$57, MATCH($C10, $C$8:$C$57, 0), (COLUMNS($DC10:DO10)-1)*5 + 4) = "F"), INDEX($CZ$8:$CZ$23, COLUMNS($DC10:DO10)), "0"), "")</f>
        <v>0</v>
      </c>
      <c r="DP10" s="390" t="str">
        <f t="array" ref="DP10">IFERROR(IF(AND(INDEX($E$8:$CE$57, MATCH($C10, $C$8:$C$57, 0), (COLUMNS($DC10:DP10)-1)*5 + 1) = INDEX($E$5:$CE$5, 1, (COLUMNS($DC10:DP10)-1)*5 + 1), INDEX($E$8:$CE$57, MATCH($C10, $C$8:$C$57, 0), (COLUMNS($DC10:DP10)-1)*5 + 4) = "F"), INDEX($CZ$8:$CZ$23, COLUMNS($DC10:DP10)), "0"), "")</f>
        <v>0</v>
      </c>
      <c r="DQ10" s="390" t="str">
        <f t="array" ref="DQ10">IFERROR(IF(AND(INDEX($E$8:$CE$57, MATCH($C10, $C$8:$C$57, 0), (COLUMNS($DC10:DQ10)-1)*5 + 1) = INDEX($E$5:$CE$5, 1, (COLUMNS($DC10:DQ10)-1)*5 + 1), INDEX($E$8:$CE$57, MATCH($C10, $C$8:$C$57, 0), (COLUMNS($DC10:DQ10)-1)*5 + 4) = "F"), INDEX($CZ$8:$CZ$23, COLUMNS($DC10:DQ10)), "0"), "")</f>
        <v>0</v>
      </c>
      <c r="DR10" s="390" t="str">
        <f t="array" ref="DR10">IFERROR(IF(AND(INDEX($E$8:$CE$57, MATCH($C10, $C$8:$C$57, 0), (COLUMNS($DC10:DR10)-1)*5 + 1) = INDEX($E$5:$CE$5, 1, (COLUMNS($DC10:DR10)-1)*5 + 1), INDEX($E$8:$CE$57, MATCH($C10, $C$8:$C$57, 0), (COLUMNS($DC10:DR10)-1)*5 + 4) = "F"), INDEX($CZ$8:$CZ$23, COLUMNS($DC10:DR10)), "0"), "")</f>
        <v>0</v>
      </c>
      <c r="DT10" s="537" t="str">
        <f>SEMANA2[[#This Row],[COD]]</f>
        <v>COD 03</v>
      </c>
      <c r="DU10" s="390" t="str">
        <f t="array" ref="DU10">IFERROR(IF(AND(INDEX($E$8:$CE$57, MATCH($C10, $C$8:$C$57, 0), (COLUMNS($DU10:DU10)-1)*5 + 1) = INDEX($E$5:$CE$5, 1, (COLUMNS($DU10:DU10)-1)*5 + 1), INDEX($E$8:$CE$57, MATCH($C10, $C$8:$C$57, 0), (COLUMNS($DU10:DU10)-1)*5 + 4) = "SF"), INDEX($CZ$8:$CZ$23, COLUMNS($DU10:DU10)), "0"), "")</f>
        <v>0</v>
      </c>
      <c r="DV10" s="390" t="str">
        <f t="array" ref="DV10">IFERROR(IF(AND(INDEX($E$8:$CE$57, MATCH($C10, $C$8:$C$57, 0), (COLUMNS($DU10:DV10)-1)*5 + 1) = INDEX($E$5:$CE$5, 1, (COLUMNS($DU10:DV10)-1)*5 + 1), INDEX($E$8:$CE$57, MATCH($C10, $C$8:$C$57, 0), (COLUMNS($DU10:DV10)-1)*5 + 4) = "SF"), INDEX($CZ$8:$CZ$23, COLUMNS($DU10:DV10)), "0"), "")</f>
        <v>0</v>
      </c>
      <c r="DW10" s="390" t="str">
        <f t="array" ref="DW10">IFERROR(IF(AND(INDEX($E$8:$CE$57, MATCH($C10, $C$8:$C$57, 0), (COLUMNS($DU10:DW10)-1)*5 + 1) = INDEX($E$5:$CE$5, 1, (COLUMNS($DU10:DW10)-1)*5 + 1), INDEX($E$8:$CE$57, MATCH($C10, $C$8:$C$57, 0), (COLUMNS($DU10:DW10)-1)*5 + 4) = "SF"), INDEX($CZ$8:$CZ$23, COLUMNS($DU10:DW10)), "0"), "")</f>
        <v>0</v>
      </c>
      <c r="DX10" s="390" t="str">
        <f t="array" ref="DX10">IFERROR(IF(AND(INDEX($E$8:$CE$57, MATCH($C10, $C$8:$C$57, 0), (COLUMNS($DU10:DX10)-1)*5 + 1) = INDEX($E$5:$CE$5, 1, (COLUMNS($DU10:DX10)-1)*5 + 1), INDEX($E$8:$CE$57, MATCH($C10, $C$8:$C$57, 0), (COLUMNS($DU10:DX10)-1)*5 + 4) = "SF"), INDEX($CZ$8:$CZ$23, COLUMNS($DU10:DX10)), "0"), "")</f>
        <v>0</v>
      </c>
      <c r="DY10" s="390" t="str">
        <f t="array" ref="DY10">IFERROR(IF(AND(INDEX($E$8:$CE$57, MATCH($C10, $C$8:$C$57, 0), (COLUMNS($DU10:DY10)-1)*5 + 1) = INDEX($E$5:$CE$5, 1, (COLUMNS($DU10:DY10)-1)*5 + 1), INDEX($E$8:$CE$57, MATCH($C10, $C$8:$C$57, 0), (COLUMNS($DU10:DY10)-1)*5 + 4) = "SF"), INDEX($CZ$8:$CZ$23, COLUMNS($DU10:DY10)), "0"), "")</f>
        <v>0</v>
      </c>
      <c r="DZ10" s="390" t="str">
        <f t="array" ref="DZ10">IFERROR(IF(AND(INDEX($E$8:$CE$57, MATCH($C10, $C$8:$C$57, 0), (COLUMNS($DU10:DZ10)-1)*5 + 1) = INDEX($E$5:$CE$5, 1, (COLUMNS($DU10:DZ10)-1)*5 + 1), INDEX($E$8:$CE$57, MATCH($C10, $C$8:$C$57, 0), (COLUMNS($DU10:DZ10)-1)*5 + 4) = "SF"), INDEX($CZ$8:$CZ$23, COLUMNS($DU10:DZ10)), "0"), "")</f>
        <v>0</v>
      </c>
      <c r="EA10" s="390" t="str">
        <f t="array" ref="EA10">IFERROR(IF(AND(INDEX($E$8:$CE$57, MATCH($C10, $C$8:$C$57, 0), (COLUMNS($DU10:EA10)-1)*5 + 1) = INDEX($E$5:$CE$5, 1, (COLUMNS($DU10:EA10)-1)*5 + 1), INDEX($E$8:$CE$57, MATCH($C10, $C$8:$C$57, 0), (COLUMNS($DU10:EA10)-1)*5 + 4) = "SF"), INDEX($CZ$8:$CZ$23, COLUMNS($DU10:EA10)), "0"), "")</f>
        <v>0</v>
      </c>
      <c r="EB10" s="390">
        <f t="array" ref="EB10">IFERROR(IF(AND(INDEX($E$8:$CE$57, MATCH($C10, $C$8:$C$57, 0), (COLUMNS($DU10:EB10)-1)*5 + 1) = INDEX($E$5:$CE$5, 1, (COLUMNS($DU10:EB10)-1)*5 + 1), INDEX($E$8:$CE$57, MATCH($C10, $C$8:$C$57, 0), (COLUMNS($DU10:EB10)-1)*5 + 4) = "SF"), INDEX($CZ$8:$CZ$23, COLUMNS($DU10:EB10)), "0"), "")</f>
        <v>128.36000000000001</v>
      </c>
      <c r="EC10" s="390" t="str">
        <f t="array" ref="EC10">IFERROR(IF(AND(INDEX($E$8:$CE$57, MATCH($C10, $C$8:$C$57, 0), (COLUMNS($DU10:EC10)-1)*5 + 1) = INDEX($E$5:$CE$5, 1, (COLUMNS($DU10:EC10)-1)*5 + 1), INDEX($E$8:$CE$57, MATCH($C10, $C$8:$C$57, 0), (COLUMNS($DU10:EC10)-1)*5 + 4) = "SF"), INDEX($CZ$8:$CZ$23, COLUMNS($DU10:EC10)), "0"), "")</f>
        <v>0</v>
      </c>
      <c r="ED10" s="390" t="str">
        <f t="array" ref="ED10">IFERROR(IF(AND(INDEX($E$8:$CE$57, MATCH($C10, $C$8:$C$57, 0), (COLUMNS($DU10:ED10)-1)*5 + 1) = INDEX($E$5:$CE$5, 1, (COLUMNS($DU10:ED10)-1)*5 + 1), INDEX($E$8:$CE$57, MATCH($C10, $C$8:$C$57, 0), (COLUMNS($DU10:ED10)-1)*5 + 4) = "SF"), INDEX($CZ$8:$CZ$23, COLUMNS($DU10:ED10)), "0"), "")</f>
        <v>0</v>
      </c>
      <c r="EE10" s="390" t="str">
        <f t="array" ref="EE10">IFERROR(IF(AND(INDEX($E$8:$CE$57, MATCH($C10, $C$8:$C$57, 0), (COLUMNS($DU10:EE10)-1)*5 + 1) = INDEX($E$5:$CE$5, 1, (COLUMNS($DU10:EE10)-1)*5 + 1), INDEX($E$8:$CE$57, MATCH($C10, $C$8:$C$57, 0), (COLUMNS($DU10:EE10)-1)*5 + 4) = "SF"), INDEX($CZ$8:$CZ$23, COLUMNS($DU10:EE10)), "0"), "")</f>
        <v>0</v>
      </c>
      <c r="EF10" s="390" t="str">
        <f t="array" ref="EF10">IFERROR(IF(AND(INDEX($E$8:$CE$57, MATCH($C10, $C$8:$C$57, 0), (COLUMNS($DU10:EF10)-1)*5 + 1) = INDEX($E$5:$CE$5, 1, (COLUMNS($DU10:EF10)-1)*5 + 1), INDEX($E$8:$CE$57, MATCH($C10, $C$8:$C$57, 0), (COLUMNS($DU10:EF10)-1)*5 + 4) = "SF"), INDEX($CZ$8:$CZ$23, COLUMNS($DU10:EF10)), "0"), "")</f>
        <v>0</v>
      </c>
      <c r="EG10" s="390" t="str">
        <f t="array" ref="EG10">IFERROR(IF(AND(INDEX($E$8:$CE$57, MATCH($C10, $C$8:$C$57, 0), (COLUMNS($DU10:EG10)-1)*5 + 1) = INDEX($E$5:$CE$5, 1, (COLUMNS($DU10:EG10)-1)*5 + 1), INDEX($E$8:$CE$57, MATCH($C10, $C$8:$C$57, 0), (COLUMNS($DU10:EG10)-1)*5 + 4) = "SF"), INDEX($CZ$8:$CZ$23, COLUMNS($DU10:EG10)), "0"), "")</f>
        <v>0</v>
      </c>
      <c r="EH10" s="390" t="str">
        <f t="array" ref="EH10">IFERROR(IF(AND(INDEX($E$8:$CE$57, MATCH($C10, $C$8:$C$57, 0), (COLUMNS($DU10:EH10)-1)*5 + 1) = INDEX($E$5:$CE$5, 1, (COLUMNS($DU10:EH10)-1)*5 + 1), INDEX($E$8:$CE$57, MATCH($C10, $C$8:$C$57, 0), (COLUMNS($DU10:EH10)-1)*5 + 4) = "SF"), INDEX($CZ$8:$CZ$23, COLUMNS($DU10:EH10)), "0"), "")</f>
        <v>0</v>
      </c>
      <c r="EI10" s="390" t="str">
        <f t="array" ref="EI10">IFERROR(IF(AND(INDEX($E$8:$CE$57, MATCH($C10, $C$8:$C$57, 0), (COLUMNS($DU10:EI10)-1)*5 + 1) = INDEX($E$5:$CE$5, 1, (COLUMNS($DU10:EI10)-1)*5 + 1), INDEX($E$8:$CE$57, MATCH($C10, $C$8:$C$57, 0), (COLUMNS($DU10:EI10)-1)*5 + 4) = "SF"), INDEX($CZ$8:$CZ$23, COLUMNS($DU10:EI10)), "0"), "")</f>
        <v>0</v>
      </c>
      <c r="EJ10" s="390" t="str">
        <f t="array" ref="EJ10">IFERROR(IF(AND(INDEX($E$8:$CE$57, MATCH($C10, $C$8:$C$57, 0), (COLUMNS($DU10:EJ10)-1)*5 + 1) = INDEX($E$5:$CE$5, 1, (COLUMNS($DU10:EJ10)-1)*5 + 1), INDEX($E$8:$CE$57, MATCH($C10, $C$8:$C$57, 0), (COLUMNS($DU10:EJ10)-1)*5 + 4) = "SF"), INDEX($CZ$8:$CZ$23, COLUMNS($DU10:EJ10)), "0"), "")</f>
        <v>0</v>
      </c>
    </row>
    <row r="11" spans="1:140" ht="20.100000000000001" customHeight="1" x14ac:dyDescent="0.35">
      <c r="A11" s="515"/>
      <c r="B11" s="444">
        <f>IF(SEMANA2[[#This Row],[COD]]&lt;&gt;"",B10+1,"")</f>
        <v>4</v>
      </c>
      <c r="C11" s="554" t="s">
        <v>37</v>
      </c>
      <c r="D11" s="410" t="str">
        <f t="array" ref="D11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11" s="411">
        <v>6</v>
      </c>
      <c r="F11" s="412">
        <v>9</v>
      </c>
      <c r="G11" s="412">
        <v>4</v>
      </c>
      <c r="H11" s="412"/>
      <c r="I11" s="534">
        <f t="shared" si="0"/>
        <v>6</v>
      </c>
      <c r="J11" s="411">
        <v>7</v>
      </c>
      <c r="K11" s="412">
        <v>1</v>
      </c>
      <c r="L11" s="412">
        <v>6</v>
      </c>
      <c r="M11" s="412" t="s">
        <v>254</v>
      </c>
      <c r="N11" s="534">
        <f t="shared" si="1"/>
        <v>5</v>
      </c>
      <c r="O11" s="411">
        <v>5</v>
      </c>
      <c r="P11" s="412">
        <v>1</v>
      </c>
      <c r="Q11" s="412">
        <v>3</v>
      </c>
      <c r="R11" s="412"/>
      <c r="S11" s="534">
        <f t="shared" si="2"/>
        <v>2</v>
      </c>
      <c r="T11" s="411">
        <v>3</v>
      </c>
      <c r="U11" s="412">
        <v>5</v>
      </c>
      <c r="V11" s="412">
        <v>1</v>
      </c>
      <c r="W11" s="412"/>
      <c r="X11" s="534">
        <f t="shared" si="3"/>
        <v>2</v>
      </c>
      <c r="Y11" s="411">
        <v>5</v>
      </c>
      <c r="Z11" s="412">
        <v>7</v>
      </c>
      <c r="AA11" s="412">
        <v>2</v>
      </c>
      <c r="AB11" s="412"/>
      <c r="AC11" s="534">
        <f t="shared" si="4"/>
        <v>1</v>
      </c>
      <c r="AD11" s="411">
        <v>5</v>
      </c>
      <c r="AE11" s="412">
        <v>10</v>
      </c>
      <c r="AF11" s="412">
        <v>7</v>
      </c>
      <c r="AG11" s="412"/>
      <c r="AH11" s="534">
        <f t="shared" si="5"/>
        <v>2</v>
      </c>
      <c r="AI11" s="411">
        <v>6</v>
      </c>
      <c r="AJ11" s="412">
        <v>7</v>
      </c>
      <c r="AK11" s="412">
        <v>8</v>
      </c>
      <c r="AL11" s="412"/>
      <c r="AM11" s="534">
        <f t="shared" si="6"/>
        <v>0</v>
      </c>
      <c r="AN11" s="411">
        <v>8</v>
      </c>
      <c r="AO11" s="412">
        <v>1</v>
      </c>
      <c r="AP11" s="412">
        <v>2</v>
      </c>
      <c r="AQ11" s="412"/>
      <c r="AR11" s="534">
        <f t="shared" si="7"/>
        <v>3.5</v>
      </c>
      <c r="AS11" s="411">
        <v>10</v>
      </c>
      <c r="AT11" s="412">
        <v>10</v>
      </c>
      <c r="AU11" s="412">
        <v>1</v>
      </c>
      <c r="AV11" s="412"/>
      <c r="AW11" s="534">
        <f t="shared" si="8"/>
        <v>0</v>
      </c>
      <c r="AX11" s="411">
        <v>1</v>
      </c>
      <c r="AY11" s="412">
        <v>6</v>
      </c>
      <c r="AZ11" s="412">
        <v>10</v>
      </c>
      <c r="BA11" s="412"/>
      <c r="BB11" s="534">
        <f t="shared" si="9"/>
        <v>0</v>
      </c>
      <c r="BC11" s="411">
        <v>7</v>
      </c>
      <c r="BD11" s="412"/>
      <c r="BE11" s="412"/>
      <c r="BF11" s="412" t="s">
        <v>255</v>
      </c>
      <c r="BG11" s="534">
        <f t="shared" si="10"/>
        <v>8</v>
      </c>
      <c r="BH11" s="411">
        <v>6</v>
      </c>
      <c r="BI11" s="412">
        <v>1</v>
      </c>
      <c r="BJ11" s="412">
        <v>2</v>
      </c>
      <c r="BK11" s="412"/>
      <c r="BL11" s="534">
        <f t="shared" si="11"/>
        <v>4</v>
      </c>
      <c r="BM11" s="411">
        <v>4</v>
      </c>
      <c r="BN11" s="412">
        <v>1</v>
      </c>
      <c r="BO11" s="412">
        <v>9</v>
      </c>
      <c r="BP11" s="412" t="s">
        <v>254</v>
      </c>
      <c r="BQ11" s="534">
        <f t="shared" si="12"/>
        <v>0</v>
      </c>
      <c r="BR11" s="411">
        <v>5</v>
      </c>
      <c r="BS11" s="412">
        <v>2</v>
      </c>
      <c r="BT11" s="412">
        <v>1</v>
      </c>
      <c r="BU11" s="412"/>
      <c r="BV11" s="534">
        <f t="shared" si="13"/>
        <v>1</v>
      </c>
      <c r="BW11" s="411"/>
      <c r="BX11" s="412"/>
      <c r="BY11" s="412"/>
      <c r="BZ11" s="412"/>
      <c r="CA11" s="534">
        <f t="shared" si="14"/>
        <v>0</v>
      </c>
      <c r="CB11" s="411"/>
      <c r="CC11" s="412"/>
      <c r="CD11" s="412"/>
      <c r="CE11" s="412"/>
      <c r="CF11" s="534">
        <f t="shared" si="15"/>
        <v>0</v>
      </c>
      <c r="CG11" s="162">
        <f>IF(SEMANA2[[#This Row],[1]]="",0,$B$4)</f>
        <v>14</v>
      </c>
      <c r="CH11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5</v>
      </c>
      <c r="CI11" s="164">
        <f>IF(SEMANA2[[#This Row],[Columna14]]=0,0,(CH11/CG11))</f>
        <v>0.35714285714285715</v>
      </c>
      <c r="CJ11" s="163">
        <f>IF(SEMANA2[[#This Row],[1]]="",0,$B$4)</f>
        <v>14</v>
      </c>
      <c r="CK11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11" s="164">
        <f>IF(SEMANA2[[#This Row],[Columna14]]=0,0,(CK11/CJ11))</f>
        <v>0.42857142857142855</v>
      </c>
      <c r="CM11" s="162">
        <f>IF(SEMANA2[[#This Row],[1]]="",0,$B$4)</f>
        <v>14</v>
      </c>
      <c r="CN11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10</v>
      </c>
      <c r="CO11" s="164">
        <f>IF(SEMANA2[[#This Row],[Columna14]]=0,0,(CN11/CM11))</f>
        <v>0.7142857142857143</v>
      </c>
      <c r="CP11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11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Row],[Columna25]],$AX$5,BA11,"SF")+COUNTIFS(SEMANA2[[#This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11" s="164">
        <f>IFERROR(IF(SEMANA2[[#This Row],[Columna14]]=0,0,(CQ11/CP11)),0)</f>
        <v>0.66666666666666663</v>
      </c>
      <c r="CS11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34.5</v>
      </c>
      <c r="CT11" s="93">
        <f>_xlfn.XLOOKUP(SEMANA2[[#This Row],[COD]],BASE01[COD],BASE01[Columna33])</f>
        <v>27</v>
      </c>
      <c r="CU11" s="536">
        <f t="shared" si="16"/>
        <v>61.5</v>
      </c>
      <c r="CV11" s="445">
        <f>IF(SEMANA2[[#This Row],[TIPO]]="PREMIO",$O$3,"0,00")</f>
        <v>1000</v>
      </c>
      <c r="CW11" s="515"/>
      <c r="CY11" s="388">
        <v>4</v>
      </c>
      <c r="CZ11" s="349">
        <f>U$6</f>
        <v>546.89</v>
      </c>
      <c r="DB11" s="537" t="str">
        <f>SEMANA2[[#This Row],[COD]]</f>
        <v>COD 04</v>
      </c>
      <c r="DC11" s="390" t="str">
        <f t="array" ref="DC11">IFERROR(IF(AND(INDEX($E$8:$CE$57, MATCH($C11, $C$8:$C$57, 0), (COLUMNS($DC11:DC11)-1)*5 + 1) = INDEX($E$5:$CE$5, 1, (COLUMNS($DC11:DC11)-1)*5 + 1), INDEX($E$8:$CE$57, MATCH($C11, $C$8:$C$57, 0), (COLUMNS($DC11:DC11)-1)*5 + 4) = "F"), INDEX($CZ$8:$CZ$23, COLUMNS($DC11:DC11)), "0"), "")</f>
        <v>0</v>
      </c>
      <c r="DD11" s="390">
        <f t="array" ref="DD11">IFERROR(IF(AND(INDEX($E$8:$CE$57, MATCH($C11, $C$8:$C$57, 0), (COLUMNS($DC11:DD11)-1)*5 + 1) = INDEX($E$5:$CE$5, 1, (COLUMNS($DC11:DD11)-1)*5 + 1), INDEX($E$8:$CE$57, MATCH($C11, $C$8:$C$57, 0), (COLUMNS($DC11:DD11)-1)*5 + 4) = "F"), INDEX($CZ$8:$CZ$23, COLUMNS($DC11:DD11)), "0"), "")</f>
        <v>344.19</v>
      </c>
      <c r="DE11" s="390" t="str">
        <f t="array" ref="DE11">IFERROR(IF(AND(INDEX($E$8:$CE$57, MATCH($C11, $C$8:$C$57, 0), (COLUMNS($DC11:DE11)-1)*5 + 1) = INDEX($E$5:$CE$5, 1, (COLUMNS($DC11:DE11)-1)*5 + 1), INDEX($E$8:$CE$57, MATCH($C11, $C$8:$C$57, 0), (COLUMNS($DC11:DE11)-1)*5 + 4) = "F"), INDEX($CZ$8:$CZ$23, COLUMNS($DC11:DE11)), "0"), "")</f>
        <v>0</v>
      </c>
      <c r="DF11" s="390" t="str">
        <f t="array" ref="DF11">IFERROR(IF(AND(INDEX($E$8:$CE$57, MATCH($C11, $C$8:$C$57, 0), (COLUMNS($DC11:DF11)-1)*5 + 1) = INDEX($E$5:$CE$5, 1, (COLUMNS($DC11:DF11)-1)*5 + 1), INDEX($E$8:$CE$57, MATCH($C11, $C$8:$C$57, 0), (COLUMNS($DC11:DF11)-1)*5 + 4) = "F"), INDEX($CZ$8:$CZ$23, COLUMNS($DC11:DF11)), "0"), "")</f>
        <v>0</v>
      </c>
      <c r="DG11" s="390" t="str">
        <f t="array" ref="DG11">IFERROR(IF(AND(INDEX($E$8:$CE$57, MATCH($C11, $C$8:$C$57, 0), (COLUMNS($DC11:DG11)-1)*5 + 1) = INDEX($E$5:$CE$5, 1, (COLUMNS($DC11:DG11)-1)*5 + 1), INDEX($E$8:$CE$57, MATCH($C11, $C$8:$C$57, 0), (COLUMNS($DC11:DG11)-1)*5 + 4) = "F"), INDEX($CZ$8:$CZ$23, COLUMNS($DC11:DG11)), "0"), "")</f>
        <v>0</v>
      </c>
      <c r="DH11" s="390" t="str">
        <f t="array" ref="DH11">IFERROR(IF(AND(INDEX($E$8:$CE$57, MATCH($C11, $C$8:$C$57, 0), (COLUMNS($DC11:DH11)-1)*5 + 1) = INDEX($E$5:$CE$5, 1, (COLUMNS($DC11:DH11)-1)*5 + 1), INDEX($E$8:$CE$57, MATCH($C11, $C$8:$C$57, 0), (COLUMNS($DC11:DH11)-1)*5 + 4) = "F"), INDEX($CZ$8:$CZ$23, COLUMNS($DC11:DH11)), "0"), "")</f>
        <v>0</v>
      </c>
      <c r="DI11" s="390" t="str">
        <f t="array" ref="DI11">IFERROR(IF(AND(INDEX($E$8:$CE$57, MATCH($C11, $C$8:$C$57, 0), (COLUMNS($DC11:DI11)-1)*5 + 1) = INDEX($E$5:$CE$5, 1, (COLUMNS($DC11:DI11)-1)*5 + 1), INDEX($E$8:$CE$57, MATCH($C11, $C$8:$C$57, 0), (COLUMNS($DC11:DI11)-1)*5 + 4) = "F"), INDEX($CZ$8:$CZ$23, COLUMNS($DC11:DI11)), "0"), "")</f>
        <v>0</v>
      </c>
      <c r="DJ11" s="390" t="str">
        <f t="array" ref="DJ11">IFERROR(IF(AND(INDEX($E$8:$CE$57, MATCH($C11, $C$8:$C$57, 0), (COLUMNS($DC11:DJ11)-1)*5 + 1) = INDEX($E$5:$CE$5, 1, (COLUMNS($DC11:DJ11)-1)*5 + 1), INDEX($E$8:$CE$57, MATCH($C11, $C$8:$C$57, 0), (COLUMNS($DC11:DJ11)-1)*5 + 4) = "F"), INDEX($CZ$8:$CZ$23, COLUMNS($DC11:DJ11)), "0"), "")</f>
        <v>0</v>
      </c>
      <c r="DK11" s="390" t="str">
        <f t="array" ref="DK11">IFERROR(IF(AND(INDEX($E$8:$CE$57, MATCH($C11, $C$8:$C$57, 0), (COLUMNS($DC11:DK11)-1)*5 + 1) = INDEX($E$5:$CE$5, 1, (COLUMNS($DC11:DK11)-1)*5 + 1), INDEX($E$8:$CE$57, MATCH($C11, $C$8:$C$57, 0), (COLUMNS($DC11:DK11)-1)*5 + 4) = "F"), INDEX($CZ$8:$CZ$23, COLUMNS($DC11:DK11)), "0"), "")</f>
        <v>0</v>
      </c>
      <c r="DL11" s="390" t="str">
        <f t="array" ref="DL11">IFERROR(IF(AND(INDEX($E$8:$CE$57, MATCH($C11, $C$8:$C$57, 0), (COLUMNS($DC11:DL11)-1)*5 + 1) = INDEX($E$5:$CE$5, 1, (COLUMNS($DC11:DL11)-1)*5 + 1), INDEX($E$8:$CE$57, MATCH($C11, $C$8:$C$57, 0), (COLUMNS($DC11:DL11)-1)*5 + 4) = "F"), INDEX($CZ$8:$CZ$23, COLUMNS($DC11:DL11)), "0"), "")</f>
        <v>0</v>
      </c>
      <c r="DM11" s="390" t="str">
        <f t="array" ref="DM11">IFERROR(IF(AND(INDEX($E$8:$CE$57, MATCH($C11, $C$8:$C$57, 0), (COLUMNS($DC11:DM11)-1)*5 + 1) = INDEX($E$5:$CE$5, 1, (COLUMNS($DC11:DM11)-1)*5 + 1), INDEX($E$8:$CE$57, MATCH($C11, $C$8:$C$57, 0), (COLUMNS($DC11:DM11)-1)*5 + 4) = "F"), INDEX($CZ$8:$CZ$23, COLUMNS($DC11:DM11)), "0"), "")</f>
        <v>0</v>
      </c>
      <c r="DN11" s="390" t="str">
        <f t="array" ref="DN11">IFERROR(IF(AND(INDEX($E$8:$CE$57, MATCH($C11, $C$8:$C$57, 0), (COLUMNS($DC11:DN11)-1)*5 + 1) = INDEX($E$5:$CE$5, 1, (COLUMNS($DC11:DN11)-1)*5 + 1), INDEX($E$8:$CE$57, MATCH($C11, $C$8:$C$57, 0), (COLUMNS($DC11:DN11)-1)*5 + 4) = "F"), INDEX($CZ$8:$CZ$23, COLUMNS($DC11:DN11)), "0"), "")</f>
        <v>0</v>
      </c>
      <c r="DO11" s="390" t="str">
        <f t="array" ref="DO11">IFERROR(IF(AND(INDEX($E$8:$CE$57, MATCH($C11, $C$8:$C$57, 0), (COLUMNS($DC11:DO11)-1)*5 + 1) = INDEX($E$5:$CE$5, 1, (COLUMNS($DC11:DO11)-1)*5 + 1), INDEX($E$8:$CE$57, MATCH($C11, $C$8:$C$57, 0), (COLUMNS($DC11:DO11)-1)*5 + 4) = "F"), INDEX($CZ$8:$CZ$23, COLUMNS($DC11:DO11)), "0"), "")</f>
        <v>0</v>
      </c>
      <c r="DP11" s="390" t="str">
        <f t="array" ref="DP11">IFERROR(IF(AND(INDEX($E$8:$CE$57, MATCH($C11, $C$8:$C$57, 0), (COLUMNS($DC11:DP11)-1)*5 + 1) = INDEX($E$5:$CE$5, 1, (COLUMNS($DC11:DP11)-1)*5 + 1), INDEX($E$8:$CE$57, MATCH($C11, $C$8:$C$57, 0), (COLUMNS($DC11:DP11)-1)*5 + 4) = "F"), INDEX($CZ$8:$CZ$23, COLUMNS($DC11:DP11)), "0"), "")</f>
        <v>0</v>
      </c>
      <c r="DQ11" s="390" t="str">
        <f t="array" ref="DQ11">IFERROR(IF(AND(INDEX($E$8:$CE$57, MATCH($C11, $C$8:$C$57, 0), (COLUMNS($DC11:DQ11)-1)*5 + 1) = INDEX($E$5:$CE$5, 1, (COLUMNS($DC11:DQ11)-1)*5 + 1), INDEX($E$8:$CE$57, MATCH($C11, $C$8:$C$57, 0), (COLUMNS($DC11:DQ11)-1)*5 + 4) = "F"), INDEX($CZ$8:$CZ$23, COLUMNS($DC11:DQ11)), "0"), "")</f>
        <v>0</v>
      </c>
      <c r="DR11" s="390" t="str">
        <f t="array" ref="DR11">IFERROR(IF(AND(INDEX($E$8:$CE$57, MATCH($C11, $C$8:$C$57, 0), (COLUMNS($DC11:DR11)-1)*5 + 1) = INDEX($E$5:$CE$5, 1, (COLUMNS($DC11:DR11)-1)*5 + 1), INDEX($E$8:$CE$57, MATCH($C11, $C$8:$C$57, 0), (COLUMNS($DC11:DR11)-1)*5 + 4) = "F"), INDEX($CZ$8:$CZ$23, COLUMNS($DC11:DR11)), "0"), "")</f>
        <v>0</v>
      </c>
      <c r="DT11" s="537" t="str">
        <f>SEMANA2[[#This Row],[COD]]</f>
        <v>COD 04</v>
      </c>
      <c r="DU11" s="390" t="str">
        <f t="array" ref="DU11">IFERROR(IF(AND(INDEX($E$8:$CE$57, MATCH($C11, $C$8:$C$57, 0), (COLUMNS($DU11:DU11)-1)*5 + 1) = INDEX($E$5:$CE$5, 1, (COLUMNS($DU11:DU11)-1)*5 + 1), INDEX($E$8:$CE$57, MATCH($C11, $C$8:$C$57, 0), (COLUMNS($DU11:DU11)-1)*5 + 4) = "SF"), INDEX($CZ$8:$CZ$23, COLUMNS($DU11:DU11)), "0"), "")</f>
        <v>0</v>
      </c>
      <c r="DV11" s="390" t="str">
        <f t="array" ref="DV11">IFERROR(IF(AND(INDEX($E$8:$CE$57, MATCH($C11, $C$8:$C$57, 0), (COLUMNS($DU11:DV11)-1)*5 + 1) = INDEX($E$5:$CE$5, 1, (COLUMNS($DU11:DV11)-1)*5 + 1), INDEX($E$8:$CE$57, MATCH($C11, $C$8:$C$57, 0), (COLUMNS($DU11:DV11)-1)*5 + 4) = "SF"), INDEX($CZ$8:$CZ$23, COLUMNS($DU11:DV11)), "0"), "")</f>
        <v>0</v>
      </c>
      <c r="DW11" s="390" t="str">
        <f t="array" ref="DW11">IFERROR(IF(AND(INDEX($E$8:$CE$57, MATCH($C11, $C$8:$C$57, 0), (COLUMNS($DU11:DW11)-1)*5 + 1) = INDEX($E$5:$CE$5, 1, (COLUMNS($DU11:DW11)-1)*5 + 1), INDEX($E$8:$CE$57, MATCH($C11, $C$8:$C$57, 0), (COLUMNS($DU11:DW11)-1)*5 + 4) = "SF"), INDEX($CZ$8:$CZ$23, COLUMNS($DU11:DW11)), "0"), "")</f>
        <v>0</v>
      </c>
      <c r="DX11" s="390" t="str">
        <f t="array" ref="DX11">IFERROR(IF(AND(INDEX($E$8:$CE$57, MATCH($C11, $C$8:$C$57, 0), (COLUMNS($DU11:DX11)-1)*5 + 1) = INDEX($E$5:$CE$5, 1, (COLUMNS($DU11:DX11)-1)*5 + 1), INDEX($E$8:$CE$57, MATCH($C11, $C$8:$C$57, 0), (COLUMNS($DU11:DX11)-1)*5 + 4) = "SF"), INDEX($CZ$8:$CZ$23, COLUMNS($DU11:DX11)), "0"), "")</f>
        <v>0</v>
      </c>
      <c r="DY11" s="390" t="str">
        <f t="array" ref="DY11">IFERROR(IF(AND(INDEX($E$8:$CE$57, MATCH($C11, $C$8:$C$57, 0), (COLUMNS($DU11:DY11)-1)*5 + 1) = INDEX($E$5:$CE$5, 1, (COLUMNS($DU11:DY11)-1)*5 + 1), INDEX($E$8:$CE$57, MATCH($C11, $C$8:$C$57, 0), (COLUMNS($DU11:DY11)-1)*5 + 4) = "SF"), INDEX($CZ$8:$CZ$23, COLUMNS($DU11:DY11)), "0"), "")</f>
        <v>0</v>
      </c>
      <c r="DZ11" s="390" t="str">
        <f t="array" ref="DZ11">IFERROR(IF(AND(INDEX($E$8:$CE$57, MATCH($C11, $C$8:$C$57, 0), (COLUMNS($DU11:DZ11)-1)*5 + 1) = INDEX($E$5:$CE$5, 1, (COLUMNS($DU11:DZ11)-1)*5 + 1), INDEX($E$8:$CE$57, MATCH($C11, $C$8:$C$57, 0), (COLUMNS($DU11:DZ11)-1)*5 + 4) = "SF"), INDEX($CZ$8:$CZ$23, COLUMNS($DU11:DZ11)), "0"), "")</f>
        <v>0</v>
      </c>
      <c r="EA11" s="390" t="str">
        <f t="array" ref="EA11">IFERROR(IF(AND(INDEX($E$8:$CE$57, MATCH($C11, $C$8:$C$57, 0), (COLUMNS($DU11:EA11)-1)*5 + 1) = INDEX($E$5:$CE$5, 1, (COLUMNS($DU11:EA11)-1)*5 + 1), INDEX($E$8:$CE$57, MATCH($C11, $C$8:$C$57, 0), (COLUMNS($DU11:EA11)-1)*5 + 4) = "SF"), INDEX($CZ$8:$CZ$23, COLUMNS($DU11:EA11)), "0"), "")</f>
        <v>0</v>
      </c>
      <c r="EB11" s="390" t="str">
        <f t="array" ref="EB11">IFERROR(IF(AND(INDEX($E$8:$CE$57, MATCH($C11, $C$8:$C$57, 0), (COLUMNS($DU11:EB11)-1)*5 + 1) = INDEX($E$5:$CE$5, 1, (COLUMNS($DU11:EB11)-1)*5 + 1), INDEX($E$8:$CE$57, MATCH($C11, $C$8:$C$57, 0), (COLUMNS($DU11:EB11)-1)*5 + 4) = "SF"), INDEX($CZ$8:$CZ$23, COLUMNS($DU11:EB11)), "0"), "")</f>
        <v>0</v>
      </c>
      <c r="EC11" s="390" t="str">
        <f t="array" ref="EC11">IFERROR(IF(AND(INDEX($E$8:$CE$57, MATCH($C11, $C$8:$C$57, 0), (COLUMNS($DU11:EC11)-1)*5 + 1) = INDEX($E$5:$CE$5, 1, (COLUMNS($DU11:EC11)-1)*5 + 1), INDEX($E$8:$CE$57, MATCH($C11, $C$8:$C$57, 0), (COLUMNS($DU11:EC11)-1)*5 + 4) = "SF"), INDEX($CZ$8:$CZ$23, COLUMNS($DU11:EC11)), "0"), "")</f>
        <v>0</v>
      </c>
      <c r="ED11" s="390" t="str">
        <f t="array" ref="ED11">IFERROR(IF(AND(INDEX($E$8:$CE$57, MATCH($C11, $C$8:$C$57, 0), (COLUMNS($DU11:ED11)-1)*5 + 1) = INDEX($E$5:$CE$5, 1, (COLUMNS($DU11:ED11)-1)*5 + 1), INDEX($E$8:$CE$57, MATCH($C11, $C$8:$C$57, 0), (COLUMNS($DU11:ED11)-1)*5 + 4) = "SF"), INDEX($CZ$8:$CZ$23, COLUMNS($DU11:ED11)), "0"), "")</f>
        <v>0</v>
      </c>
      <c r="EE11" s="390">
        <f t="array" ref="EE11">IFERROR(IF(AND(INDEX($E$8:$CE$57, MATCH($C11, $C$8:$C$57, 0), (COLUMNS($DU11:EE11)-1)*5 + 1) = INDEX($E$5:$CE$5, 1, (COLUMNS($DU11:EE11)-1)*5 + 1), INDEX($E$8:$CE$57, MATCH($C11, $C$8:$C$57, 0), (COLUMNS($DU11:EE11)-1)*5 + 4) = "SF"), INDEX($CZ$8:$CZ$23, COLUMNS($DU11:EE11)), "0"), "")</f>
        <v>156.87</v>
      </c>
      <c r="EF11" s="390" t="str">
        <f t="array" ref="EF11">IFERROR(IF(AND(INDEX($E$8:$CE$57, MATCH($C11, $C$8:$C$57, 0), (COLUMNS($DU11:EF11)-1)*5 + 1) = INDEX($E$5:$CE$5, 1, (COLUMNS($DU11:EF11)-1)*5 + 1), INDEX($E$8:$CE$57, MATCH($C11, $C$8:$C$57, 0), (COLUMNS($DU11:EF11)-1)*5 + 4) = "SF"), INDEX($CZ$8:$CZ$23, COLUMNS($DU11:EF11)), "0"), "")</f>
        <v>0</v>
      </c>
      <c r="EG11" s="390" t="str">
        <f t="array" ref="EG11">IFERROR(IF(AND(INDEX($E$8:$CE$57, MATCH($C11, $C$8:$C$57, 0), (COLUMNS($DU11:EG11)-1)*5 + 1) = INDEX($E$5:$CE$5, 1, (COLUMNS($DU11:EG11)-1)*5 + 1), INDEX($E$8:$CE$57, MATCH($C11, $C$8:$C$57, 0), (COLUMNS($DU11:EG11)-1)*5 + 4) = "SF"), INDEX($CZ$8:$CZ$23, COLUMNS($DU11:EG11)), "0"), "")</f>
        <v>0</v>
      </c>
      <c r="EH11" s="390" t="str">
        <f t="array" ref="EH11">IFERROR(IF(AND(INDEX($E$8:$CE$57, MATCH($C11, $C$8:$C$57, 0), (COLUMNS($DU11:EH11)-1)*5 + 1) = INDEX($E$5:$CE$5, 1, (COLUMNS($DU11:EH11)-1)*5 + 1), INDEX($E$8:$CE$57, MATCH($C11, $C$8:$C$57, 0), (COLUMNS($DU11:EH11)-1)*5 + 4) = "SF"), INDEX($CZ$8:$CZ$23, COLUMNS($DU11:EH11)), "0"), "")</f>
        <v>0</v>
      </c>
      <c r="EI11" s="390" t="str">
        <f t="array" ref="EI11">IFERROR(IF(AND(INDEX($E$8:$CE$57, MATCH($C11, $C$8:$C$57, 0), (COLUMNS($DU11:EI11)-1)*5 + 1) = INDEX($E$5:$CE$5, 1, (COLUMNS($DU11:EI11)-1)*5 + 1), INDEX($E$8:$CE$57, MATCH($C11, $C$8:$C$57, 0), (COLUMNS($DU11:EI11)-1)*5 + 4) = "SF"), INDEX($CZ$8:$CZ$23, COLUMNS($DU11:EI11)), "0"), "")</f>
        <v>0</v>
      </c>
      <c r="EJ11" s="390" t="str">
        <f t="array" ref="EJ11">IFERROR(IF(AND(INDEX($E$8:$CE$57, MATCH($C11, $C$8:$C$57, 0), (COLUMNS($DU11:EJ11)-1)*5 + 1) = INDEX($E$5:$CE$5, 1, (COLUMNS($DU11:EJ11)-1)*5 + 1), INDEX($E$8:$CE$57, MATCH($C11, $C$8:$C$57, 0), (COLUMNS($DU11:EJ11)-1)*5 + 4) = "SF"), INDEX($CZ$8:$CZ$23, COLUMNS($DU11:EJ11)), "0"), "")</f>
        <v>0</v>
      </c>
    </row>
    <row r="12" spans="1:140" ht="20.100000000000001" customHeight="1" x14ac:dyDescent="0.35">
      <c r="A12" s="515"/>
      <c r="B12" s="444">
        <f>IF(SEMANA2[[#This Row],[COD]]&lt;&gt;"",B11+1,"")</f>
        <v>5</v>
      </c>
      <c r="C12" s="554" t="s">
        <v>40</v>
      </c>
      <c r="D12" s="410" t="str">
        <f t="array" ref="D12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12" s="411">
        <v>9</v>
      </c>
      <c r="F12" s="413">
        <v>2</v>
      </c>
      <c r="G12" s="413">
        <v>6</v>
      </c>
      <c r="H12" s="413"/>
      <c r="I12" s="534">
        <f t="shared" si="0"/>
        <v>1</v>
      </c>
      <c r="J12" s="411">
        <v>1</v>
      </c>
      <c r="K12" s="413">
        <v>4</v>
      </c>
      <c r="L12" s="413">
        <v>2</v>
      </c>
      <c r="M12" s="413" t="s">
        <v>254</v>
      </c>
      <c r="N12" s="534">
        <f t="shared" si="1"/>
        <v>0</v>
      </c>
      <c r="O12" s="411">
        <v>5</v>
      </c>
      <c r="P12" s="413">
        <v>1</v>
      </c>
      <c r="Q12" s="413">
        <v>8</v>
      </c>
      <c r="R12" s="413"/>
      <c r="S12" s="534">
        <f t="shared" si="2"/>
        <v>2</v>
      </c>
      <c r="T12" s="411">
        <v>5</v>
      </c>
      <c r="U12" s="413">
        <v>3</v>
      </c>
      <c r="V12" s="413">
        <v>1</v>
      </c>
      <c r="W12" s="413"/>
      <c r="X12" s="534">
        <f t="shared" si="3"/>
        <v>2</v>
      </c>
      <c r="Y12" s="411">
        <v>7</v>
      </c>
      <c r="Z12" s="413">
        <v>4</v>
      </c>
      <c r="AA12" s="413">
        <v>2</v>
      </c>
      <c r="AB12" s="413"/>
      <c r="AC12" s="534">
        <f t="shared" si="4"/>
        <v>3</v>
      </c>
      <c r="AD12" s="411">
        <v>5</v>
      </c>
      <c r="AE12" s="413">
        <v>10</v>
      </c>
      <c r="AF12" s="413">
        <v>7</v>
      </c>
      <c r="AG12" s="413"/>
      <c r="AH12" s="534">
        <f t="shared" si="5"/>
        <v>2</v>
      </c>
      <c r="AI12" s="411">
        <v>6</v>
      </c>
      <c r="AJ12" s="413">
        <v>3</v>
      </c>
      <c r="AK12" s="413">
        <v>7</v>
      </c>
      <c r="AL12" s="413"/>
      <c r="AM12" s="534">
        <f t="shared" si="6"/>
        <v>0</v>
      </c>
      <c r="AN12" s="411">
        <v>8</v>
      </c>
      <c r="AO12" s="413"/>
      <c r="AP12" s="413"/>
      <c r="AQ12" s="413" t="s">
        <v>255</v>
      </c>
      <c r="AR12" s="534">
        <f t="shared" si="7"/>
        <v>7.5</v>
      </c>
      <c r="AS12" s="411">
        <v>10</v>
      </c>
      <c r="AT12" s="413">
        <v>6</v>
      </c>
      <c r="AU12" s="413">
        <v>2</v>
      </c>
      <c r="AV12" s="413"/>
      <c r="AW12" s="534">
        <f t="shared" si="8"/>
        <v>1</v>
      </c>
      <c r="AX12" s="411">
        <v>2</v>
      </c>
      <c r="AY12" s="413">
        <v>6</v>
      </c>
      <c r="AZ12" s="413">
        <v>5</v>
      </c>
      <c r="BA12" s="413"/>
      <c r="BB12" s="534">
        <f t="shared" si="9"/>
        <v>5</v>
      </c>
      <c r="BC12" s="411">
        <v>7</v>
      </c>
      <c r="BD12" s="413">
        <v>5</v>
      </c>
      <c r="BE12" s="413">
        <v>3</v>
      </c>
      <c r="BF12" s="413" t="s">
        <v>254</v>
      </c>
      <c r="BG12" s="534">
        <f t="shared" si="10"/>
        <v>5</v>
      </c>
      <c r="BH12" s="411">
        <v>2</v>
      </c>
      <c r="BI12" s="413">
        <v>6</v>
      </c>
      <c r="BJ12" s="413">
        <v>5</v>
      </c>
      <c r="BK12" s="413"/>
      <c r="BL12" s="534">
        <f t="shared" si="11"/>
        <v>2</v>
      </c>
      <c r="BM12" s="411">
        <v>4</v>
      </c>
      <c r="BN12" s="413">
        <v>1</v>
      </c>
      <c r="BO12" s="413">
        <v>9</v>
      </c>
      <c r="BP12" s="413"/>
      <c r="BQ12" s="534">
        <f t="shared" si="12"/>
        <v>0</v>
      </c>
      <c r="BR12" s="411">
        <v>1</v>
      </c>
      <c r="BS12" s="413">
        <v>11</v>
      </c>
      <c r="BT12" s="413">
        <v>2</v>
      </c>
      <c r="BU12" s="413"/>
      <c r="BV12" s="534">
        <f t="shared" si="13"/>
        <v>4</v>
      </c>
      <c r="BW12" s="411"/>
      <c r="BX12" s="413"/>
      <c r="BY12" s="413"/>
      <c r="BZ12" s="413"/>
      <c r="CA12" s="534">
        <f t="shared" si="14"/>
        <v>0</v>
      </c>
      <c r="CB12" s="411"/>
      <c r="CC12" s="413"/>
      <c r="CD12" s="413"/>
      <c r="CE12" s="413"/>
      <c r="CF12" s="534">
        <f t="shared" si="15"/>
        <v>0</v>
      </c>
      <c r="CG12" s="162">
        <f>IF(SEMANA2[[#This Row],[1]]="",0,$B$4)</f>
        <v>14</v>
      </c>
      <c r="CH12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4</v>
      </c>
      <c r="CI12" s="164">
        <f>IF(SEMANA2[[#This Row],[Columna14]]=0,0,(CH12/CG12))</f>
        <v>0.2857142857142857</v>
      </c>
      <c r="CJ12" s="163">
        <f>IF(SEMANA2[[#This Row],[1]]="",0,$B$4)</f>
        <v>14</v>
      </c>
      <c r="CK12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12" s="164">
        <f>IF(SEMANA2[[#This Row],[Columna14]]=0,0,(CK12/CJ12))</f>
        <v>0.42857142857142855</v>
      </c>
      <c r="CM12" s="162">
        <f>IF(SEMANA2[[#This Row],[1]]="",0,$B$4)</f>
        <v>14</v>
      </c>
      <c r="CN12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11</v>
      </c>
      <c r="CO12" s="164">
        <f>IF(SEMANA2[[#This Row],[Columna14]]=0,0,(CN12/CM12))</f>
        <v>0.7857142857142857</v>
      </c>
      <c r="CP12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12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Row],[Columna25]],$AX$5,BA12,"SF")+COUNTIFS(SEMANA2[[#This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12" s="164">
        <f>IFERROR(IF(SEMANA2[[#This Row],[Columna14]]=0,0,(CQ12/CP12)),0)</f>
        <v>0.66666666666666663</v>
      </c>
      <c r="CS12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34.5</v>
      </c>
      <c r="CT12" s="93">
        <f>_xlfn.XLOOKUP(SEMANA2[[#This Row],[COD]],BASE01[COD],BASE01[Columna33])</f>
        <v>37</v>
      </c>
      <c r="CU12" s="536">
        <f t="shared" si="16"/>
        <v>71.5</v>
      </c>
      <c r="CV12" s="445">
        <f>IF(SEMANA2[[#This Row],[TIPO]]="PREMIO",$O$3,"0,00")</f>
        <v>1000</v>
      </c>
      <c r="CW12" s="515"/>
      <c r="CY12" s="388">
        <v>5</v>
      </c>
      <c r="CZ12" s="349">
        <f>Z$6</f>
        <v>171.46</v>
      </c>
      <c r="DB12" s="537" t="str">
        <f>SEMANA2[[#This Row],[COD]]</f>
        <v>COD 05</v>
      </c>
      <c r="DC12" s="390" t="str">
        <f t="array" ref="DC12">IFERROR(IF(AND(INDEX($E$8:$CE$57, MATCH($C12, $C$8:$C$57, 0), (COLUMNS($DC12:DC12)-1)*5 + 1) = INDEX($E$5:$CE$5, 1, (COLUMNS($DC12:DC12)-1)*5 + 1), INDEX($E$8:$CE$57, MATCH($C12, $C$8:$C$57, 0), (COLUMNS($DC12:DC12)-1)*5 + 4) = "F"), INDEX($CZ$8:$CZ$23, COLUMNS($DC12:DC12)), "0"), "")</f>
        <v>0</v>
      </c>
      <c r="DD12" s="390" t="str">
        <f t="array" ref="DD12">IFERROR(IF(AND(INDEX($E$8:$CE$57, MATCH($C12, $C$8:$C$57, 0), (COLUMNS($DC12:DD12)-1)*5 + 1) = INDEX($E$5:$CE$5, 1, (COLUMNS($DC12:DD12)-1)*5 + 1), INDEX($E$8:$CE$57, MATCH($C12, $C$8:$C$57, 0), (COLUMNS($DC12:DD12)-1)*5 + 4) = "F"), INDEX($CZ$8:$CZ$23, COLUMNS($DC12:DD12)), "0"), "")</f>
        <v>0</v>
      </c>
      <c r="DE12" s="390" t="str">
        <f t="array" ref="DE12">IFERROR(IF(AND(INDEX($E$8:$CE$57, MATCH($C12, $C$8:$C$57, 0), (COLUMNS($DC12:DE12)-1)*5 + 1) = INDEX($E$5:$CE$5, 1, (COLUMNS($DC12:DE12)-1)*5 + 1), INDEX($E$8:$CE$57, MATCH($C12, $C$8:$C$57, 0), (COLUMNS($DC12:DE12)-1)*5 + 4) = "F"), INDEX($CZ$8:$CZ$23, COLUMNS($DC12:DE12)), "0"), "")</f>
        <v>0</v>
      </c>
      <c r="DF12" s="390" t="str">
        <f t="array" ref="DF12">IFERROR(IF(AND(INDEX($E$8:$CE$57, MATCH($C12, $C$8:$C$57, 0), (COLUMNS($DC12:DF12)-1)*5 + 1) = INDEX($E$5:$CE$5, 1, (COLUMNS($DC12:DF12)-1)*5 + 1), INDEX($E$8:$CE$57, MATCH($C12, $C$8:$C$57, 0), (COLUMNS($DC12:DF12)-1)*5 + 4) = "F"), INDEX($CZ$8:$CZ$23, COLUMNS($DC12:DF12)), "0"), "")</f>
        <v>0</v>
      </c>
      <c r="DG12" s="390" t="str">
        <f t="array" ref="DG12">IFERROR(IF(AND(INDEX($E$8:$CE$57, MATCH($C12, $C$8:$C$57, 0), (COLUMNS($DC12:DG12)-1)*5 + 1) = INDEX($E$5:$CE$5, 1, (COLUMNS($DC12:DG12)-1)*5 + 1), INDEX($E$8:$CE$57, MATCH($C12, $C$8:$C$57, 0), (COLUMNS($DC12:DG12)-1)*5 + 4) = "F"), INDEX($CZ$8:$CZ$23, COLUMNS($DC12:DG12)), "0"), "")</f>
        <v>0</v>
      </c>
      <c r="DH12" s="390" t="str">
        <f t="array" ref="DH12">IFERROR(IF(AND(INDEX($E$8:$CE$57, MATCH($C12, $C$8:$C$57, 0), (COLUMNS($DC12:DH12)-1)*5 + 1) = INDEX($E$5:$CE$5, 1, (COLUMNS($DC12:DH12)-1)*5 + 1), INDEX($E$8:$CE$57, MATCH($C12, $C$8:$C$57, 0), (COLUMNS($DC12:DH12)-1)*5 + 4) = "F"), INDEX($CZ$8:$CZ$23, COLUMNS($DC12:DH12)), "0"), "")</f>
        <v>0</v>
      </c>
      <c r="DI12" s="390" t="str">
        <f t="array" ref="DI12">IFERROR(IF(AND(INDEX($E$8:$CE$57, MATCH($C12, $C$8:$C$57, 0), (COLUMNS($DC12:DI12)-1)*5 + 1) = INDEX($E$5:$CE$5, 1, (COLUMNS($DC12:DI12)-1)*5 + 1), INDEX($E$8:$CE$57, MATCH($C12, $C$8:$C$57, 0), (COLUMNS($DC12:DI12)-1)*5 + 4) = "F"), INDEX($CZ$8:$CZ$23, COLUMNS($DC12:DI12)), "0"), "")</f>
        <v>0</v>
      </c>
      <c r="DJ12" s="390" t="str">
        <f t="array" ref="DJ12">IFERROR(IF(AND(INDEX($E$8:$CE$57, MATCH($C12, $C$8:$C$57, 0), (COLUMNS($DC12:DJ12)-1)*5 + 1) = INDEX($E$5:$CE$5, 1, (COLUMNS($DC12:DJ12)-1)*5 + 1), INDEX($E$8:$CE$57, MATCH($C12, $C$8:$C$57, 0), (COLUMNS($DC12:DJ12)-1)*5 + 4) = "F"), INDEX($CZ$8:$CZ$23, COLUMNS($DC12:DJ12)), "0"), "")</f>
        <v>0</v>
      </c>
      <c r="DK12" s="390" t="str">
        <f t="array" ref="DK12">IFERROR(IF(AND(INDEX($E$8:$CE$57, MATCH($C12, $C$8:$C$57, 0), (COLUMNS($DC12:DK12)-1)*5 + 1) = INDEX($E$5:$CE$5, 1, (COLUMNS($DC12:DK12)-1)*5 + 1), INDEX($E$8:$CE$57, MATCH($C12, $C$8:$C$57, 0), (COLUMNS($DC12:DK12)-1)*5 + 4) = "F"), INDEX($CZ$8:$CZ$23, COLUMNS($DC12:DK12)), "0"), "")</f>
        <v>0</v>
      </c>
      <c r="DL12" s="390" t="str">
        <f t="array" ref="DL12">IFERROR(IF(AND(INDEX($E$8:$CE$57, MATCH($C12, $C$8:$C$57, 0), (COLUMNS($DC12:DL12)-1)*5 + 1) = INDEX($E$5:$CE$5, 1, (COLUMNS($DC12:DL12)-1)*5 + 1), INDEX($E$8:$CE$57, MATCH($C12, $C$8:$C$57, 0), (COLUMNS($DC12:DL12)-1)*5 + 4) = "F"), INDEX($CZ$8:$CZ$23, COLUMNS($DC12:DL12)), "0"), "")</f>
        <v>0</v>
      </c>
      <c r="DM12" s="390">
        <f t="array" ref="DM12">IFERROR(IF(AND(INDEX($E$8:$CE$57, MATCH($C12, $C$8:$C$57, 0), (COLUMNS($DC12:DM12)-1)*5 + 1) = INDEX($E$5:$CE$5, 1, (COLUMNS($DC12:DM12)-1)*5 + 1), INDEX($E$8:$CE$57, MATCH($C12, $C$8:$C$57, 0), (COLUMNS($DC12:DM12)-1)*5 + 4) = "F"), INDEX($CZ$8:$CZ$23, COLUMNS($DC12:DM12)), "0"), "")</f>
        <v>156.87</v>
      </c>
      <c r="DN12" s="390" t="str">
        <f t="array" ref="DN12">IFERROR(IF(AND(INDEX($E$8:$CE$57, MATCH($C12, $C$8:$C$57, 0), (COLUMNS($DC12:DN12)-1)*5 + 1) = INDEX($E$5:$CE$5, 1, (COLUMNS($DC12:DN12)-1)*5 + 1), INDEX($E$8:$CE$57, MATCH($C12, $C$8:$C$57, 0), (COLUMNS($DC12:DN12)-1)*5 + 4) = "F"), INDEX($CZ$8:$CZ$23, COLUMNS($DC12:DN12)), "0"), "")</f>
        <v>0</v>
      </c>
      <c r="DO12" s="390" t="str">
        <f t="array" ref="DO12">IFERROR(IF(AND(INDEX($E$8:$CE$57, MATCH($C12, $C$8:$C$57, 0), (COLUMNS($DC12:DO12)-1)*5 + 1) = INDEX($E$5:$CE$5, 1, (COLUMNS($DC12:DO12)-1)*5 + 1), INDEX($E$8:$CE$57, MATCH($C12, $C$8:$C$57, 0), (COLUMNS($DC12:DO12)-1)*5 + 4) = "F"), INDEX($CZ$8:$CZ$23, COLUMNS($DC12:DO12)), "0"), "")</f>
        <v>0</v>
      </c>
      <c r="DP12" s="390" t="str">
        <f t="array" ref="DP12">IFERROR(IF(AND(INDEX($E$8:$CE$57, MATCH($C12, $C$8:$C$57, 0), (COLUMNS($DC12:DP12)-1)*5 + 1) = INDEX($E$5:$CE$5, 1, (COLUMNS($DC12:DP12)-1)*5 + 1), INDEX($E$8:$CE$57, MATCH($C12, $C$8:$C$57, 0), (COLUMNS($DC12:DP12)-1)*5 + 4) = "F"), INDEX($CZ$8:$CZ$23, COLUMNS($DC12:DP12)), "0"), "")</f>
        <v>0</v>
      </c>
      <c r="DQ12" s="390" t="str">
        <f t="array" ref="DQ12">IFERROR(IF(AND(INDEX($E$8:$CE$57, MATCH($C12, $C$8:$C$57, 0), (COLUMNS($DC12:DQ12)-1)*5 + 1) = INDEX($E$5:$CE$5, 1, (COLUMNS($DC12:DQ12)-1)*5 + 1), INDEX($E$8:$CE$57, MATCH($C12, $C$8:$C$57, 0), (COLUMNS($DC12:DQ12)-1)*5 + 4) = "F"), INDEX($CZ$8:$CZ$23, COLUMNS($DC12:DQ12)), "0"), "")</f>
        <v>0</v>
      </c>
      <c r="DR12" s="390" t="str">
        <f t="array" ref="DR12">IFERROR(IF(AND(INDEX($E$8:$CE$57, MATCH($C12, $C$8:$C$57, 0), (COLUMNS($DC12:DR12)-1)*5 + 1) = INDEX($E$5:$CE$5, 1, (COLUMNS($DC12:DR12)-1)*5 + 1), INDEX($E$8:$CE$57, MATCH($C12, $C$8:$C$57, 0), (COLUMNS($DC12:DR12)-1)*5 + 4) = "F"), INDEX($CZ$8:$CZ$23, COLUMNS($DC12:DR12)), "0"), "")</f>
        <v>0</v>
      </c>
      <c r="DT12" s="537" t="str">
        <f>SEMANA2[[#This Row],[COD]]</f>
        <v>COD 05</v>
      </c>
      <c r="DU12" s="390" t="str">
        <f t="array" ref="DU12">IFERROR(IF(AND(INDEX($E$8:$CE$57, MATCH($C12, $C$8:$C$57, 0), (COLUMNS($DU12:DU12)-1)*5 + 1) = INDEX($E$5:$CE$5, 1, (COLUMNS($DU12:DU12)-1)*5 + 1), INDEX($E$8:$CE$57, MATCH($C12, $C$8:$C$57, 0), (COLUMNS($DU12:DU12)-1)*5 + 4) = "SF"), INDEX($CZ$8:$CZ$23, COLUMNS($DU12:DU12)), "0"), "")</f>
        <v>0</v>
      </c>
      <c r="DV12" s="390" t="str">
        <f t="array" ref="DV12">IFERROR(IF(AND(INDEX($E$8:$CE$57, MATCH($C12, $C$8:$C$57, 0), (COLUMNS($DU12:DV12)-1)*5 + 1) = INDEX($E$5:$CE$5, 1, (COLUMNS($DU12:DV12)-1)*5 + 1), INDEX($E$8:$CE$57, MATCH($C12, $C$8:$C$57, 0), (COLUMNS($DU12:DV12)-1)*5 + 4) = "SF"), INDEX($CZ$8:$CZ$23, COLUMNS($DU12:DV12)), "0"), "")</f>
        <v>0</v>
      </c>
      <c r="DW12" s="390" t="str">
        <f t="array" ref="DW12">IFERROR(IF(AND(INDEX($E$8:$CE$57, MATCH($C12, $C$8:$C$57, 0), (COLUMNS($DU12:DW12)-1)*5 + 1) = INDEX($E$5:$CE$5, 1, (COLUMNS($DU12:DW12)-1)*5 + 1), INDEX($E$8:$CE$57, MATCH($C12, $C$8:$C$57, 0), (COLUMNS($DU12:DW12)-1)*5 + 4) = "SF"), INDEX($CZ$8:$CZ$23, COLUMNS($DU12:DW12)), "0"), "")</f>
        <v>0</v>
      </c>
      <c r="DX12" s="390" t="str">
        <f t="array" ref="DX12">IFERROR(IF(AND(INDEX($E$8:$CE$57, MATCH($C12, $C$8:$C$57, 0), (COLUMNS($DU12:DX12)-1)*5 + 1) = INDEX($E$5:$CE$5, 1, (COLUMNS($DU12:DX12)-1)*5 + 1), INDEX($E$8:$CE$57, MATCH($C12, $C$8:$C$57, 0), (COLUMNS($DU12:DX12)-1)*5 + 4) = "SF"), INDEX($CZ$8:$CZ$23, COLUMNS($DU12:DX12)), "0"), "")</f>
        <v>0</v>
      </c>
      <c r="DY12" s="390" t="str">
        <f t="array" ref="DY12">IFERROR(IF(AND(INDEX($E$8:$CE$57, MATCH($C12, $C$8:$C$57, 0), (COLUMNS($DU12:DY12)-1)*5 + 1) = INDEX($E$5:$CE$5, 1, (COLUMNS($DU12:DY12)-1)*5 + 1), INDEX($E$8:$CE$57, MATCH($C12, $C$8:$C$57, 0), (COLUMNS($DU12:DY12)-1)*5 + 4) = "SF"), INDEX($CZ$8:$CZ$23, COLUMNS($DU12:DY12)), "0"), "")</f>
        <v>0</v>
      </c>
      <c r="DZ12" s="390" t="str">
        <f t="array" ref="DZ12">IFERROR(IF(AND(INDEX($E$8:$CE$57, MATCH($C12, $C$8:$C$57, 0), (COLUMNS($DU12:DZ12)-1)*5 + 1) = INDEX($E$5:$CE$5, 1, (COLUMNS($DU12:DZ12)-1)*5 + 1), INDEX($E$8:$CE$57, MATCH($C12, $C$8:$C$57, 0), (COLUMNS($DU12:DZ12)-1)*5 + 4) = "SF"), INDEX($CZ$8:$CZ$23, COLUMNS($DU12:DZ12)), "0"), "")</f>
        <v>0</v>
      </c>
      <c r="EA12" s="390" t="str">
        <f t="array" ref="EA12">IFERROR(IF(AND(INDEX($E$8:$CE$57, MATCH($C12, $C$8:$C$57, 0), (COLUMNS($DU12:EA12)-1)*5 + 1) = INDEX($E$5:$CE$5, 1, (COLUMNS($DU12:EA12)-1)*5 + 1), INDEX($E$8:$CE$57, MATCH($C12, $C$8:$C$57, 0), (COLUMNS($DU12:EA12)-1)*5 + 4) = "SF"), INDEX($CZ$8:$CZ$23, COLUMNS($DU12:EA12)), "0"), "")</f>
        <v>0</v>
      </c>
      <c r="EB12" s="390">
        <f t="array" ref="EB12">IFERROR(IF(AND(INDEX($E$8:$CE$57, MATCH($C12, $C$8:$C$57, 0), (COLUMNS($DU12:EB12)-1)*5 + 1) = INDEX($E$5:$CE$5, 1, (COLUMNS($DU12:EB12)-1)*5 + 1), INDEX($E$8:$CE$57, MATCH($C12, $C$8:$C$57, 0), (COLUMNS($DU12:EB12)-1)*5 + 4) = "SF"), INDEX($CZ$8:$CZ$23, COLUMNS($DU12:EB12)), "0"), "")</f>
        <v>128.36000000000001</v>
      </c>
      <c r="EC12" s="390" t="str">
        <f t="array" ref="EC12">IFERROR(IF(AND(INDEX($E$8:$CE$57, MATCH($C12, $C$8:$C$57, 0), (COLUMNS($DU12:EC12)-1)*5 + 1) = INDEX($E$5:$CE$5, 1, (COLUMNS($DU12:EC12)-1)*5 + 1), INDEX($E$8:$CE$57, MATCH($C12, $C$8:$C$57, 0), (COLUMNS($DU12:EC12)-1)*5 + 4) = "SF"), INDEX($CZ$8:$CZ$23, COLUMNS($DU12:EC12)), "0"), "")</f>
        <v>0</v>
      </c>
      <c r="ED12" s="390" t="str">
        <f t="array" ref="ED12">IFERROR(IF(AND(INDEX($E$8:$CE$57, MATCH($C12, $C$8:$C$57, 0), (COLUMNS($DU12:ED12)-1)*5 + 1) = INDEX($E$5:$CE$5, 1, (COLUMNS($DU12:ED12)-1)*5 + 1), INDEX($E$8:$CE$57, MATCH($C12, $C$8:$C$57, 0), (COLUMNS($DU12:ED12)-1)*5 + 4) = "SF"), INDEX($CZ$8:$CZ$23, COLUMNS($DU12:ED12)), "0"), "")</f>
        <v>0</v>
      </c>
      <c r="EE12" s="390" t="str">
        <f t="array" ref="EE12">IFERROR(IF(AND(INDEX($E$8:$CE$57, MATCH($C12, $C$8:$C$57, 0), (COLUMNS($DU12:EE12)-1)*5 + 1) = INDEX($E$5:$CE$5, 1, (COLUMNS($DU12:EE12)-1)*5 + 1), INDEX($E$8:$CE$57, MATCH($C12, $C$8:$C$57, 0), (COLUMNS($DU12:EE12)-1)*5 + 4) = "SF"), INDEX($CZ$8:$CZ$23, COLUMNS($DU12:EE12)), "0"), "")</f>
        <v>0</v>
      </c>
      <c r="EF12" s="390" t="str">
        <f t="array" ref="EF12">IFERROR(IF(AND(INDEX($E$8:$CE$57, MATCH($C12, $C$8:$C$57, 0), (COLUMNS($DU12:EF12)-1)*5 + 1) = INDEX($E$5:$CE$5, 1, (COLUMNS($DU12:EF12)-1)*5 + 1), INDEX($E$8:$CE$57, MATCH($C12, $C$8:$C$57, 0), (COLUMNS($DU12:EF12)-1)*5 + 4) = "SF"), INDEX($CZ$8:$CZ$23, COLUMNS($DU12:EF12)), "0"), "")</f>
        <v>0</v>
      </c>
      <c r="EG12" s="390" t="str">
        <f t="array" ref="EG12">IFERROR(IF(AND(INDEX($E$8:$CE$57, MATCH($C12, $C$8:$C$57, 0), (COLUMNS($DU12:EG12)-1)*5 + 1) = INDEX($E$5:$CE$5, 1, (COLUMNS($DU12:EG12)-1)*5 + 1), INDEX($E$8:$CE$57, MATCH($C12, $C$8:$C$57, 0), (COLUMNS($DU12:EG12)-1)*5 + 4) = "SF"), INDEX($CZ$8:$CZ$23, COLUMNS($DU12:EG12)), "0"), "")</f>
        <v>0</v>
      </c>
      <c r="EH12" s="390" t="str">
        <f t="array" ref="EH12">IFERROR(IF(AND(INDEX($E$8:$CE$57, MATCH($C12, $C$8:$C$57, 0), (COLUMNS($DU12:EH12)-1)*5 + 1) = INDEX($E$5:$CE$5, 1, (COLUMNS($DU12:EH12)-1)*5 + 1), INDEX($E$8:$CE$57, MATCH($C12, $C$8:$C$57, 0), (COLUMNS($DU12:EH12)-1)*5 + 4) = "SF"), INDEX($CZ$8:$CZ$23, COLUMNS($DU12:EH12)), "0"), "")</f>
        <v>0</v>
      </c>
      <c r="EI12" s="390" t="str">
        <f t="array" ref="EI12">IFERROR(IF(AND(INDEX($E$8:$CE$57, MATCH($C12, $C$8:$C$57, 0), (COLUMNS($DU12:EI12)-1)*5 + 1) = INDEX($E$5:$CE$5, 1, (COLUMNS($DU12:EI12)-1)*5 + 1), INDEX($E$8:$CE$57, MATCH($C12, $C$8:$C$57, 0), (COLUMNS($DU12:EI12)-1)*5 + 4) = "SF"), INDEX($CZ$8:$CZ$23, COLUMNS($DU12:EI12)), "0"), "")</f>
        <v>0</v>
      </c>
      <c r="EJ12" s="390" t="str">
        <f t="array" ref="EJ12">IFERROR(IF(AND(INDEX($E$8:$CE$57, MATCH($C12, $C$8:$C$57, 0), (COLUMNS($DU12:EJ12)-1)*5 + 1) = INDEX($E$5:$CE$5, 1, (COLUMNS($DU12:EJ12)-1)*5 + 1), INDEX($E$8:$CE$57, MATCH($C12, $C$8:$C$57, 0), (COLUMNS($DU12:EJ12)-1)*5 + 4) = "SF"), INDEX($CZ$8:$CZ$23, COLUMNS($DU12:EJ12)), "0"), "")</f>
        <v>0</v>
      </c>
    </row>
    <row r="13" spans="1:140" ht="19.5" customHeight="1" x14ac:dyDescent="0.35">
      <c r="A13" s="515"/>
      <c r="B13" s="444">
        <f>IF(SEMANA2[[#This Row],[COD]]&lt;&gt;"",B12+1,"")</f>
        <v>6</v>
      </c>
      <c r="C13" s="554" t="s">
        <v>42</v>
      </c>
      <c r="D13" s="410" t="str">
        <f t="array" ref="D13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13" s="411">
        <v>9</v>
      </c>
      <c r="F13" s="417">
        <v>2</v>
      </c>
      <c r="G13" s="417">
        <v>4</v>
      </c>
      <c r="H13" s="417"/>
      <c r="I13" s="534">
        <f t="shared" si="0"/>
        <v>0</v>
      </c>
      <c r="J13" s="411">
        <v>1</v>
      </c>
      <c r="K13" s="417">
        <v>2</v>
      </c>
      <c r="L13" s="417">
        <v>7</v>
      </c>
      <c r="M13" s="417"/>
      <c r="N13" s="534">
        <f t="shared" si="1"/>
        <v>1</v>
      </c>
      <c r="O13" s="411">
        <v>1</v>
      </c>
      <c r="P13" s="417">
        <v>5</v>
      </c>
      <c r="Q13" s="417">
        <v>3</v>
      </c>
      <c r="R13" s="417"/>
      <c r="S13" s="534">
        <f t="shared" si="2"/>
        <v>4</v>
      </c>
      <c r="T13" s="411">
        <v>3</v>
      </c>
      <c r="U13" s="417">
        <v>5</v>
      </c>
      <c r="V13" s="417">
        <v>4</v>
      </c>
      <c r="W13" s="417"/>
      <c r="X13" s="534">
        <f t="shared" si="3"/>
        <v>0</v>
      </c>
      <c r="Y13" s="411">
        <v>2</v>
      </c>
      <c r="Z13" s="417">
        <v>5</v>
      </c>
      <c r="AA13" s="417">
        <v>7</v>
      </c>
      <c r="AB13" s="417"/>
      <c r="AC13" s="534">
        <f t="shared" si="4"/>
        <v>4</v>
      </c>
      <c r="AD13" s="411">
        <v>7</v>
      </c>
      <c r="AE13" s="417">
        <v>4</v>
      </c>
      <c r="AF13" s="417">
        <v>5</v>
      </c>
      <c r="AG13" s="417"/>
      <c r="AH13" s="534">
        <f t="shared" si="5"/>
        <v>5</v>
      </c>
      <c r="AI13" s="411">
        <v>7</v>
      </c>
      <c r="AJ13" s="417">
        <v>6</v>
      </c>
      <c r="AK13" s="417">
        <v>8</v>
      </c>
      <c r="AL13" s="417" t="s">
        <v>254</v>
      </c>
      <c r="AM13" s="534">
        <f t="shared" si="6"/>
        <v>0</v>
      </c>
      <c r="AN13" s="411">
        <v>8</v>
      </c>
      <c r="AO13" s="417"/>
      <c r="AP13" s="417"/>
      <c r="AQ13" s="417" t="s">
        <v>255</v>
      </c>
      <c r="AR13" s="534">
        <f t="shared" si="7"/>
        <v>7.5</v>
      </c>
      <c r="AS13" s="411">
        <v>2</v>
      </c>
      <c r="AT13" s="417">
        <v>10</v>
      </c>
      <c r="AU13" s="417">
        <v>1</v>
      </c>
      <c r="AV13" s="417"/>
      <c r="AW13" s="534">
        <f t="shared" si="8"/>
        <v>4</v>
      </c>
      <c r="AX13" s="411">
        <v>10</v>
      </c>
      <c r="AY13" s="417">
        <v>1</v>
      </c>
      <c r="AZ13" s="417">
        <v>2</v>
      </c>
      <c r="BA13" s="417"/>
      <c r="BB13" s="534">
        <f t="shared" si="9"/>
        <v>1</v>
      </c>
      <c r="BC13" s="411">
        <v>7</v>
      </c>
      <c r="BD13" s="417">
        <v>6</v>
      </c>
      <c r="BE13" s="417">
        <v>4</v>
      </c>
      <c r="BF13" s="417" t="s">
        <v>254</v>
      </c>
      <c r="BG13" s="534">
        <f t="shared" si="10"/>
        <v>6</v>
      </c>
      <c r="BH13" s="411">
        <v>1</v>
      </c>
      <c r="BI13" s="417">
        <v>6</v>
      </c>
      <c r="BJ13" s="417">
        <v>2</v>
      </c>
      <c r="BK13" s="417"/>
      <c r="BL13" s="534">
        <f t="shared" si="11"/>
        <v>2</v>
      </c>
      <c r="BM13" s="411">
        <v>4</v>
      </c>
      <c r="BN13" s="417">
        <v>1</v>
      </c>
      <c r="BO13" s="417">
        <v>9</v>
      </c>
      <c r="BP13" s="417"/>
      <c r="BQ13" s="534">
        <f t="shared" si="12"/>
        <v>0</v>
      </c>
      <c r="BR13" s="411">
        <v>11</v>
      </c>
      <c r="BS13" s="417">
        <v>9</v>
      </c>
      <c r="BT13" s="417">
        <v>2</v>
      </c>
      <c r="BU13" s="417"/>
      <c r="BV13" s="534">
        <f t="shared" si="13"/>
        <v>0</v>
      </c>
      <c r="BW13" s="411"/>
      <c r="BX13" s="417"/>
      <c r="BY13" s="417"/>
      <c r="BZ13" s="417"/>
      <c r="CA13" s="534">
        <f t="shared" si="14"/>
        <v>0</v>
      </c>
      <c r="CB13" s="411"/>
      <c r="CC13" s="417"/>
      <c r="CD13" s="417"/>
      <c r="CE13" s="417"/>
      <c r="CF13" s="534">
        <f t="shared" si="15"/>
        <v>0</v>
      </c>
      <c r="CG13" s="162">
        <f>IF(SEMANA2[[#This Row],[1]]="",0,$B$4)</f>
        <v>14</v>
      </c>
      <c r="CH13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6</v>
      </c>
      <c r="CI13" s="164">
        <f>IF(SEMANA2[[#This Row],[Columna14]]=0,0,(CH13/CG13))</f>
        <v>0.42857142857142855</v>
      </c>
      <c r="CJ13" s="163">
        <f>IF(SEMANA2[[#This Row],[1]]="",0,$B$4)</f>
        <v>14</v>
      </c>
      <c r="CK13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7</v>
      </c>
      <c r="CL13" s="164">
        <f>IF(SEMANA2[[#This Row],[Columna14]]=0,0,(CK13/CJ13))</f>
        <v>0.5</v>
      </c>
      <c r="CM13" s="162">
        <f>IF(SEMANA2[[#This Row],[1]]="",0,$B$4)</f>
        <v>14</v>
      </c>
      <c r="CN13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9</v>
      </c>
      <c r="CO13" s="164">
        <f>IF(SEMANA2[[#This Row],[Columna14]]=0,0,(CN13/CM13))</f>
        <v>0.6428571428571429</v>
      </c>
      <c r="CP13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13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Row],[Columna25]],$AX$5,BA13,"SF")+COUNTIFS(SEMANA2[[#This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13" s="164">
        <f>IFERROR(IF(SEMANA2[[#This Row],[Columna14]]=0,0,(CQ13/CP13)),0)</f>
        <v>0.66666666666666663</v>
      </c>
      <c r="CS13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34.5</v>
      </c>
      <c r="CT13" s="93">
        <f>_xlfn.XLOOKUP(SEMANA2[[#This Row],[COD]],BASE01[COD],BASE01[Columna33])</f>
        <v>27</v>
      </c>
      <c r="CU13" s="536">
        <f t="shared" si="16"/>
        <v>61.5</v>
      </c>
      <c r="CV13" s="445">
        <f>IF(SEMANA2[[#This Row],[TIPO]]="PREMIO",$O$3,"0,00")</f>
        <v>1000</v>
      </c>
      <c r="CW13" s="515"/>
      <c r="CY13" s="388">
        <v>6</v>
      </c>
      <c r="CZ13" s="349">
        <f>AE$6</f>
        <v>798.32</v>
      </c>
      <c r="DB13" s="537" t="str">
        <f>SEMANA2[[#This Row],[COD]]</f>
        <v>COD 06</v>
      </c>
      <c r="DC13" s="390" t="str">
        <f t="array" ref="DC13">IFERROR(IF(AND(INDEX($E$8:$CE$57, MATCH($C13, $C$8:$C$57, 0), (COLUMNS($DC13:DC13)-1)*5 + 1) = INDEX($E$5:$CE$5, 1, (COLUMNS($DC13:DC13)-1)*5 + 1), INDEX($E$8:$CE$57, MATCH($C13, $C$8:$C$57, 0), (COLUMNS($DC13:DC13)-1)*5 + 4) = "F"), INDEX($CZ$8:$CZ$23, COLUMNS($DC13:DC13)), "0"), "")</f>
        <v>0</v>
      </c>
      <c r="DD13" s="390" t="str">
        <f t="array" ref="DD13">IFERROR(IF(AND(INDEX($E$8:$CE$57, MATCH($C13, $C$8:$C$57, 0), (COLUMNS($DC13:DD13)-1)*5 + 1) = INDEX($E$5:$CE$5, 1, (COLUMNS($DC13:DD13)-1)*5 + 1), INDEX($E$8:$CE$57, MATCH($C13, $C$8:$C$57, 0), (COLUMNS($DC13:DD13)-1)*5 + 4) = "F"), INDEX($CZ$8:$CZ$23, COLUMNS($DC13:DD13)), "0"), "")</f>
        <v>0</v>
      </c>
      <c r="DE13" s="390" t="str">
        <f t="array" ref="DE13">IFERROR(IF(AND(INDEX($E$8:$CE$57, MATCH($C13, $C$8:$C$57, 0), (COLUMNS($DC13:DE13)-1)*5 + 1) = INDEX($E$5:$CE$5, 1, (COLUMNS($DC13:DE13)-1)*5 + 1), INDEX($E$8:$CE$57, MATCH($C13, $C$8:$C$57, 0), (COLUMNS($DC13:DE13)-1)*5 + 4) = "F"), INDEX($CZ$8:$CZ$23, COLUMNS($DC13:DE13)), "0"), "")</f>
        <v>0</v>
      </c>
      <c r="DF13" s="390" t="str">
        <f t="array" ref="DF13">IFERROR(IF(AND(INDEX($E$8:$CE$57, MATCH($C13, $C$8:$C$57, 0), (COLUMNS($DC13:DF13)-1)*5 + 1) = INDEX($E$5:$CE$5, 1, (COLUMNS($DC13:DF13)-1)*5 + 1), INDEX($E$8:$CE$57, MATCH($C13, $C$8:$C$57, 0), (COLUMNS($DC13:DF13)-1)*5 + 4) = "F"), INDEX($CZ$8:$CZ$23, COLUMNS($DC13:DF13)), "0"), "")</f>
        <v>0</v>
      </c>
      <c r="DG13" s="390" t="str">
        <f t="array" ref="DG13">IFERROR(IF(AND(INDEX($E$8:$CE$57, MATCH($C13, $C$8:$C$57, 0), (COLUMNS($DC13:DG13)-1)*5 + 1) = INDEX($E$5:$CE$5, 1, (COLUMNS($DC13:DG13)-1)*5 + 1), INDEX($E$8:$CE$57, MATCH($C13, $C$8:$C$57, 0), (COLUMNS($DC13:DG13)-1)*5 + 4) = "F"), INDEX($CZ$8:$CZ$23, COLUMNS($DC13:DG13)), "0"), "")</f>
        <v>0</v>
      </c>
      <c r="DH13" s="390" t="str">
        <f t="array" ref="DH13">IFERROR(IF(AND(INDEX($E$8:$CE$57, MATCH($C13, $C$8:$C$57, 0), (COLUMNS($DC13:DH13)-1)*5 + 1) = INDEX($E$5:$CE$5, 1, (COLUMNS($DC13:DH13)-1)*5 + 1), INDEX($E$8:$CE$57, MATCH($C13, $C$8:$C$57, 0), (COLUMNS($DC13:DH13)-1)*5 + 4) = "F"), INDEX($CZ$8:$CZ$23, COLUMNS($DC13:DH13)), "0"), "")</f>
        <v>0</v>
      </c>
      <c r="DI13" s="390" t="str">
        <f t="array" ref="DI13">IFERROR(IF(AND(INDEX($E$8:$CE$57, MATCH($C13, $C$8:$C$57, 0), (COLUMNS($DC13:DI13)-1)*5 + 1) = INDEX($E$5:$CE$5, 1, (COLUMNS($DC13:DI13)-1)*5 + 1), INDEX($E$8:$CE$57, MATCH($C13, $C$8:$C$57, 0), (COLUMNS($DC13:DI13)-1)*5 + 4) = "F"), INDEX($CZ$8:$CZ$23, COLUMNS($DC13:DI13)), "0"), "")</f>
        <v>0</v>
      </c>
      <c r="DJ13" s="390" t="str">
        <f t="array" ref="DJ13">IFERROR(IF(AND(INDEX($E$8:$CE$57, MATCH($C13, $C$8:$C$57, 0), (COLUMNS($DC13:DJ13)-1)*5 + 1) = INDEX($E$5:$CE$5, 1, (COLUMNS($DC13:DJ13)-1)*5 + 1), INDEX($E$8:$CE$57, MATCH($C13, $C$8:$C$57, 0), (COLUMNS($DC13:DJ13)-1)*5 + 4) = "F"), INDEX($CZ$8:$CZ$23, COLUMNS($DC13:DJ13)), "0"), "")</f>
        <v>0</v>
      </c>
      <c r="DK13" s="390" t="str">
        <f t="array" ref="DK13">IFERROR(IF(AND(INDEX($E$8:$CE$57, MATCH($C13, $C$8:$C$57, 0), (COLUMNS($DC13:DK13)-1)*5 + 1) = INDEX($E$5:$CE$5, 1, (COLUMNS($DC13:DK13)-1)*5 + 1), INDEX($E$8:$CE$57, MATCH($C13, $C$8:$C$57, 0), (COLUMNS($DC13:DK13)-1)*5 + 4) = "F"), INDEX($CZ$8:$CZ$23, COLUMNS($DC13:DK13)), "0"), "")</f>
        <v>0</v>
      </c>
      <c r="DL13" s="390" t="str">
        <f t="array" ref="DL13">IFERROR(IF(AND(INDEX($E$8:$CE$57, MATCH($C13, $C$8:$C$57, 0), (COLUMNS($DC13:DL13)-1)*5 + 1) = INDEX($E$5:$CE$5, 1, (COLUMNS($DC13:DL13)-1)*5 + 1), INDEX($E$8:$CE$57, MATCH($C13, $C$8:$C$57, 0), (COLUMNS($DC13:DL13)-1)*5 + 4) = "F"), INDEX($CZ$8:$CZ$23, COLUMNS($DC13:DL13)), "0"), "")</f>
        <v>0</v>
      </c>
      <c r="DM13" s="390">
        <f t="array" ref="DM13">IFERROR(IF(AND(INDEX($E$8:$CE$57, MATCH($C13, $C$8:$C$57, 0), (COLUMNS($DC13:DM13)-1)*5 + 1) = INDEX($E$5:$CE$5, 1, (COLUMNS($DC13:DM13)-1)*5 + 1), INDEX($E$8:$CE$57, MATCH($C13, $C$8:$C$57, 0), (COLUMNS($DC13:DM13)-1)*5 + 4) = "F"), INDEX($CZ$8:$CZ$23, COLUMNS($DC13:DM13)), "0"), "")</f>
        <v>156.87</v>
      </c>
      <c r="DN13" s="390" t="str">
        <f t="array" ref="DN13">IFERROR(IF(AND(INDEX($E$8:$CE$57, MATCH($C13, $C$8:$C$57, 0), (COLUMNS($DC13:DN13)-1)*5 + 1) = INDEX($E$5:$CE$5, 1, (COLUMNS($DC13:DN13)-1)*5 + 1), INDEX($E$8:$CE$57, MATCH($C13, $C$8:$C$57, 0), (COLUMNS($DC13:DN13)-1)*5 + 4) = "F"), INDEX($CZ$8:$CZ$23, COLUMNS($DC13:DN13)), "0"), "")</f>
        <v>0</v>
      </c>
      <c r="DO13" s="390" t="str">
        <f t="array" ref="DO13">IFERROR(IF(AND(INDEX($E$8:$CE$57, MATCH($C13, $C$8:$C$57, 0), (COLUMNS($DC13:DO13)-1)*5 + 1) = INDEX($E$5:$CE$5, 1, (COLUMNS($DC13:DO13)-1)*5 + 1), INDEX($E$8:$CE$57, MATCH($C13, $C$8:$C$57, 0), (COLUMNS($DC13:DO13)-1)*5 + 4) = "F"), INDEX($CZ$8:$CZ$23, COLUMNS($DC13:DO13)), "0"), "")</f>
        <v>0</v>
      </c>
      <c r="DP13" s="390" t="str">
        <f t="array" ref="DP13">IFERROR(IF(AND(INDEX($E$8:$CE$57, MATCH($C13, $C$8:$C$57, 0), (COLUMNS($DC13:DP13)-1)*5 + 1) = INDEX($E$5:$CE$5, 1, (COLUMNS($DC13:DP13)-1)*5 + 1), INDEX($E$8:$CE$57, MATCH($C13, $C$8:$C$57, 0), (COLUMNS($DC13:DP13)-1)*5 + 4) = "F"), INDEX($CZ$8:$CZ$23, COLUMNS($DC13:DP13)), "0"), "")</f>
        <v>0</v>
      </c>
      <c r="DQ13" s="390" t="str">
        <f t="array" ref="DQ13">IFERROR(IF(AND(INDEX($E$8:$CE$57, MATCH($C13, $C$8:$C$57, 0), (COLUMNS($DC13:DQ13)-1)*5 + 1) = INDEX($E$5:$CE$5, 1, (COLUMNS($DC13:DQ13)-1)*5 + 1), INDEX($E$8:$CE$57, MATCH($C13, $C$8:$C$57, 0), (COLUMNS($DC13:DQ13)-1)*5 + 4) = "F"), INDEX($CZ$8:$CZ$23, COLUMNS($DC13:DQ13)), "0"), "")</f>
        <v>0</v>
      </c>
      <c r="DR13" s="390" t="str">
        <f t="array" ref="DR13">IFERROR(IF(AND(INDEX($E$8:$CE$57, MATCH($C13, $C$8:$C$57, 0), (COLUMNS($DC13:DR13)-1)*5 + 1) = INDEX($E$5:$CE$5, 1, (COLUMNS($DC13:DR13)-1)*5 + 1), INDEX($E$8:$CE$57, MATCH($C13, $C$8:$C$57, 0), (COLUMNS($DC13:DR13)-1)*5 + 4) = "F"), INDEX($CZ$8:$CZ$23, COLUMNS($DC13:DR13)), "0"), "")</f>
        <v>0</v>
      </c>
      <c r="DT13" s="537" t="str">
        <f>SEMANA2[[#This Row],[COD]]</f>
        <v>COD 06</v>
      </c>
      <c r="DU13" s="390" t="str">
        <f t="array" ref="DU13">IFERROR(IF(AND(INDEX($E$8:$CE$57, MATCH($C13, $C$8:$C$57, 0), (COLUMNS($DU13:DU13)-1)*5 + 1) = INDEX($E$5:$CE$5, 1, (COLUMNS($DU13:DU13)-1)*5 + 1), INDEX($E$8:$CE$57, MATCH($C13, $C$8:$C$57, 0), (COLUMNS($DU13:DU13)-1)*5 + 4) = "SF"), INDEX($CZ$8:$CZ$23, COLUMNS($DU13:DU13)), "0"), "")</f>
        <v>0</v>
      </c>
      <c r="DV13" s="390" t="str">
        <f t="array" ref="DV13">IFERROR(IF(AND(INDEX($E$8:$CE$57, MATCH($C13, $C$8:$C$57, 0), (COLUMNS($DU13:DV13)-1)*5 + 1) = INDEX($E$5:$CE$5, 1, (COLUMNS($DU13:DV13)-1)*5 + 1), INDEX($E$8:$CE$57, MATCH($C13, $C$8:$C$57, 0), (COLUMNS($DU13:DV13)-1)*5 + 4) = "SF"), INDEX($CZ$8:$CZ$23, COLUMNS($DU13:DV13)), "0"), "")</f>
        <v>0</v>
      </c>
      <c r="DW13" s="390" t="str">
        <f t="array" ref="DW13">IFERROR(IF(AND(INDEX($E$8:$CE$57, MATCH($C13, $C$8:$C$57, 0), (COLUMNS($DU13:DW13)-1)*5 + 1) = INDEX($E$5:$CE$5, 1, (COLUMNS($DU13:DW13)-1)*5 + 1), INDEX($E$8:$CE$57, MATCH($C13, $C$8:$C$57, 0), (COLUMNS($DU13:DW13)-1)*5 + 4) = "SF"), INDEX($CZ$8:$CZ$23, COLUMNS($DU13:DW13)), "0"), "")</f>
        <v>0</v>
      </c>
      <c r="DX13" s="390" t="str">
        <f t="array" ref="DX13">IFERROR(IF(AND(INDEX($E$8:$CE$57, MATCH($C13, $C$8:$C$57, 0), (COLUMNS($DU13:DX13)-1)*5 + 1) = INDEX($E$5:$CE$5, 1, (COLUMNS($DU13:DX13)-1)*5 + 1), INDEX($E$8:$CE$57, MATCH($C13, $C$8:$C$57, 0), (COLUMNS($DU13:DX13)-1)*5 + 4) = "SF"), INDEX($CZ$8:$CZ$23, COLUMNS($DU13:DX13)), "0"), "")</f>
        <v>0</v>
      </c>
      <c r="DY13" s="390" t="str">
        <f t="array" ref="DY13">IFERROR(IF(AND(INDEX($E$8:$CE$57, MATCH($C13, $C$8:$C$57, 0), (COLUMNS($DU13:DY13)-1)*5 + 1) = INDEX($E$5:$CE$5, 1, (COLUMNS($DU13:DY13)-1)*5 + 1), INDEX($E$8:$CE$57, MATCH($C13, $C$8:$C$57, 0), (COLUMNS($DU13:DY13)-1)*5 + 4) = "SF"), INDEX($CZ$8:$CZ$23, COLUMNS($DU13:DY13)), "0"), "")</f>
        <v>0</v>
      </c>
      <c r="DZ13" s="390" t="str">
        <f t="array" ref="DZ13">IFERROR(IF(AND(INDEX($E$8:$CE$57, MATCH($C13, $C$8:$C$57, 0), (COLUMNS($DU13:DZ13)-1)*5 + 1) = INDEX($E$5:$CE$5, 1, (COLUMNS($DU13:DZ13)-1)*5 + 1), INDEX($E$8:$CE$57, MATCH($C13, $C$8:$C$57, 0), (COLUMNS($DU13:DZ13)-1)*5 + 4) = "SF"), INDEX($CZ$8:$CZ$23, COLUMNS($DU13:DZ13)), "0"), "")</f>
        <v>0</v>
      </c>
      <c r="EA13" s="390" t="str">
        <f t="array" ref="EA13">IFERROR(IF(AND(INDEX($E$8:$CE$57, MATCH($C13, $C$8:$C$57, 0), (COLUMNS($DU13:EA13)-1)*5 + 1) = INDEX($E$5:$CE$5, 1, (COLUMNS($DU13:EA13)-1)*5 + 1), INDEX($E$8:$CE$57, MATCH($C13, $C$8:$C$57, 0), (COLUMNS($DU13:EA13)-1)*5 + 4) = "SF"), INDEX($CZ$8:$CZ$23, COLUMNS($DU13:EA13)), "0"), "")</f>
        <v>0</v>
      </c>
      <c r="EB13" s="390">
        <f t="array" ref="EB13">IFERROR(IF(AND(INDEX($E$8:$CE$57, MATCH($C13, $C$8:$C$57, 0), (COLUMNS($DU13:EB13)-1)*5 + 1) = INDEX($E$5:$CE$5, 1, (COLUMNS($DU13:EB13)-1)*5 + 1), INDEX($E$8:$CE$57, MATCH($C13, $C$8:$C$57, 0), (COLUMNS($DU13:EB13)-1)*5 + 4) = "SF"), INDEX($CZ$8:$CZ$23, COLUMNS($DU13:EB13)), "0"), "")</f>
        <v>128.36000000000001</v>
      </c>
      <c r="EC13" s="390" t="str">
        <f t="array" ref="EC13">IFERROR(IF(AND(INDEX($E$8:$CE$57, MATCH($C13, $C$8:$C$57, 0), (COLUMNS($DU13:EC13)-1)*5 + 1) = INDEX($E$5:$CE$5, 1, (COLUMNS($DU13:EC13)-1)*5 + 1), INDEX($E$8:$CE$57, MATCH($C13, $C$8:$C$57, 0), (COLUMNS($DU13:EC13)-1)*5 + 4) = "SF"), INDEX($CZ$8:$CZ$23, COLUMNS($DU13:EC13)), "0"), "")</f>
        <v>0</v>
      </c>
      <c r="ED13" s="390" t="str">
        <f t="array" ref="ED13">IFERROR(IF(AND(INDEX($E$8:$CE$57, MATCH($C13, $C$8:$C$57, 0), (COLUMNS($DU13:ED13)-1)*5 + 1) = INDEX($E$5:$CE$5, 1, (COLUMNS($DU13:ED13)-1)*5 + 1), INDEX($E$8:$CE$57, MATCH($C13, $C$8:$C$57, 0), (COLUMNS($DU13:ED13)-1)*5 + 4) = "SF"), INDEX($CZ$8:$CZ$23, COLUMNS($DU13:ED13)), "0"), "")</f>
        <v>0</v>
      </c>
      <c r="EE13" s="390" t="str">
        <f t="array" ref="EE13">IFERROR(IF(AND(INDEX($E$8:$CE$57, MATCH($C13, $C$8:$C$57, 0), (COLUMNS($DU13:EE13)-1)*5 + 1) = INDEX($E$5:$CE$5, 1, (COLUMNS($DU13:EE13)-1)*5 + 1), INDEX($E$8:$CE$57, MATCH($C13, $C$8:$C$57, 0), (COLUMNS($DU13:EE13)-1)*5 + 4) = "SF"), INDEX($CZ$8:$CZ$23, COLUMNS($DU13:EE13)), "0"), "")</f>
        <v>0</v>
      </c>
      <c r="EF13" s="390" t="str">
        <f t="array" ref="EF13">IFERROR(IF(AND(INDEX($E$8:$CE$57, MATCH($C13, $C$8:$C$57, 0), (COLUMNS($DU13:EF13)-1)*5 + 1) = INDEX($E$5:$CE$5, 1, (COLUMNS($DU13:EF13)-1)*5 + 1), INDEX($E$8:$CE$57, MATCH($C13, $C$8:$C$57, 0), (COLUMNS($DU13:EF13)-1)*5 + 4) = "SF"), INDEX($CZ$8:$CZ$23, COLUMNS($DU13:EF13)), "0"), "")</f>
        <v>0</v>
      </c>
      <c r="EG13" s="390" t="str">
        <f t="array" ref="EG13">IFERROR(IF(AND(INDEX($E$8:$CE$57, MATCH($C13, $C$8:$C$57, 0), (COLUMNS($DU13:EG13)-1)*5 + 1) = INDEX($E$5:$CE$5, 1, (COLUMNS($DU13:EG13)-1)*5 + 1), INDEX($E$8:$CE$57, MATCH($C13, $C$8:$C$57, 0), (COLUMNS($DU13:EG13)-1)*5 + 4) = "SF"), INDEX($CZ$8:$CZ$23, COLUMNS($DU13:EG13)), "0"), "")</f>
        <v>0</v>
      </c>
      <c r="EH13" s="390" t="str">
        <f t="array" ref="EH13">IFERROR(IF(AND(INDEX($E$8:$CE$57, MATCH($C13, $C$8:$C$57, 0), (COLUMNS($DU13:EH13)-1)*5 + 1) = INDEX($E$5:$CE$5, 1, (COLUMNS($DU13:EH13)-1)*5 + 1), INDEX($E$8:$CE$57, MATCH($C13, $C$8:$C$57, 0), (COLUMNS($DU13:EH13)-1)*5 + 4) = "SF"), INDEX($CZ$8:$CZ$23, COLUMNS($DU13:EH13)), "0"), "")</f>
        <v>0</v>
      </c>
      <c r="EI13" s="390" t="str">
        <f t="array" ref="EI13">IFERROR(IF(AND(INDEX($E$8:$CE$57, MATCH($C13, $C$8:$C$57, 0), (COLUMNS($DU13:EI13)-1)*5 + 1) = INDEX($E$5:$CE$5, 1, (COLUMNS($DU13:EI13)-1)*5 + 1), INDEX($E$8:$CE$57, MATCH($C13, $C$8:$C$57, 0), (COLUMNS($DU13:EI13)-1)*5 + 4) = "SF"), INDEX($CZ$8:$CZ$23, COLUMNS($DU13:EI13)), "0"), "")</f>
        <v>0</v>
      </c>
      <c r="EJ13" s="390" t="str">
        <f t="array" ref="EJ13">IFERROR(IF(AND(INDEX($E$8:$CE$57, MATCH($C13, $C$8:$C$57, 0), (COLUMNS($DU13:EJ13)-1)*5 + 1) = INDEX($E$5:$CE$5, 1, (COLUMNS($DU13:EJ13)-1)*5 + 1), INDEX($E$8:$CE$57, MATCH($C13, $C$8:$C$57, 0), (COLUMNS($DU13:EJ13)-1)*5 + 4) = "SF"), INDEX($CZ$8:$CZ$23, COLUMNS($DU13:EJ13)), "0"), "")</f>
        <v>0</v>
      </c>
    </row>
    <row r="14" spans="1:140" ht="20.100000000000001" customHeight="1" x14ac:dyDescent="0.35">
      <c r="A14" s="515"/>
      <c r="B14" s="444">
        <f>IF(SEMANA2[[#This Row],[COD]]&lt;&gt;"",B13+1,"")</f>
        <v>7</v>
      </c>
      <c r="C14" s="554" t="s">
        <v>45</v>
      </c>
      <c r="D14" s="410" t="str">
        <f t="array" ref="D14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14" s="411">
        <v>6</v>
      </c>
      <c r="F14" s="413">
        <v>9</v>
      </c>
      <c r="G14" s="413">
        <v>2</v>
      </c>
      <c r="H14" s="413"/>
      <c r="I14" s="534">
        <f t="shared" si="0"/>
        <v>4</v>
      </c>
      <c r="J14" s="411">
        <v>1</v>
      </c>
      <c r="K14" s="413">
        <v>6</v>
      </c>
      <c r="L14" s="413">
        <v>7</v>
      </c>
      <c r="M14" s="413"/>
      <c r="N14" s="534">
        <f t="shared" si="1"/>
        <v>1</v>
      </c>
      <c r="O14" s="411">
        <v>5</v>
      </c>
      <c r="P14" s="413">
        <v>8</v>
      </c>
      <c r="Q14" s="413">
        <v>1</v>
      </c>
      <c r="R14" s="413"/>
      <c r="S14" s="534">
        <f t="shared" si="2"/>
        <v>1</v>
      </c>
      <c r="T14" s="411">
        <v>3</v>
      </c>
      <c r="U14" s="413">
        <v>5</v>
      </c>
      <c r="V14" s="413">
        <v>4</v>
      </c>
      <c r="W14" s="413"/>
      <c r="X14" s="534">
        <f t="shared" si="3"/>
        <v>0</v>
      </c>
      <c r="Y14" s="411">
        <v>1</v>
      </c>
      <c r="Z14" s="413">
        <v>2</v>
      </c>
      <c r="AA14" s="413">
        <v>5</v>
      </c>
      <c r="AB14" s="413"/>
      <c r="AC14" s="534">
        <f t="shared" si="4"/>
        <v>2</v>
      </c>
      <c r="AD14" s="411">
        <v>5</v>
      </c>
      <c r="AE14" s="413">
        <v>4</v>
      </c>
      <c r="AF14" s="413">
        <v>10</v>
      </c>
      <c r="AG14" s="413"/>
      <c r="AH14" s="534">
        <f t="shared" si="5"/>
        <v>0</v>
      </c>
      <c r="AI14" s="411">
        <v>7</v>
      </c>
      <c r="AJ14" s="413">
        <v>6</v>
      </c>
      <c r="AK14" s="413">
        <v>9</v>
      </c>
      <c r="AL14" s="413" t="s">
        <v>254</v>
      </c>
      <c r="AM14" s="534">
        <f t="shared" si="6"/>
        <v>4</v>
      </c>
      <c r="AN14" s="411">
        <v>8</v>
      </c>
      <c r="AO14" s="413"/>
      <c r="AP14" s="413"/>
      <c r="AQ14" s="413" t="s">
        <v>255</v>
      </c>
      <c r="AR14" s="534">
        <f t="shared" si="7"/>
        <v>7.5</v>
      </c>
      <c r="AS14" s="411">
        <v>2</v>
      </c>
      <c r="AT14" s="413">
        <v>8</v>
      </c>
      <c r="AU14" s="413">
        <v>10</v>
      </c>
      <c r="AV14" s="413"/>
      <c r="AW14" s="534">
        <f t="shared" si="8"/>
        <v>4</v>
      </c>
      <c r="AX14" s="411">
        <v>10</v>
      </c>
      <c r="AY14" s="413">
        <v>1</v>
      </c>
      <c r="AZ14" s="413">
        <v>2</v>
      </c>
      <c r="BA14" s="413"/>
      <c r="BB14" s="534">
        <f t="shared" si="9"/>
        <v>1</v>
      </c>
      <c r="BC14" s="411">
        <v>7</v>
      </c>
      <c r="BD14" s="413">
        <v>5</v>
      </c>
      <c r="BE14" s="413">
        <v>3</v>
      </c>
      <c r="BF14" s="413" t="s">
        <v>254</v>
      </c>
      <c r="BG14" s="534">
        <f t="shared" si="10"/>
        <v>5</v>
      </c>
      <c r="BH14" s="411">
        <v>6</v>
      </c>
      <c r="BI14" s="413">
        <v>2</v>
      </c>
      <c r="BJ14" s="413">
        <v>1</v>
      </c>
      <c r="BK14" s="413"/>
      <c r="BL14" s="534">
        <f t="shared" si="11"/>
        <v>4</v>
      </c>
      <c r="BM14" s="411">
        <v>4</v>
      </c>
      <c r="BN14" s="413">
        <v>1</v>
      </c>
      <c r="BO14" s="413">
        <v>3</v>
      </c>
      <c r="BP14" s="413"/>
      <c r="BQ14" s="534">
        <f t="shared" si="12"/>
        <v>0</v>
      </c>
      <c r="BR14" s="411">
        <v>2</v>
      </c>
      <c r="BS14" s="413">
        <v>9</v>
      </c>
      <c r="BT14" s="413">
        <v>11</v>
      </c>
      <c r="BU14" s="413"/>
      <c r="BV14" s="534">
        <f t="shared" si="13"/>
        <v>0</v>
      </c>
      <c r="BW14" s="411"/>
      <c r="BX14" s="413"/>
      <c r="BY14" s="413"/>
      <c r="BZ14" s="413"/>
      <c r="CA14" s="534">
        <f t="shared" si="14"/>
        <v>0</v>
      </c>
      <c r="CB14" s="411"/>
      <c r="CC14" s="413"/>
      <c r="CD14" s="413"/>
      <c r="CE14" s="413"/>
      <c r="CF14" s="534">
        <f t="shared" si="15"/>
        <v>0</v>
      </c>
      <c r="CG14" s="162">
        <f>IF(SEMANA2[[#This Row],[1]]="",0,$B$4)</f>
        <v>14</v>
      </c>
      <c r="CH14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5</v>
      </c>
      <c r="CI14" s="164">
        <f>IF(SEMANA2[[#This Row],[Columna14]]=0,0,(CH14/CG14))</f>
        <v>0.35714285714285715</v>
      </c>
      <c r="CJ14" s="163">
        <f>IF(SEMANA2[[#This Row],[1]]="",0,$B$4)</f>
        <v>14</v>
      </c>
      <c r="CK14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14" s="164">
        <f>IF(SEMANA2[[#This Row],[Columna14]]=0,0,(CK14/CJ14))</f>
        <v>0.42857142857142855</v>
      </c>
      <c r="CM14" s="162">
        <f>IF(SEMANA2[[#This Row],[1]]="",0,$B$4)</f>
        <v>14</v>
      </c>
      <c r="CN14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10</v>
      </c>
      <c r="CO14" s="164">
        <f>IF(SEMANA2[[#This Row],[Columna14]]=0,0,(CN14/CM14))</f>
        <v>0.7142857142857143</v>
      </c>
      <c r="CP14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14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Row],[Columna25]],$AX$5,BA14,"SF")+COUNTIFS(SEMANA2[[#This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14" s="164">
        <f>IFERROR(IF(SEMANA2[[#This Row],[Columna14]]=0,0,(CQ14/CP14)),0)</f>
        <v>0.66666666666666663</v>
      </c>
      <c r="CS14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33.5</v>
      </c>
      <c r="CT14" s="93">
        <f>_xlfn.XLOOKUP(SEMANA2[[#This Row],[COD]],BASE01[COD],BASE01[Columna33])</f>
        <v>26</v>
      </c>
      <c r="CU14" s="536">
        <f t="shared" si="16"/>
        <v>59.5</v>
      </c>
      <c r="CV14" s="445">
        <f>IF(SEMANA2[[#This Row],[TIPO]]="PREMIO",$O$3,"0,00")</f>
        <v>1000</v>
      </c>
      <c r="CW14" s="515"/>
      <c r="CY14" s="388">
        <v>7</v>
      </c>
      <c r="CZ14" s="349">
        <f>AJ$6</f>
        <v>1046.8399999999999</v>
      </c>
      <c r="DB14" s="537" t="str">
        <f>SEMANA2[[#This Row],[COD]]</f>
        <v>COD 07</v>
      </c>
      <c r="DC14" s="390" t="str">
        <f t="array" ref="DC14">IFERROR(IF(AND(INDEX($E$8:$CE$57, MATCH($C14, $C$8:$C$57, 0), (COLUMNS($DC14:DC14)-1)*5 + 1) = INDEX($E$5:$CE$5, 1, (COLUMNS($DC14:DC14)-1)*5 + 1), INDEX($E$8:$CE$57, MATCH($C14, $C$8:$C$57, 0), (COLUMNS($DC14:DC14)-1)*5 + 4) = "F"), INDEX($CZ$8:$CZ$23, COLUMNS($DC14:DC14)), "0"), "")</f>
        <v>0</v>
      </c>
      <c r="DD14" s="390" t="str">
        <f t="array" ref="DD14">IFERROR(IF(AND(INDEX($E$8:$CE$57, MATCH($C14, $C$8:$C$57, 0), (COLUMNS($DC14:DD14)-1)*5 + 1) = INDEX($E$5:$CE$5, 1, (COLUMNS($DC14:DD14)-1)*5 + 1), INDEX($E$8:$CE$57, MATCH($C14, $C$8:$C$57, 0), (COLUMNS($DC14:DD14)-1)*5 + 4) = "F"), INDEX($CZ$8:$CZ$23, COLUMNS($DC14:DD14)), "0"), "")</f>
        <v>0</v>
      </c>
      <c r="DE14" s="390" t="str">
        <f t="array" ref="DE14">IFERROR(IF(AND(INDEX($E$8:$CE$57, MATCH($C14, $C$8:$C$57, 0), (COLUMNS($DC14:DE14)-1)*5 + 1) = INDEX($E$5:$CE$5, 1, (COLUMNS($DC14:DE14)-1)*5 + 1), INDEX($E$8:$CE$57, MATCH($C14, $C$8:$C$57, 0), (COLUMNS($DC14:DE14)-1)*5 + 4) = "F"), INDEX($CZ$8:$CZ$23, COLUMNS($DC14:DE14)), "0"), "")</f>
        <v>0</v>
      </c>
      <c r="DF14" s="390" t="str">
        <f t="array" ref="DF14">IFERROR(IF(AND(INDEX($E$8:$CE$57, MATCH($C14, $C$8:$C$57, 0), (COLUMNS($DC14:DF14)-1)*5 + 1) = INDEX($E$5:$CE$5, 1, (COLUMNS($DC14:DF14)-1)*5 + 1), INDEX($E$8:$CE$57, MATCH($C14, $C$8:$C$57, 0), (COLUMNS($DC14:DF14)-1)*5 + 4) = "F"), INDEX($CZ$8:$CZ$23, COLUMNS($DC14:DF14)), "0"), "")</f>
        <v>0</v>
      </c>
      <c r="DG14" s="390" t="str">
        <f t="array" ref="DG14">IFERROR(IF(AND(INDEX($E$8:$CE$57, MATCH($C14, $C$8:$C$57, 0), (COLUMNS($DC14:DG14)-1)*5 + 1) = INDEX($E$5:$CE$5, 1, (COLUMNS($DC14:DG14)-1)*5 + 1), INDEX($E$8:$CE$57, MATCH($C14, $C$8:$C$57, 0), (COLUMNS($DC14:DG14)-1)*5 + 4) = "F"), INDEX($CZ$8:$CZ$23, COLUMNS($DC14:DG14)), "0"), "")</f>
        <v>0</v>
      </c>
      <c r="DH14" s="390" t="str">
        <f t="array" ref="DH14">IFERROR(IF(AND(INDEX($E$8:$CE$57, MATCH($C14, $C$8:$C$57, 0), (COLUMNS($DC14:DH14)-1)*5 + 1) = INDEX($E$5:$CE$5, 1, (COLUMNS($DC14:DH14)-1)*5 + 1), INDEX($E$8:$CE$57, MATCH($C14, $C$8:$C$57, 0), (COLUMNS($DC14:DH14)-1)*5 + 4) = "F"), INDEX($CZ$8:$CZ$23, COLUMNS($DC14:DH14)), "0"), "")</f>
        <v>0</v>
      </c>
      <c r="DI14" s="390" t="str">
        <f t="array" ref="DI14">IFERROR(IF(AND(INDEX($E$8:$CE$57, MATCH($C14, $C$8:$C$57, 0), (COLUMNS($DC14:DI14)-1)*5 + 1) = INDEX($E$5:$CE$5, 1, (COLUMNS($DC14:DI14)-1)*5 + 1), INDEX($E$8:$CE$57, MATCH($C14, $C$8:$C$57, 0), (COLUMNS($DC14:DI14)-1)*5 + 4) = "F"), INDEX($CZ$8:$CZ$23, COLUMNS($DC14:DI14)), "0"), "")</f>
        <v>0</v>
      </c>
      <c r="DJ14" s="390" t="str">
        <f t="array" ref="DJ14">IFERROR(IF(AND(INDEX($E$8:$CE$57, MATCH($C14, $C$8:$C$57, 0), (COLUMNS($DC14:DJ14)-1)*5 + 1) = INDEX($E$5:$CE$5, 1, (COLUMNS($DC14:DJ14)-1)*5 + 1), INDEX($E$8:$CE$57, MATCH($C14, $C$8:$C$57, 0), (COLUMNS($DC14:DJ14)-1)*5 + 4) = "F"), INDEX($CZ$8:$CZ$23, COLUMNS($DC14:DJ14)), "0"), "")</f>
        <v>0</v>
      </c>
      <c r="DK14" s="390" t="str">
        <f t="array" ref="DK14">IFERROR(IF(AND(INDEX($E$8:$CE$57, MATCH($C14, $C$8:$C$57, 0), (COLUMNS($DC14:DK14)-1)*5 + 1) = INDEX($E$5:$CE$5, 1, (COLUMNS($DC14:DK14)-1)*5 + 1), INDEX($E$8:$CE$57, MATCH($C14, $C$8:$C$57, 0), (COLUMNS($DC14:DK14)-1)*5 + 4) = "F"), INDEX($CZ$8:$CZ$23, COLUMNS($DC14:DK14)), "0"), "")</f>
        <v>0</v>
      </c>
      <c r="DL14" s="390" t="str">
        <f t="array" ref="DL14">IFERROR(IF(AND(INDEX($E$8:$CE$57, MATCH($C14, $C$8:$C$57, 0), (COLUMNS($DC14:DL14)-1)*5 + 1) = INDEX($E$5:$CE$5, 1, (COLUMNS($DC14:DL14)-1)*5 + 1), INDEX($E$8:$CE$57, MATCH($C14, $C$8:$C$57, 0), (COLUMNS($DC14:DL14)-1)*5 + 4) = "F"), INDEX($CZ$8:$CZ$23, COLUMNS($DC14:DL14)), "0"), "")</f>
        <v>0</v>
      </c>
      <c r="DM14" s="390">
        <f t="array" ref="DM14">IFERROR(IF(AND(INDEX($E$8:$CE$57, MATCH($C14, $C$8:$C$57, 0), (COLUMNS($DC14:DM14)-1)*5 + 1) = INDEX($E$5:$CE$5, 1, (COLUMNS($DC14:DM14)-1)*5 + 1), INDEX($E$8:$CE$57, MATCH($C14, $C$8:$C$57, 0), (COLUMNS($DC14:DM14)-1)*5 + 4) = "F"), INDEX($CZ$8:$CZ$23, COLUMNS($DC14:DM14)), "0"), "")</f>
        <v>156.87</v>
      </c>
      <c r="DN14" s="390" t="str">
        <f t="array" ref="DN14">IFERROR(IF(AND(INDEX($E$8:$CE$57, MATCH($C14, $C$8:$C$57, 0), (COLUMNS($DC14:DN14)-1)*5 + 1) = INDEX($E$5:$CE$5, 1, (COLUMNS($DC14:DN14)-1)*5 + 1), INDEX($E$8:$CE$57, MATCH($C14, $C$8:$C$57, 0), (COLUMNS($DC14:DN14)-1)*5 + 4) = "F"), INDEX($CZ$8:$CZ$23, COLUMNS($DC14:DN14)), "0"), "")</f>
        <v>0</v>
      </c>
      <c r="DO14" s="390" t="str">
        <f t="array" ref="DO14">IFERROR(IF(AND(INDEX($E$8:$CE$57, MATCH($C14, $C$8:$C$57, 0), (COLUMNS($DC14:DO14)-1)*5 + 1) = INDEX($E$5:$CE$5, 1, (COLUMNS($DC14:DO14)-1)*5 + 1), INDEX($E$8:$CE$57, MATCH($C14, $C$8:$C$57, 0), (COLUMNS($DC14:DO14)-1)*5 + 4) = "F"), INDEX($CZ$8:$CZ$23, COLUMNS($DC14:DO14)), "0"), "")</f>
        <v>0</v>
      </c>
      <c r="DP14" s="390" t="str">
        <f t="array" ref="DP14">IFERROR(IF(AND(INDEX($E$8:$CE$57, MATCH($C14, $C$8:$C$57, 0), (COLUMNS($DC14:DP14)-1)*5 + 1) = INDEX($E$5:$CE$5, 1, (COLUMNS($DC14:DP14)-1)*5 + 1), INDEX($E$8:$CE$57, MATCH($C14, $C$8:$C$57, 0), (COLUMNS($DC14:DP14)-1)*5 + 4) = "F"), INDEX($CZ$8:$CZ$23, COLUMNS($DC14:DP14)), "0"), "")</f>
        <v>0</v>
      </c>
      <c r="DQ14" s="390" t="str">
        <f t="array" ref="DQ14">IFERROR(IF(AND(INDEX($E$8:$CE$57, MATCH($C14, $C$8:$C$57, 0), (COLUMNS($DC14:DQ14)-1)*5 + 1) = INDEX($E$5:$CE$5, 1, (COLUMNS($DC14:DQ14)-1)*5 + 1), INDEX($E$8:$CE$57, MATCH($C14, $C$8:$C$57, 0), (COLUMNS($DC14:DQ14)-1)*5 + 4) = "F"), INDEX($CZ$8:$CZ$23, COLUMNS($DC14:DQ14)), "0"), "")</f>
        <v>0</v>
      </c>
      <c r="DR14" s="390" t="str">
        <f t="array" ref="DR14">IFERROR(IF(AND(INDEX($E$8:$CE$57, MATCH($C14, $C$8:$C$57, 0), (COLUMNS($DC14:DR14)-1)*5 + 1) = INDEX($E$5:$CE$5, 1, (COLUMNS($DC14:DR14)-1)*5 + 1), INDEX($E$8:$CE$57, MATCH($C14, $C$8:$C$57, 0), (COLUMNS($DC14:DR14)-1)*5 + 4) = "F"), INDEX($CZ$8:$CZ$23, COLUMNS($DC14:DR14)), "0"), "")</f>
        <v>0</v>
      </c>
      <c r="DT14" s="537" t="str">
        <f>SEMANA2[[#This Row],[COD]]</f>
        <v>COD 07</v>
      </c>
      <c r="DU14" s="390" t="str">
        <f t="array" ref="DU14">IFERROR(IF(AND(INDEX($E$8:$CE$57, MATCH($C14, $C$8:$C$57, 0), (COLUMNS($DU14:DU14)-1)*5 + 1) = INDEX($E$5:$CE$5, 1, (COLUMNS($DU14:DU14)-1)*5 + 1), INDEX($E$8:$CE$57, MATCH($C14, $C$8:$C$57, 0), (COLUMNS($DU14:DU14)-1)*5 + 4) = "SF"), INDEX($CZ$8:$CZ$23, COLUMNS($DU14:DU14)), "0"), "")</f>
        <v>0</v>
      </c>
      <c r="DV14" s="390" t="str">
        <f t="array" ref="DV14">IFERROR(IF(AND(INDEX($E$8:$CE$57, MATCH($C14, $C$8:$C$57, 0), (COLUMNS($DU14:DV14)-1)*5 + 1) = INDEX($E$5:$CE$5, 1, (COLUMNS($DU14:DV14)-1)*5 + 1), INDEX($E$8:$CE$57, MATCH($C14, $C$8:$C$57, 0), (COLUMNS($DU14:DV14)-1)*5 + 4) = "SF"), INDEX($CZ$8:$CZ$23, COLUMNS($DU14:DV14)), "0"), "")</f>
        <v>0</v>
      </c>
      <c r="DW14" s="390" t="str">
        <f t="array" ref="DW14">IFERROR(IF(AND(INDEX($E$8:$CE$57, MATCH($C14, $C$8:$C$57, 0), (COLUMNS($DU14:DW14)-1)*5 + 1) = INDEX($E$5:$CE$5, 1, (COLUMNS($DU14:DW14)-1)*5 + 1), INDEX($E$8:$CE$57, MATCH($C14, $C$8:$C$57, 0), (COLUMNS($DU14:DW14)-1)*5 + 4) = "SF"), INDEX($CZ$8:$CZ$23, COLUMNS($DU14:DW14)), "0"), "")</f>
        <v>0</v>
      </c>
      <c r="DX14" s="390" t="str">
        <f t="array" ref="DX14">IFERROR(IF(AND(INDEX($E$8:$CE$57, MATCH($C14, $C$8:$C$57, 0), (COLUMNS($DU14:DX14)-1)*5 + 1) = INDEX($E$5:$CE$5, 1, (COLUMNS($DU14:DX14)-1)*5 + 1), INDEX($E$8:$CE$57, MATCH($C14, $C$8:$C$57, 0), (COLUMNS($DU14:DX14)-1)*5 + 4) = "SF"), INDEX($CZ$8:$CZ$23, COLUMNS($DU14:DX14)), "0"), "")</f>
        <v>0</v>
      </c>
      <c r="DY14" s="390" t="str">
        <f t="array" ref="DY14">IFERROR(IF(AND(INDEX($E$8:$CE$57, MATCH($C14, $C$8:$C$57, 0), (COLUMNS($DU14:DY14)-1)*5 + 1) = INDEX($E$5:$CE$5, 1, (COLUMNS($DU14:DY14)-1)*5 + 1), INDEX($E$8:$CE$57, MATCH($C14, $C$8:$C$57, 0), (COLUMNS($DU14:DY14)-1)*5 + 4) = "SF"), INDEX($CZ$8:$CZ$23, COLUMNS($DU14:DY14)), "0"), "")</f>
        <v>0</v>
      </c>
      <c r="DZ14" s="390" t="str">
        <f t="array" ref="DZ14">IFERROR(IF(AND(INDEX($E$8:$CE$57, MATCH($C14, $C$8:$C$57, 0), (COLUMNS($DU14:DZ14)-1)*5 + 1) = INDEX($E$5:$CE$5, 1, (COLUMNS($DU14:DZ14)-1)*5 + 1), INDEX($E$8:$CE$57, MATCH($C14, $C$8:$C$57, 0), (COLUMNS($DU14:DZ14)-1)*5 + 4) = "SF"), INDEX($CZ$8:$CZ$23, COLUMNS($DU14:DZ14)), "0"), "")</f>
        <v>0</v>
      </c>
      <c r="EA14" s="390" t="str">
        <f t="array" ref="EA14">IFERROR(IF(AND(INDEX($E$8:$CE$57, MATCH($C14, $C$8:$C$57, 0), (COLUMNS($DU14:EA14)-1)*5 + 1) = INDEX($E$5:$CE$5, 1, (COLUMNS($DU14:EA14)-1)*5 + 1), INDEX($E$8:$CE$57, MATCH($C14, $C$8:$C$57, 0), (COLUMNS($DU14:EA14)-1)*5 + 4) = "SF"), INDEX($CZ$8:$CZ$23, COLUMNS($DU14:EA14)), "0"), "")</f>
        <v>0</v>
      </c>
      <c r="EB14" s="390">
        <f t="array" ref="EB14">IFERROR(IF(AND(INDEX($E$8:$CE$57, MATCH($C14, $C$8:$C$57, 0), (COLUMNS($DU14:EB14)-1)*5 + 1) = INDEX($E$5:$CE$5, 1, (COLUMNS($DU14:EB14)-1)*5 + 1), INDEX($E$8:$CE$57, MATCH($C14, $C$8:$C$57, 0), (COLUMNS($DU14:EB14)-1)*5 + 4) = "SF"), INDEX($CZ$8:$CZ$23, COLUMNS($DU14:EB14)), "0"), "")</f>
        <v>128.36000000000001</v>
      </c>
      <c r="EC14" s="390" t="str">
        <f t="array" ref="EC14">IFERROR(IF(AND(INDEX($E$8:$CE$57, MATCH($C14, $C$8:$C$57, 0), (COLUMNS($DU14:EC14)-1)*5 + 1) = INDEX($E$5:$CE$5, 1, (COLUMNS($DU14:EC14)-1)*5 + 1), INDEX($E$8:$CE$57, MATCH($C14, $C$8:$C$57, 0), (COLUMNS($DU14:EC14)-1)*5 + 4) = "SF"), INDEX($CZ$8:$CZ$23, COLUMNS($DU14:EC14)), "0"), "")</f>
        <v>0</v>
      </c>
      <c r="ED14" s="390" t="str">
        <f t="array" ref="ED14">IFERROR(IF(AND(INDEX($E$8:$CE$57, MATCH($C14, $C$8:$C$57, 0), (COLUMNS($DU14:ED14)-1)*5 + 1) = INDEX($E$5:$CE$5, 1, (COLUMNS($DU14:ED14)-1)*5 + 1), INDEX($E$8:$CE$57, MATCH($C14, $C$8:$C$57, 0), (COLUMNS($DU14:ED14)-1)*5 + 4) = "SF"), INDEX($CZ$8:$CZ$23, COLUMNS($DU14:ED14)), "0"), "")</f>
        <v>0</v>
      </c>
      <c r="EE14" s="390" t="str">
        <f t="array" ref="EE14">IFERROR(IF(AND(INDEX($E$8:$CE$57, MATCH($C14, $C$8:$C$57, 0), (COLUMNS($DU14:EE14)-1)*5 + 1) = INDEX($E$5:$CE$5, 1, (COLUMNS($DU14:EE14)-1)*5 + 1), INDEX($E$8:$CE$57, MATCH($C14, $C$8:$C$57, 0), (COLUMNS($DU14:EE14)-1)*5 + 4) = "SF"), INDEX($CZ$8:$CZ$23, COLUMNS($DU14:EE14)), "0"), "")</f>
        <v>0</v>
      </c>
      <c r="EF14" s="390" t="str">
        <f t="array" ref="EF14">IFERROR(IF(AND(INDEX($E$8:$CE$57, MATCH($C14, $C$8:$C$57, 0), (COLUMNS($DU14:EF14)-1)*5 + 1) = INDEX($E$5:$CE$5, 1, (COLUMNS($DU14:EF14)-1)*5 + 1), INDEX($E$8:$CE$57, MATCH($C14, $C$8:$C$57, 0), (COLUMNS($DU14:EF14)-1)*5 + 4) = "SF"), INDEX($CZ$8:$CZ$23, COLUMNS($DU14:EF14)), "0"), "")</f>
        <v>0</v>
      </c>
      <c r="EG14" s="390" t="str">
        <f t="array" ref="EG14">IFERROR(IF(AND(INDEX($E$8:$CE$57, MATCH($C14, $C$8:$C$57, 0), (COLUMNS($DU14:EG14)-1)*5 + 1) = INDEX($E$5:$CE$5, 1, (COLUMNS($DU14:EG14)-1)*5 + 1), INDEX($E$8:$CE$57, MATCH($C14, $C$8:$C$57, 0), (COLUMNS($DU14:EG14)-1)*5 + 4) = "SF"), INDEX($CZ$8:$CZ$23, COLUMNS($DU14:EG14)), "0"), "")</f>
        <v>0</v>
      </c>
      <c r="EH14" s="390" t="str">
        <f t="array" ref="EH14">IFERROR(IF(AND(INDEX($E$8:$CE$57, MATCH($C14, $C$8:$C$57, 0), (COLUMNS($DU14:EH14)-1)*5 + 1) = INDEX($E$5:$CE$5, 1, (COLUMNS($DU14:EH14)-1)*5 + 1), INDEX($E$8:$CE$57, MATCH($C14, $C$8:$C$57, 0), (COLUMNS($DU14:EH14)-1)*5 + 4) = "SF"), INDEX($CZ$8:$CZ$23, COLUMNS($DU14:EH14)), "0"), "")</f>
        <v>0</v>
      </c>
      <c r="EI14" s="390" t="str">
        <f t="array" ref="EI14">IFERROR(IF(AND(INDEX($E$8:$CE$57, MATCH($C14, $C$8:$C$57, 0), (COLUMNS($DU14:EI14)-1)*5 + 1) = INDEX($E$5:$CE$5, 1, (COLUMNS($DU14:EI14)-1)*5 + 1), INDEX($E$8:$CE$57, MATCH($C14, $C$8:$C$57, 0), (COLUMNS($DU14:EI14)-1)*5 + 4) = "SF"), INDEX($CZ$8:$CZ$23, COLUMNS($DU14:EI14)), "0"), "")</f>
        <v>0</v>
      </c>
      <c r="EJ14" s="390" t="str">
        <f t="array" ref="EJ14">IFERROR(IF(AND(INDEX($E$8:$CE$57, MATCH($C14, $C$8:$C$57, 0), (COLUMNS($DU14:EJ14)-1)*5 + 1) = INDEX($E$5:$CE$5, 1, (COLUMNS($DU14:EJ14)-1)*5 + 1), INDEX($E$8:$CE$57, MATCH($C14, $C$8:$C$57, 0), (COLUMNS($DU14:EJ14)-1)*5 + 4) = "SF"), INDEX($CZ$8:$CZ$23, COLUMNS($DU14:EJ14)), "0"), "")</f>
        <v>0</v>
      </c>
    </row>
    <row r="15" spans="1:140" ht="20.100000000000001" customHeight="1" x14ac:dyDescent="0.35">
      <c r="A15" s="515"/>
      <c r="B15" s="444">
        <f>IF(SEMANA2[[#This Row],[COD]]&lt;&gt;"",B14+1,"")</f>
        <v>8</v>
      </c>
      <c r="C15" s="554" t="s">
        <v>47</v>
      </c>
      <c r="D15" s="410" t="str">
        <f t="array" ref="D15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15" s="411">
        <v>6</v>
      </c>
      <c r="F15" s="413">
        <v>9</v>
      </c>
      <c r="G15" s="413">
        <v>2</v>
      </c>
      <c r="H15" s="413"/>
      <c r="I15" s="534">
        <f t="shared" si="0"/>
        <v>4</v>
      </c>
      <c r="J15" s="411">
        <v>7</v>
      </c>
      <c r="K15" s="413">
        <v>1</v>
      </c>
      <c r="L15" s="413">
        <v>5</v>
      </c>
      <c r="M15" s="413" t="s">
        <v>254</v>
      </c>
      <c r="N15" s="534">
        <f t="shared" si="1"/>
        <v>5</v>
      </c>
      <c r="O15" s="411">
        <v>5</v>
      </c>
      <c r="P15" s="413">
        <v>3</v>
      </c>
      <c r="Q15" s="413">
        <v>8</v>
      </c>
      <c r="R15" s="413"/>
      <c r="S15" s="534">
        <f t="shared" si="2"/>
        <v>0</v>
      </c>
      <c r="T15" s="411">
        <v>1</v>
      </c>
      <c r="U15" s="413">
        <v>3</v>
      </c>
      <c r="V15" s="413">
        <v>5</v>
      </c>
      <c r="W15" s="413"/>
      <c r="X15" s="534">
        <f t="shared" si="3"/>
        <v>6</v>
      </c>
      <c r="Y15" s="411">
        <v>5</v>
      </c>
      <c r="Z15" s="413">
        <v>7</v>
      </c>
      <c r="AA15" s="413">
        <v>2</v>
      </c>
      <c r="AB15" s="413"/>
      <c r="AC15" s="534">
        <f t="shared" si="4"/>
        <v>1</v>
      </c>
      <c r="AD15" s="411">
        <v>5</v>
      </c>
      <c r="AE15" s="413">
        <v>4</v>
      </c>
      <c r="AF15" s="413">
        <v>2</v>
      </c>
      <c r="AG15" s="413"/>
      <c r="AH15" s="534">
        <f t="shared" si="5"/>
        <v>0</v>
      </c>
      <c r="AI15" s="411">
        <v>6</v>
      </c>
      <c r="AJ15" s="413"/>
      <c r="AK15" s="413"/>
      <c r="AL15" s="413" t="s">
        <v>255</v>
      </c>
      <c r="AM15" s="534">
        <f t="shared" si="6"/>
        <v>0</v>
      </c>
      <c r="AN15" s="411">
        <v>8</v>
      </c>
      <c r="AO15" s="413">
        <v>1</v>
      </c>
      <c r="AP15" s="413">
        <v>6</v>
      </c>
      <c r="AQ15" s="413"/>
      <c r="AR15" s="534">
        <f t="shared" si="7"/>
        <v>3.5</v>
      </c>
      <c r="AS15" s="411">
        <v>1</v>
      </c>
      <c r="AT15" s="413">
        <v>9</v>
      </c>
      <c r="AU15" s="413">
        <v>10</v>
      </c>
      <c r="AV15" s="413"/>
      <c r="AW15" s="534">
        <f t="shared" si="8"/>
        <v>0</v>
      </c>
      <c r="AX15" s="411">
        <v>1</v>
      </c>
      <c r="AY15" s="413">
        <v>10</v>
      </c>
      <c r="AZ15" s="413">
        <v>11</v>
      </c>
      <c r="BA15" s="413"/>
      <c r="BB15" s="534">
        <f t="shared" si="9"/>
        <v>0</v>
      </c>
      <c r="BC15" s="411">
        <v>7</v>
      </c>
      <c r="BD15" s="413">
        <v>5</v>
      </c>
      <c r="BE15" s="413">
        <v>3</v>
      </c>
      <c r="BF15" s="413"/>
      <c r="BG15" s="534">
        <f t="shared" si="10"/>
        <v>4</v>
      </c>
      <c r="BH15" s="411">
        <v>6</v>
      </c>
      <c r="BI15" s="413">
        <v>2</v>
      </c>
      <c r="BJ15" s="413">
        <v>8</v>
      </c>
      <c r="BK15" s="413" t="s">
        <v>254</v>
      </c>
      <c r="BL15" s="534">
        <f t="shared" si="11"/>
        <v>5</v>
      </c>
      <c r="BM15" s="411">
        <v>4</v>
      </c>
      <c r="BN15" s="413">
        <v>1</v>
      </c>
      <c r="BO15" s="413">
        <v>9</v>
      </c>
      <c r="BP15" s="413"/>
      <c r="BQ15" s="534">
        <f t="shared" si="12"/>
        <v>0</v>
      </c>
      <c r="BR15" s="411">
        <v>1</v>
      </c>
      <c r="BS15" s="413">
        <v>2</v>
      </c>
      <c r="BT15" s="413">
        <v>5</v>
      </c>
      <c r="BU15" s="413"/>
      <c r="BV15" s="534">
        <f t="shared" si="13"/>
        <v>4</v>
      </c>
      <c r="BW15" s="411"/>
      <c r="BX15" s="413"/>
      <c r="BY15" s="413"/>
      <c r="BZ15" s="413"/>
      <c r="CA15" s="534">
        <f t="shared" si="14"/>
        <v>0</v>
      </c>
      <c r="CB15" s="411"/>
      <c r="CC15" s="413"/>
      <c r="CD15" s="413"/>
      <c r="CE15" s="413"/>
      <c r="CF15" s="534">
        <f t="shared" si="15"/>
        <v>0</v>
      </c>
      <c r="CG15" s="162">
        <f>IF(SEMANA2[[#This Row],[1]]="",0,$B$4)</f>
        <v>14</v>
      </c>
      <c r="CH15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7</v>
      </c>
      <c r="CI15" s="164">
        <f>IF(SEMANA2[[#This Row],[Columna14]]=0,0,(CH15/CG15))</f>
        <v>0.5</v>
      </c>
      <c r="CJ15" s="163">
        <f>IF(SEMANA2[[#This Row],[1]]="",0,$B$4)</f>
        <v>14</v>
      </c>
      <c r="CK15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7</v>
      </c>
      <c r="CL15" s="164">
        <f>IF(SEMANA2[[#This Row],[Columna14]]=0,0,(CK15/CJ15))</f>
        <v>0.5</v>
      </c>
      <c r="CM15" s="162">
        <f>IF(SEMANA2[[#This Row],[1]]="",0,$B$4)</f>
        <v>14</v>
      </c>
      <c r="CN15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8</v>
      </c>
      <c r="CO15" s="164">
        <f>IF(SEMANA2[[#This Row],[Columna14]]=0,0,(CN15/CM15))</f>
        <v>0.5714285714285714</v>
      </c>
      <c r="CP15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15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Row],[Columna25]],$AX$5,BA15,"SF")+COUNTIFS(SEMANA2[[#This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15" s="164">
        <f>IFERROR(IF(SEMANA2[[#This Row],[Columna14]]=0,0,(CQ15/CP15)),0)</f>
        <v>0.66666666666666663</v>
      </c>
      <c r="CS15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32.5</v>
      </c>
      <c r="CT15" s="93">
        <f>_xlfn.XLOOKUP(SEMANA2[[#This Row],[COD]],BASE01[COD],BASE01[Columna33])</f>
        <v>33.5</v>
      </c>
      <c r="CU15" s="536">
        <f t="shared" si="16"/>
        <v>66</v>
      </c>
      <c r="CV15" s="445">
        <f>IF(SEMANA2[[#This Row],[TIPO]]="PREMIO",$O$3,"0,00")</f>
        <v>1000</v>
      </c>
      <c r="CW15" s="515"/>
      <c r="CY15" s="388">
        <v>8</v>
      </c>
      <c r="CZ15" s="349">
        <f>AO$6</f>
        <v>128.36000000000001</v>
      </c>
      <c r="DB15" s="537" t="str">
        <f>SEMANA2[[#This Row],[COD]]</f>
        <v>COD 08</v>
      </c>
      <c r="DC15" s="390" t="str">
        <f t="array" ref="DC15">IFERROR(IF(AND(INDEX($E$8:$CE$57, MATCH($C15, $C$8:$C$57, 0), (COLUMNS($DC15:DC15)-1)*5 + 1) = INDEX($E$5:$CE$5, 1, (COLUMNS($DC15:DC15)-1)*5 + 1), INDEX($E$8:$CE$57, MATCH($C15, $C$8:$C$57, 0), (COLUMNS($DC15:DC15)-1)*5 + 4) = "F"), INDEX($CZ$8:$CZ$23, COLUMNS($DC15:DC15)), "0"), "")</f>
        <v>0</v>
      </c>
      <c r="DD15" s="390">
        <f t="array" ref="DD15">IFERROR(IF(AND(INDEX($E$8:$CE$57, MATCH($C15, $C$8:$C$57, 0), (COLUMNS($DC15:DD15)-1)*5 + 1) = INDEX($E$5:$CE$5, 1, (COLUMNS($DC15:DD15)-1)*5 + 1), INDEX($E$8:$CE$57, MATCH($C15, $C$8:$C$57, 0), (COLUMNS($DC15:DD15)-1)*5 + 4) = "F"), INDEX($CZ$8:$CZ$23, COLUMNS($DC15:DD15)), "0"), "")</f>
        <v>344.19</v>
      </c>
      <c r="DE15" s="390" t="str">
        <f t="array" ref="DE15">IFERROR(IF(AND(INDEX($E$8:$CE$57, MATCH($C15, $C$8:$C$57, 0), (COLUMNS($DC15:DE15)-1)*5 + 1) = INDEX($E$5:$CE$5, 1, (COLUMNS($DC15:DE15)-1)*5 + 1), INDEX($E$8:$CE$57, MATCH($C15, $C$8:$C$57, 0), (COLUMNS($DC15:DE15)-1)*5 + 4) = "F"), INDEX($CZ$8:$CZ$23, COLUMNS($DC15:DE15)), "0"), "")</f>
        <v>0</v>
      </c>
      <c r="DF15" s="390" t="str">
        <f t="array" ref="DF15">IFERROR(IF(AND(INDEX($E$8:$CE$57, MATCH($C15, $C$8:$C$57, 0), (COLUMNS($DC15:DF15)-1)*5 + 1) = INDEX($E$5:$CE$5, 1, (COLUMNS($DC15:DF15)-1)*5 + 1), INDEX($E$8:$CE$57, MATCH($C15, $C$8:$C$57, 0), (COLUMNS($DC15:DF15)-1)*5 + 4) = "F"), INDEX($CZ$8:$CZ$23, COLUMNS($DC15:DF15)), "0"), "")</f>
        <v>0</v>
      </c>
      <c r="DG15" s="390" t="str">
        <f t="array" ref="DG15">IFERROR(IF(AND(INDEX($E$8:$CE$57, MATCH($C15, $C$8:$C$57, 0), (COLUMNS($DC15:DG15)-1)*5 + 1) = INDEX($E$5:$CE$5, 1, (COLUMNS($DC15:DG15)-1)*5 + 1), INDEX($E$8:$CE$57, MATCH($C15, $C$8:$C$57, 0), (COLUMNS($DC15:DG15)-1)*5 + 4) = "F"), INDEX($CZ$8:$CZ$23, COLUMNS($DC15:DG15)), "0"), "")</f>
        <v>0</v>
      </c>
      <c r="DH15" s="390" t="str">
        <f t="array" ref="DH15">IFERROR(IF(AND(INDEX($E$8:$CE$57, MATCH($C15, $C$8:$C$57, 0), (COLUMNS($DC15:DH15)-1)*5 + 1) = INDEX($E$5:$CE$5, 1, (COLUMNS($DC15:DH15)-1)*5 + 1), INDEX($E$8:$CE$57, MATCH($C15, $C$8:$C$57, 0), (COLUMNS($DC15:DH15)-1)*5 + 4) = "F"), INDEX($CZ$8:$CZ$23, COLUMNS($DC15:DH15)), "0"), "")</f>
        <v>0</v>
      </c>
      <c r="DI15" s="390" t="str">
        <f t="array" ref="DI15">IFERROR(IF(AND(INDEX($E$8:$CE$57, MATCH($C15, $C$8:$C$57, 0), (COLUMNS($DC15:DI15)-1)*5 + 1) = INDEX($E$5:$CE$5, 1, (COLUMNS($DC15:DI15)-1)*5 + 1), INDEX($E$8:$CE$57, MATCH($C15, $C$8:$C$57, 0), (COLUMNS($DC15:DI15)-1)*5 + 4) = "F"), INDEX($CZ$8:$CZ$23, COLUMNS($DC15:DI15)), "0"), "")</f>
        <v>0</v>
      </c>
      <c r="DJ15" s="390" t="str">
        <f t="array" ref="DJ15">IFERROR(IF(AND(INDEX($E$8:$CE$57, MATCH($C15, $C$8:$C$57, 0), (COLUMNS($DC15:DJ15)-1)*5 + 1) = INDEX($E$5:$CE$5, 1, (COLUMNS($DC15:DJ15)-1)*5 + 1), INDEX($E$8:$CE$57, MATCH($C15, $C$8:$C$57, 0), (COLUMNS($DC15:DJ15)-1)*5 + 4) = "F"), INDEX($CZ$8:$CZ$23, COLUMNS($DC15:DJ15)), "0"), "")</f>
        <v>0</v>
      </c>
      <c r="DK15" s="390" t="str">
        <f t="array" ref="DK15">IFERROR(IF(AND(INDEX($E$8:$CE$57, MATCH($C15, $C$8:$C$57, 0), (COLUMNS($DC15:DK15)-1)*5 + 1) = INDEX($E$5:$CE$5, 1, (COLUMNS($DC15:DK15)-1)*5 + 1), INDEX($E$8:$CE$57, MATCH($C15, $C$8:$C$57, 0), (COLUMNS($DC15:DK15)-1)*5 + 4) = "F"), INDEX($CZ$8:$CZ$23, COLUMNS($DC15:DK15)), "0"), "")</f>
        <v>0</v>
      </c>
      <c r="DL15" s="390" t="str">
        <f t="array" ref="DL15">IFERROR(IF(AND(INDEX($E$8:$CE$57, MATCH($C15, $C$8:$C$57, 0), (COLUMNS($DC15:DL15)-1)*5 + 1) = INDEX($E$5:$CE$5, 1, (COLUMNS($DC15:DL15)-1)*5 + 1), INDEX($E$8:$CE$57, MATCH($C15, $C$8:$C$57, 0), (COLUMNS($DC15:DL15)-1)*5 + 4) = "F"), INDEX($CZ$8:$CZ$23, COLUMNS($DC15:DL15)), "0"), "")</f>
        <v>0</v>
      </c>
      <c r="DM15" s="390" t="str">
        <f t="array" ref="DM15">IFERROR(IF(AND(INDEX($E$8:$CE$57, MATCH($C15, $C$8:$C$57, 0), (COLUMNS($DC15:DM15)-1)*5 + 1) = INDEX($E$5:$CE$5, 1, (COLUMNS($DC15:DM15)-1)*5 + 1), INDEX($E$8:$CE$57, MATCH($C15, $C$8:$C$57, 0), (COLUMNS($DC15:DM15)-1)*5 + 4) = "F"), INDEX($CZ$8:$CZ$23, COLUMNS($DC15:DM15)), "0"), "")</f>
        <v>0</v>
      </c>
      <c r="DN15" s="390">
        <f t="array" ref="DN15">IFERROR(IF(AND(INDEX($E$8:$CE$57, MATCH($C15, $C$8:$C$57, 0), (COLUMNS($DC15:DN15)-1)*5 + 1) = INDEX($E$5:$CE$5, 1, (COLUMNS($DC15:DN15)-1)*5 + 1), INDEX($E$8:$CE$57, MATCH($C15, $C$8:$C$57, 0), (COLUMNS($DC15:DN15)-1)*5 + 4) = "F"), INDEX($CZ$8:$CZ$23, COLUMNS($DC15:DN15)), "0"), "")</f>
        <v>177.86</v>
      </c>
      <c r="DO15" s="390" t="str">
        <f t="array" ref="DO15">IFERROR(IF(AND(INDEX($E$8:$CE$57, MATCH($C15, $C$8:$C$57, 0), (COLUMNS($DC15:DO15)-1)*5 + 1) = INDEX($E$5:$CE$5, 1, (COLUMNS($DC15:DO15)-1)*5 + 1), INDEX($E$8:$CE$57, MATCH($C15, $C$8:$C$57, 0), (COLUMNS($DC15:DO15)-1)*5 + 4) = "F"), INDEX($CZ$8:$CZ$23, COLUMNS($DC15:DO15)), "0"), "")</f>
        <v>0</v>
      </c>
      <c r="DP15" s="390" t="str">
        <f t="array" ref="DP15">IFERROR(IF(AND(INDEX($E$8:$CE$57, MATCH($C15, $C$8:$C$57, 0), (COLUMNS($DC15:DP15)-1)*5 + 1) = INDEX($E$5:$CE$5, 1, (COLUMNS($DC15:DP15)-1)*5 + 1), INDEX($E$8:$CE$57, MATCH($C15, $C$8:$C$57, 0), (COLUMNS($DC15:DP15)-1)*5 + 4) = "F"), INDEX($CZ$8:$CZ$23, COLUMNS($DC15:DP15)), "0"), "")</f>
        <v>0</v>
      </c>
      <c r="DQ15" s="390" t="str">
        <f t="array" ref="DQ15">IFERROR(IF(AND(INDEX($E$8:$CE$57, MATCH($C15, $C$8:$C$57, 0), (COLUMNS($DC15:DQ15)-1)*5 + 1) = INDEX($E$5:$CE$5, 1, (COLUMNS($DC15:DQ15)-1)*5 + 1), INDEX($E$8:$CE$57, MATCH($C15, $C$8:$C$57, 0), (COLUMNS($DC15:DQ15)-1)*5 + 4) = "F"), INDEX($CZ$8:$CZ$23, COLUMNS($DC15:DQ15)), "0"), "")</f>
        <v>0</v>
      </c>
      <c r="DR15" s="390" t="str">
        <f t="array" ref="DR15">IFERROR(IF(AND(INDEX($E$8:$CE$57, MATCH($C15, $C$8:$C$57, 0), (COLUMNS($DC15:DR15)-1)*5 + 1) = INDEX($E$5:$CE$5, 1, (COLUMNS($DC15:DR15)-1)*5 + 1), INDEX($E$8:$CE$57, MATCH($C15, $C$8:$C$57, 0), (COLUMNS($DC15:DR15)-1)*5 + 4) = "F"), INDEX($CZ$8:$CZ$23, COLUMNS($DC15:DR15)), "0"), "")</f>
        <v>0</v>
      </c>
      <c r="DT15" s="537" t="str">
        <f>SEMANA2[[#This Row],[COD]]</f>
        <v>COD 08</v>
      </c>
      <c r="DU15" s="390" t="str">
        <f t="array" ref="DU15">IFERROR(IF(AND(INDEX($E$8:$CE$57, MATCH($C15, $C$8:$C$57, 0), (COLUMNS($DU15:DU15)-1)*5 + 1) = INDEX($E$5:$CE$5, 1, (COLUMNS($DU15:DU15)-1)*5 + 1), INDEX($E$8:$CE$57, MATCH($C15, $C$8:$C$57, 0), (COLUMNS($DU15:DU15)-1)*5 + 4) = "SF"), INDEX($CZ$8:$CZ$23, COLUMNS($DU15:DU15)), "0"), "")</f>
        <v>0</v>
      </c>
      <c r="DV15" s="390" t="str">
        <f t="array" ref="DV15">IFERROR(IF(AND(INDEX($E$8:$CE$57, MATCH($C15, $C$8:$C$57, 0), (COLUMNS($DU15:DV15)-1)*5 + 1) = INDEX($E$5:$CE$5, 1, (COLUMNS($DU15:DV15)-1)*5 + 1), INDEX($E$8:$CE$57, MATCH($C15, $C$8:$C$57, 0), (COLUMNS($DU15:DV15)-1)*5 + 4) = "SF"), INDEX($CZ$8:$CZ$23, COLUMNS($DU15:DV15)), "0"), "")</f>
        <v>0</v>
      </c>
      <c r="DW15" s="390" t="str">
        <f t="array" ref="DW15">IFERROR(IF(AND(INDEX($E$8:$CE$57, MATCH($C15, $C$8:$C$57, 0), (COLUMNS($DU15:DW15)-1)*5 + 1) = INDEX($E$5:$CE$5, 1, (COLUMNS($DU15:DW15)-1)*5 + 1), INDEX($E$8:$CE$57, MATCH($C15, $C$8:$C$57, 0), (COLUMNS($DU15:DW15)-1)*5 + 4) = "SF"), INDEX($CZ$8:$CZ$23, COLUMNS($DU15:DW15)), "0"), "")</f>
        <v>0</v>
      </c>
      <c r="DX15" s="390" t="str">
        <f t="array" ref="DX15">IFERROR(IF(AND(INDEX($E$8:$CE$57, MATCH($C15, $C$8:$C$57, 0), (COLUMNS($DU15:DX15)-1)*5 + 1) = INDEX($E$5:$CE$5, 1, (COLUMNS($DU15:DX15)-1)*5 + 1), INDEX($E$8:$CE$57, MATCH($C15, $C$8:$C$57, 0), (COLUMNS($DU15:DX15)-1)*5 + 4) = "SF"), INDEX($CZ$8:$CZ$23, COLUMNS($DU15:DX15)), "0"), "")</f>
        <v>0</v>
      </c>
      <c r="DY15" s="390" t="str">
        <f t="array" ref="DY15">IFERROR(IF(AND(INDEX($E$8:$CE$57, MATCH($C15, $C$8:$C$57, 0), (COLUMNS($DU15:DY15)-1)*5 + 1) = INDEX($E$5:$CE$5, 1, (COLUMNS($DU15:DY15)-1)*5 + 1), INDEX($E$8:$CE$57, MATCH($C15, $C$8:$C$57, 0), (COLUMNS($DU15:DY15)-1)*5 + 4) = "SF"), INDEX($CZ$8:$CZ$23, COLUMNS($DU15:DY15)), "0"), "")</f>
        <v>0</v>
      </c>
      <c r="DZ15" s="390" t="str">
        <f t="array" ref="DZ15">IFERROR(IF(AND(INDEX($E$8:$CE$57, MATCH($C15, $C$8:$C$57, 0), (COLUMNS($DU15:DZ15)-1)*5 + 1) = INDEX($E$5:$CE$5, 1, (COLUMNS($DU15:DZ15)-1)*5 + 1), INDEX($E$8:$CE$57, MATCH($C15, $C$8:$C$57, 0), (COLUMNS($DU15:DZ15)-1)*5 + 4) = "SF"), INDEX($CZ$8:$CZ$23, COLUMNS($DU15:DZ15)), "0"), "")</f>
        <v>0</v>
      </c>
      <c r="EA15" s="390" t="str">
        <f t="array" ref="EA15">IFERROR(IF(AND(INDEX($E$8:$CE$57, MATCH($C15, $C$8:$C$57, 0), (COLUMNS($DU15:EA15)-1)*5 + 1) = INDEX($E$5:$CE$5, 1, (COLUMNS($DU15:EA15)-1)*5 + 1), INDEX($E$8:$CE$57, MATCH($C15, $C$8:$C$57, 0), (COLUMNS($DU15:EA15)-1)*5 + 4) = "SF"), INDEX($CZ$8:$CZ$23, COLUMNS($DU15:EA15)), "0"), "")</f>
        <v>0</v>
      </c>
      <c r="EB15" s="390" t="str">
        <f t="array" ref="EB15">IFERROR(IF(AND(INDEX($E$8:$CE$57, MATCH($C15, $C$8:$C$57, 0), (COLUMNS($DU15:EB15)-1)*5 + 1) = INDEX($E$5:$CE$5, 1, (COLUMNS($DU15:EB15)-1)*5 + 1), INDEX($E$8:$CE$57, MATCH($C15, $C$8:$C$57, 0), (COLUMNS($DU15:EB15)-1)*5 + 4) = "SF"), INDEX($CZ$8:$CZ$23, COLUMNS($DU15:EB15)), "0"), "")</f>
        <v>0</v>
      </c>
      <c r="EC15" s="390" t="str">
        <f t="array" ref="EC15">IFERROR(IF(AND(INDEX($E$8:$CE$57, MATCH($C15, $C$8:$C$57, 0), (COLUMNS($DU15:EC15)-1)*5 + 1) = INDEX($E$5:$CE$5, 1, (COLUMNS($DU15:EC15)-1)*5 + 1), INDEX($E$8:$CE$57, MATCH($C15, $C$8:$C$57, 0), (COLUMNS($DU15:EC15)-1)*5 + 4) = "SF"), INDEX($CZ$8:$CZ$23, COLUMNS($DU15:EC15)), "0"), "")</f>
        <v>0</v>
      </c>
      <c r="ED15" s="390" t="str">
        <f t="array" ref="ED15">IFERROR(IF(AND(INDEX($E$8:$CE$57, MATCH($C15, $C$8:$C$57, 0), (COLUMNS($DU15:ED15)-1)*5 + 1) = INDEX($E$5:$CE$5, 1, (COLUMNS($DU15:ED15)-1)*5 + 1), INDEX($E$8:$CE$57, MATCH($C15, $C$8:$C$57, 0), (COLUMNS($DU15:ED15)-1)*5 + 4) = "SF"), INDEX($CZ$8:$CZ$23, COLUMNS($DU15:ED15)), "0"), "")</f>
        <v>0</v>
      </c>
      <c r="EE15" s="390" t="str">
        <f t="array" ref="EE15">IFERROR(IF(AND(INDEX($E$8:$CE$57, MATCH($C15, $C$8:$C$57, 0), (COLUMNS($DU15:EE15)-1)*5 + 1) = INDEX($E$5:$CE$5, 1, (COLUMNS($DU15:EE15)-1)*5 + 1), INDEX($E$8:$CE$57, MATCH($C15, $C$8:$C$57, 0), (COLUMNS($DU15:EE15)-1)*5 + 4) = "SF"), INDEX($CZ$8:$CZ$23, COLUMNS($DU15:EE15)), "0"), "")</f>
        <v>0</v>
      </c>
      <c r="EF15" s="390" t="str">
        <f t="array" ref="EF15">IFERROR(IF(AND(INDEX($E$8:$CE$57, MATCH($C15, $C$8:$C$57, 0), (COLUMNS($DU15:EF15)-1)*5 + 1) = INDEX($E$5:$CE$5, 1, (COLUMNS($DU15:EF15)-1)*5 + 1), INDEX($E$8:$CE$57, MATCH($C15, $C$8:$C$57, 0), (COLUMNS($DU15:EF15)-1)*5 + 4) = "SF"), INDEX($CZ$8:$CZ$23, COLUMNS($DU15:EF15)), "0"), "")</f>
        <v>0</v>
      </c>
      <c r="EG15" s="390" t="str">
        <f t="array" ref="EG15">IFERROR(IF(AND(INDEX($E$8:$CE$57, MATCH($C15, $C$8:$C$57, 0), (COLUMNS($DU15:EG15)-1)*5 + 1) = INDEX($E$5:$CE$5, 1, (COLUMNS($DU15:EG15)-1)*5 + 1), INDEX($E$8:$CE$57, MATCH($C15, $C$8:$C$57, 0), (COLUMNS($DU15:EG15)-1)*5 + 4) = "SF"), INDEX($CZ$8:$CZ$23, COLUMNS($DU15:EG15)), "0"), "")</f>
        <v>0</v>
      </c>
      <c r="EH15" s="390" t="str">
        <f t="array" ref="EH15">IFERROR(IF(AND(INDEX($E$8:$CE$57, MATCH($C15, $C$8:$C$57, 0), (COLUMNS($DU15:EH15)-1)*5 + 1) = INDEX($E$5:$CE$5, 1, (COLUMNS($DU15:EH15)-1)*5 + 1), INDEX($E$8:$CE$57, MATCH($C15, $C$8:$C$57, 0), (COLUMNS($DU15:EH15)-1)*5 + 4) = "SF"), INDEX($CZ$8:$CZ$23, COLUMNS($DU15:EH15)), "0"), "")</f>
        <v>0</v>
      </c>
      <c r="EI15" s="390" t="str">
        <f t="array" ref="EI15">IFERROR(IF(AND(INDEX($E$8:$CE$57, MATCH($C15, $C$8:$C$57, 0), (COLUMNS($DU15:EI15)-1)*5 + 1) = INDEX($E$5:$CE$5, 1, (COLUMNS($DU15:EI15)-1)*5 + 1), INDEX($E$8:$CE$57, MATCH($C15, $C$8:$C$57, 0), (COLUMNS($DU15:EI15)-1)*5 + 4) = "SF"), INDEX($CZ$8:$CZ$23, COLUMNS($DU15:EI15)), "0"), "")</f>
        <v>0</v>
      </c>
      <c r="EJ15" s="390" t="str">
        <f t="array" ref="EJ15">IFERROR(IF(AND(INDEX($E$8:$CE$57, MATCH($C15, $C$8:$C$57, 0), (COLUMNS($DU15:EJ15)-1)*5 + 1) = INDEX($E$5:$CE$5, 1, (COLUMNS($DU15:EJ15)-1)*5 + 1), INDEX($E$8:$CE$57, MATCH($C15, $C$8:$C$57, 0), (COLUMNS($DU15:EJ15)-1)*5 + 4) = "SF"), INDEX($CZ$8:$CZ$23, COLUMNS($DU15:EJ15)), "0"), "")</f>
        <v>0</v>
      </c>
    </row>
    <row r="16" spans="1:140" ht="20.100000000000001" customHeight="1" x14ac:dyDescent="0.35">
      <c r="A16" s="515"/>
      <c r="B16" s="444">
        <f>IF(SEMANA2[[#This Row],[COD]]&lt;&gt;"",B15+1,"")</f>
        <v>9</v>
      </c>
      <c r="C16" s="554" t="s">
        <v>49</v>
      </c>
      <c r="D16" s="410" t="str">
        <f t="array" ref="D16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16" s="411">
        <v>9</v>
      </c>
      <c r="F16" s="413">
        <v>6</v>
      </c>
      <c r="G16" s="413">
        <v>2</v>
      </c>
      <c r="H16" s="413"/>
      <c r="I16" s="534">
        <f t="shared" si="0"/>
        <v>2</v>
      </c>
      <c r="J16" s="411">
        <v>1</v>
      </c>
      <c r="K16" s="413">
        <v>10</v>
      </c>
      <c r="L16" s="413">
        <v>7</v>
      </c>
      <c r="M16" s="413"/>
      <c r="N16" s="534">
        <f t="shared" si="1"/>
        <v>1</v>
      </c>
      <c r="O16" s="411">
        <v>5</v>
      </c>
      <c r="P16" s="413">
        <v>8</v>
      </c>
      <c r="Q16" s="413">
        <v>1</v>
      </c>
      <c r="R16" s="413"/>
      <c r="S16" s="534">
        <f t="shared" si="2"/>
        <v>1</v>
      </c>
      <c r="T16" s="411">
        <v>3</v>
      </c>
      <c r="U16" s="413">
        <v>4</v>
      </c>
      <c r="V16" s="413">
        <v>5</v>
      </c>
      <c r="W16" s="413" t="s">
        <v>254</v>
      </c>
      <c r="X16" s="534">
        <f t="shared" si="3"/>
        <v>0</v>
      </c>
      <c r="Y16" s="411">
        <v>2</v>
      </c>
      <c r="Z16" s="413">
        <v>7</v>
      </c>
      <c r="AA16" s="413">
        <v>6</v>
      </c>
      <c r="AB16" s="413"/>
      <c r="AC16" s="534">
        <f t="shared" si="4"/>
        <v>4</v>
      </c>
      <c r="AD16" s="411">
        <v>3</v>
      </c>
      <c r="AE16" s="413">
        <v>4</v>
      </c>
      <c r="AF16" s="413">
        <v>5</v>
      </c>
      <c r="AG16" s="413"/>
      <c r="AH16" s="534">
        <f t="shared" si="5"/>
        <v>0</v>
      </c>
      <c r="AI16" s="411">
        <v>3</v>
      </c>
      <c r="AJ16" s="413">
        <v>7</v>
      </c>
      <c r="AK16" s="413">
        <v>6</v>
      </c>
      <c r="AL16" s="413"/>
      <c r="AM16" s="534">
        <f t="shared" si="6"/>
        <v>0</v>
      </c>
      <c r="AN16" s="411">
        <v>8</v>
      </c>
      <c r="AO16" s="413"/>
      <c r="AP16" s="413"/>
      <c r="AQ16" s="413" t="s">
        <v>255</v>
      </c>
      <c r="AR16" s="534">
        <f t="shared" si="7"/>
        <v>7.5</v>
      </c>
      <c r="AS16" s="411">
        <v>1</v>
      </c>
      <c r="AT16" s="413">
        <v>6</v>
      </c>
      <c r="AU16" s="413">
        <v>2</v>
      </c>
      <c r="AV16" s="413"/>
      <c r="AW16" s="534">
        <f t="shared" si="8"/>
        <v>1</v>
      </c>
      <c r="AX16" s="411">
        <v>2</v>
      </c>
      <c r="AY16" s="413">
        <v>1</v>
      </c>
      <c r="AZ16" s="413">
        <v>6</v>
      </c>
      <c r="BA16" s="413"/>
      <c r="BB16" s="534">
        <f t="shared" si="9"/>
        <v>4</v>
      </c>
      <c r="BC16" s="411">
        <v>7</v>
      </c>
      <c r="BD16" s="413">
        <v>5</v>
      </c>
      <c r="BE16" s="413">
        <v>3</v>
      </c>
      <c r="BF16" s="413" t="s">
        <v>254</v>
      </c>
      <c r="BG16" s="534">
        <f t="shared" si="10"/>
        <v>5</v>
      </c>
      <c r="BH16" s="411">
        <v>1</v>
      </c>
      <c r="BI16" s="413">
        <v>6</v>
      </c>
      <c r="BJ16" s="413">
        <v>2</v>
      </c>
      <c r="BK16" s="413"/>
      <c r="BL16" s="534">
        <f t="shared" si="11"/>
        <v>2</v>
      </c>
      <c r="BM16" s="411">
        <v>4</v>
      </c>
      <c r="BN16" s="413">
        <v>3</v>
      </c>
      <c r="BO16" s="413">
        <v>9</v>
      </c>
      <c r="BP16" s="413"/>
      <c r="BQ16" s="534">
        <f t="shared" si="12"/>
        <v>0</v>
      </c>
      <c r="BR16" s="411">
        <v>1</v>
      </c>
      <c r="BS16" s="413">
        <v>5</v>
      </c>
      <c r="BT16" s="413">
        <v>2</v>
      </c>
      <c r="BU16" s="413"/>
      <c r="BV16" s="534">
        <f t="shared" si="13"/>
        <v>5</v>
      </c>
      <c r="BW16" s="411"/>
      <c r="BX16" s="413"/>
      <c r="BY16" s="413"/>
      <c r="BZ16" s="413"/>
      <c r="CA16" s="534">
        <f t="shared" si="14"/>
        <v>0</v>
      </c>
      <c r="CB16" s="411"/>
      <c r="CC16" s="413"/>
      <c r="CD16" s="413"/>
      <c r="CE16" s="413"/>
      <c r="CF16" s="534">
        <f t="shared" si="15"/>
        <v>0</v>
      </c>
      <c r="CG16" s="162">
        <f>IF(SEMANA2[[#This Row],[1]]="",0,$B$4)</f>
        <v>14</v>
      </c>
      <c r="CH16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5</v>
      </c>
      <c r="CI16" s="164">
        <f>IF(SEMANA2[[#This Row],[Columna14]]=0,0,(CH16/CG16))</f>
        <v>0.35714285714285715</v>
      </c>
      <c r="CJ16" s="163">
        <f>IF(SEMANA2[[#This Row],[1]]="",0,$B$4)</f>
        <v>14</v>
      </c>
      <c r="CK16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7</v>
      </c>
      <c r="CL16" s="164">
        <f>IF(SEMANA2[[#This Row],[Columna14]]=0,0,(CK16/CJ16))</f>
        <v>0.5</v>
      </c>
      <c r="CM16" s="162">
        <f>IF(SEMANA2[[#This Row],[1]]="",0,$B$4)</f>
        <v>14</v>
      </c>
      <c r="CN16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10</v>
      </c>
      <c r="CO16" s="164">
        <f>IF(SEMANA2[[#This Row],[Columna14]]=0,0,(CN16/CM16))</f>
        <v>0.7142857142857143</v>
      </c>
      <c r="CP16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16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Row],[Columna25]],$AX$5,BA16,"SF")+COUNTIFS(SEMANA2[[#This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16" s="164">
        <f>IFERROR(IF(SEMANA2[[#This Row],[Columna14]]=0,0,(CQ16/CP16)),0)</f>
        <v>0.66666666666666663</v>
      </c>
      <c r="CS16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32.5</v>
      </c>
      <c r="CT16" s="93">
        <f>_xlfn.XLOOKUP(SEMANA2[[#This Row],[COD]],BASE01[COD],BASE01[Columna33])</f>
        <v>38</v>
      </c>
      <c r="CU16" s="536">
        <f t="shared" si="16"/>
        <v>70.5</v>
      </c>
      <c r="CV16" s="445">
        <f>IF(SEMANA2[[#This Row],[TIPO]]="PREMIO",$O$3,"0,00")</f>
        <v>1000</v>
      </c>
      <c r="CW16" s="515"/>
      <c r="CY16" s="388">
        <v>9</v>
      </c>
      <c r="CZ16" s="349">
        <f>AT$6</f>
        <v>380.3</v>
      </c>
      <c r="DB16" s="537" t="str">
        <f>SEMANA2[[#This Row],[COD]]</f>
        <v>COD 09</v>
      </c>
      <c r="DC16" s="390" t="str">
        <f t="array" ref="DC16">IFERROR(IF(AND(INDEX($E$8:$CE$57, MATCH($C16, $C$8:$C$57, 0), (COLUMNS($DC16:DC16)-1)*5 + 1) = INDEX($E$5:$CE$5, 1, (COLUMNS($DC16:DC16)-1)*5 + 1), INDEX($E$8:$CE$57, MATCH($C16, $C$8:$C$57, 0), (COLUMNS($DC16:DC16)-1)*5 + 4) = "F"), INDEX($CZ$8:$CZ$23, COLUMNS($DC16:DC16)), "0"), "")</f>
        <v>0</v>
      </c>
      <c r="DD16" s="390" t="str">
        <f t="array" ref="DD16">IFERROR(IF(AND(INDEX($E$8:$CE$57, MATCH($C16, $C$8:$C$57, 0), (COLUMNS($DC16:DD16)-1)*5 + 1) = INDEX($E$5:$CE$5, 1, (COLUMNS($DC16:DD16)-1)*5 + 1), INDEX($E$8:$CE$57, MATCH($C16, $C$8:$C$57, 0), (COLUMNS($DC16:DD16)-1)*5 + 4) = "F"), INDEX($CZ$8:$CZ$23, COLUMNS($DC16:DD16)), "0"), "")</f>
        <v>0</v>
      </c>
      <c r="DE16" s="390" t="str">
        <f t="array" ref="DE16">IFERROR(IF(AND(INDEX($E$8:$CE$57, MATCH($C16, $C$8:$C$57, 0), (COLUMNS($DC16:DE16)-1)*5 + 1) = INDEX($E$5:$CE$5, 1, (COLUMNS($DC16:DE16)-1)*5 + 1), INDEX($E$8:$CE$57, MATCH($C16, $C$8:$C$57, 0), (COLUMNS($DC16:DE16)-1)*5 + 4) = "F"), INDEX($CZ$8:$CZ$23, COLUMNS($DC16:DE16)), "0"), "")</f>
        <v>0</v>
      </c>
      <c r="DF16" s="390" t="str">
        <f t="array" ref="DF16">IFERROR(IF(AND(INDEX($E$8:$CE$57, MATCH($C16, $C$8:$C$57, 0), (COLUMNS($DC16:DF16)-1)*5 + 1) = INDEX($E$5:$CE$5, 1, (COLUMNS($DC16:DF16)-1)*5 + 1), INDEX($E$8:$CE$57, MATCH($C16, $C$8:$C$57, 0), (COLUMNS($DC16:DF16)-1)*5 + 4) = "F"), INDEX($CZ$8:$CZ$23, COLUMNS($DC16:DF16)), "0"), "")</f>
        <v>0</v>
      </c>
      <c r="DG16" s="390" t="str">
        <f t="array" ref="DG16">IFERROR(IF(AND(INDEX($E$8:$CE$57, MATCH($C16, $C$8:$C$57, 0), (COLUMNS($DC16:DG16)-1)*5 + 1) = INDEX($E$5:$CE$5, 1, (COLUMNS($DC16:DG16)-1)*5 + 1), INDEX($E$8:$CE$57, MATCH($C16, $C$8:$C$57, 0), (COLUMNS($DC16:DG16)-1)*5 + 4) = "F"), INDEX($CZ$8:$CZ$23, COLUMNS($DC16:DG16)), "0"), "")</f>
        <v>0</v>
      </c>
      <c r="DH16" s="390" t="str">
        <f t="array" ref="DH16">IFERROR(IF(AND(INDEX($E$8:$CE$57, MATCH($C16, $C$8:$C$57, 0), (COLUMNS($DC16:DH16)-1)*5 + 1) = INDEX($E$5:$CE$5, 1, (COLUMNS($DC16:DH16)-1)*5 + 1), INDEX($E$8:$CE$57, MATCH($C16, $C$8:$C$57, 0), (COLUMNS($DC16:DH16)-1)*5 + 4) = "F"), INDEX($CZ$8:$CZ$23, COLUMNS($DC16:DH16)), "0"), "")</f>
        <v>0</v>
      </c>
      <c r="DI16" s="390" t="str">
        <f t="array" ref="DI16">IFERROR(IF(AND(INDEX($E$8:$CE$57, MATCH($C16, $C$8:$C$57, 0), (COLUMNS($DC16:DI16)-1)*5 + 1) = INDEX($E$5:$CE$5, 1, (COLUMNS($DC16:DI16)-1)*5 + 1), INDEX($E$8:$CE$57, MATCH($C16, $C$8:$C$57, 0), (COLUMNS($DC16:DI16)-1)*5 + 4) = "F"), INDEX($CZ$8:$CZ$23, COLUMNS($DC16:DI16)), "0"), "")</f>
        <v>0</v>
      </c>
      <c r="DJ16" s="390" t="str">
        <f t="array" ref="DJ16">IFERROR(IF(AND(INDEX($E$8:$CE$57, MATCH($C16, $C$8:$C$57, 0), (COLUMNS($DC16:DJ16)-1)*5 + 1) = INDEX($E$5:$CE$5, 1, (COLUMNS($DC16:DJ16)-1)*5 + 1), INDEX($E$8:$CE$57, MATCH($C16, $C$8:$C$57, 0), (COLUMNS($DC16:DJ16)-1)*5 + 4) = "F"), INDEX($CZ$8:$CZ$23, COLUMNS($DC16:DJ16)), "0"), "")</f>
        <v>0</v>
      </c>
      <c r="DK16" s="390" t="str">
        <f t="array" ref="DK16">IFERROR(IF(AND(INDEX($E$8:$CE$57, MATCH($C16, $C$8:$C$57, 0), (COLUMNS($DC16:DK16)-1)*5 + 1) = INDEX($E$5:$CE$5, 1, (COLUMNS($DC16:DK16)-1)*5 + 1), INDEX($E$8:$CE$57, MATCH($C16, $C$8:$C$57, 0), (COLUMNS($DC16:DK16)-1)*5 + 4) = "F"), INDEX($CZ$8:$CZ$23, COLUMNS($DC16:DK16)), "0"), "")</f>
        <v>0</v>
      </c>
      <c r="DL16" s="390" t="str">
        <f t="array" ref="DL16">IFERROR(IF(AND(INDEX($E$8:$CE$57, MATCH($C16, $C$8:$C$57, 0), (COLUMNS($DC16:DL16)-1)*5 + 1) = INDEX($E$5:$CE$5, 1, (COLUMNS($DC16:DL16)-1)*5 + 1), INDEX($E$8:$CE$57, MATCH($C16, $C$8:$C$57, 0), (COLUMNS($DC16:DL16)-1)*5 + 4) = "F"), INDEX($CZ$8:$CZ$23, COLUMNS($DC16:DL16)), "0"), "")</f>
        <v>0</v>
      </c>
      <c r="DM16" s="390">
        <f t="array" ref="DM16">IFERROR(IF(AND(INDEX($E$8:$CE$57, MATCH($C16, $C$8:$C$57, 0), (COLUMNS($DC16:DM16)-1)*5 + 1) = INDEX($E$5:$CE$5, 1, (COLUMNS($DC16:DM16)-1)*5 + 1), INDEX($E$8:$CE$57, MATCH($C16, $C$8:$C$57, 0), (COLUMNS($DC16:DM16)-1)*5 + 4) = "F"), INDEX($CZ$8:$CZ$23, COLUMNS($DC16:DM16)), "0"), "")</f>
        <v>156.87</v>
      </c>
      <c r="DN16" s="390" t="str">
        <f t="array" ref="DN16">IFERROR(IF(AND(INDEX($E$8:$CE$57, MATCH($C16, $C$8:$C$57, 0), (COLUMNS($DC16:DN16)-1)*5 + 1) = INDEX($E$5:$CE$5, 1, (COLUMNS($DC16:DN16)-1)*5 + 1), INDEX($E$8:$CE$57, MATCH($C16, $C$8:$C$57, 0), (COLUMNS($DC16:DN16)-1)*5 + 4) = "F"), INDEX($CZ$8:$CZ$23, COLUMNS($DC16:DN16)), "0"), "")</f>
        <v>0</v>
      </c>
      <c r="DO16" s="390" t="str">
        <f t="array" ref="DO16">IFERROR(IF(AND(INDEX($E$8:$CE$57, MATCH($C16, $C$8:$C$57, 0), (COLUMNS($DC16:DO16)-1)*5 + 1) = INDEX($E$5:$CE$5, 1, (COLUMNS($DC16:DO16)-1)*5 + 1), INDEX($E$8:$CE$57, MATCH($C16, $C$8:$C$57, 0), (COLUMNS($DC16:DO16)-1)*5 + 4) = "F"), INDEX($CZ$8:$CZ$23, COLUMNS($DC16:DO16)), "0"), "")</f>
        <v>0</v>
      </c>
      <c r="DP16" s="390" t="str">
        <f t="array" ref="DP16">IFERROR(IF(AND(INDEX($E$8:$CE$57, MATCH($C16, $C$8:$C$57, 0), (COLUMNS($DC16:DP16)-1)*5 + 1) = INDEX($E$5:$CE$5, 1, (COLUMNS($DC16:DP16)-1)*5 + 1), INDEX($E$8:$CE$57, MATCH($C16, $C$8:$C$57, 0), (COLUMNS($DC16:DP16)-1)*5 + 4) = "F"), INDEX($CZ$8:$CZ$23, COLUMNS($DC16:DP16)), "0"), "")</f>
        <v>0</v>
      </c>
      <c r="DQ16" s="390" t="str">
        <f t="array" ref="DQ16">IFERROR(IF(AND(INDEX($E$8:$CE$57, MATCH($C16, $C$8:$C$57, 0), (COLUMNS($DC16:DQ16)-1)*5 + 1) = INDEX($E$5:$CE$5, 1, (COLUMNS($DC16:DQ16)-1)*5 + 1), INDEX($E$8:$CE$57, MATCH($C16, $C$8:$C$57, 0), (COLUMNS($DC16:DQ16)-1)*5 + 4) = "F"), INDEX($CZ$8:$CZ$23, COLUMNS($DC16:DQ16)), "0"), "")</f>
        <v>0</v>
      </c>
      <c r="DR16" s="390" t="str">
        <f t="array" ref="DR16">IFERROR(IF(AND(INDEX($E$8:$CE$57, MATCH($C16, $C$8:$C$57, 0), (COLUMNS($DC16:DR16)-1)*5 + 1) = INDEX($E$5:$CE$5, 1, (COLUMNS($DC16:DR16)-1)*5 + 1), INDEX($E$8:$CE$57, MATCH($C16, $C$8:$C$57, 0), (COLUMNS($DC16:DR16)-1)*5 + 4) = "F"), INDEX($CZ$8:$CZ$23, COLUMNS($DC16:DR16)), "0"), "")</f>
        <v>0</v>
      </c>
      <c r="DT16" s="537" t="str">
        <f>SEMANA2[[#This Row],[COD]]</f>
        <v>COD 09</v>
      </c>
      <c r="DU16" s="390" t="str">
        <f t="array" ref="DU16">IFERROR(IF(AND(INDEX($E$8:$CE$57, MATCH($C16, $C$8:$C$57, 0), (COLUMNS($DU16:DU16)-1)*5 + 1) = INDEX($E$5:$CE$5, 1, (COLUMNS($DU16:DU16)-1)*5 + 1), INDEX($E$8:$CE$57, MATCH($C16, $C$8:$C$57, 0), (COLUMNS($DU16:DU16)-1)*5 + 4) = "SF"), INDEX($CZ$8:$CZ$23, COLUMNS($DU16:DU16)), "0"), "")</f>
        <v>0</v>
      </c>
      <c r="DV16" s="390" t="str">
        <f t="array" ref="DV16">IFERROR(IF(AND(INDEX($E$8:$CE$57, MATCH($C16, $C$8:$C$57, 0), (COLUMNS($DU16:DV16)-1)*5 + 1) = INDEX($E$5:$CE$5, 1, (COLUMNS($DU16:DV16)-1)*5 + 1), INDEX($E$8:$CE$57, MATCH($C16, $C$8:$C$57, 0), (COLUMNS($DU16:DV16)-1)*5 + 4) = "SF"), INDEX($CZ$8:$CZ$23, COLUMNS($DU16:DV16)), "0"), "")</f>
        <v>0</v>
      </c>
      <c r="DW16" s="390" t="str">
        <f t="array" ref="DW16">IFERROR(IF(AND(INDEX($E$8:$CE$57, MATCH($C16, $C$8:$C$57, 0), (COLUMNS($DU16:DW16)-1)*5 + 1) = INDEX($E$5:$CE$5, 1, (COLUMNS($DU16:DW16)-1)*5 + 1), INDEX($E$8:$CE$57, MATCH($C16, $C$8:$C$57, 0), (COLUMNS($DU16:DW16)-1)*5 + 4) = "SF"), INDEX($CZ$8:$CZ$23, COLUMNS($DU16:DW16)), "0"), "")</f>
        <v>0</v>
      </c>
      <c r="DX16" s="390" t="str">
        <f t="array" ref="DX16">IFERROR(IF(AND(INDEX($E$8:$CE$57, MATCH($C16, $C$8:$C$57, 0), (COLUMNS($DU16:DX16)-1)*5 + 1) = INDEX($E$5:$CE$5, 1, (COLUMNS($DU16:DX16)-1)*5 + 1), INDEX($E$8:$CE$57, MATCH($C16, $C$8:$C$57, 0), (COLUMNS($DU16:DX16)-1)*5 + 4) = "SF"), INDEX($CZ$8:$CZ$23, COLUMNS($DU16:DX16)), "0"), "")</f>
        <v>0</v>
      </c>
      <c r="DY16" s="390" t="str">
        <f t="array" ref="DY16">IFERROR(IF(AND(INDEX($E$8:$CE$57, MATCH($C16, $C$8:$C$57, 0), (COLUMNS($DU16:DY16)-1)*5 + 1) = INDEX($E$5:$CE$5, 1, (COLUMNS($DU16:DY16)-1)*5 + 1), INDEX($E$8:$CE$57, MATCH($C16, $C$8:$C$57, 0), (COLUMNS($DU16:DY16)-1)*5 + 4) = "SF"), INDEX($CZ$8:$CZ$23, COLUMNS($DU16:DY16)), "0"), "")</f>
        <v>0</v>
      </c>
      <c r="DZ16" s="390" t="str">
        <f t="array" ref="DZ16">IFERROR(IF(AND(INDEX($E$8:$CE$57, MATCH($C16, $C$8:$C$57, 0), (COLUMNS($DU16:DZ16)-1)*5 + 1) = INDEX($E$5:$CE$5, 1, (COLUMNS($DU16:DZ16)-1)*5 + 1), INDEX($E$8:$CE$57, MATCH($C16, $C$8:$C$57, 0), (COLUMNS($DU16:DZ16)-1)*5 + 4) = "SF"), INDEX($CZ$8:$CZ$23, COLUMNS($DU16:DZ16)), "0"), "")</f>
        <v>0</v>
      </c>
      <c r="EA16" s="390" t="str">
        <f t="array" ref="EA16">IFERROR(IF(AND(INDEX($E$8:$CE$57, MATCH($C16, $C$8:$C$57, 0), (COLUMNS($DU16:EA16)-1)*5 + 1) = INDEX($E$5:$CE$5, 1, (COLUMNS($DU16:EA16)-1)*5 + 1), INDEX($E$8:$CE$57, MATCH($C16, $C$8:$C$57, 0), (COLUMNS($DU16:EA16)-1)*5 + 4) = "SF"), INDEX($CZ$8:$CZ$23, COLUMNS($DU16:EA16)), "0"), "")</f>
        <v>0</v>
      </c>
      <c r="EB16" s="390">
        <f t="array" ref="EB16">IFERROR(IF(AND(INDEX($E$8:$CE$57, MATCH($C16, $C$8:$C$57, 0), (COLUMNS($DU16:EB16)-1)*5 + 1) = INDEX($E$5:$CE$5, 1, (COLUMNS($DU16:EB16)-1)*5 + 1), INDEX($E$8:$CE$57, MATCH($C16, $C$8:$C$57, 0), (COLUMNS($DU16:EB16)-1)*5 + 4) = "SF"), INDEX($CZ$8:$CZ$23, COLUMNS($DU16:EB16)), "0"), "")</f>
        <v>128.36000000000001</v>
      </c>
      <c r="EC16" s="390" t="str">
        <f t="array" ref="EC16">IFERROR(IF(AND(INDEX($E$8:$CE$57, MATCH($C16, $C$8:$C$57, 0), (COLUMNS($DU16:EC16)-1)*5 + 1) = INDEX($E$5:$CE$5, 1, (COLUMNS($DU16:EC16)-1)*5 + 1), INDEX($E$8:$CE$57, MATCH($C16, $C$8:$C$57, 0), (COLUMNS($DU16:EC16)-1)*5 + 4) = "SF"), INDEX($CZ$8:$CZ$23, COLUMNS($DU16:EC16)), "0"), "")</f>
        <v>0</v>
      </c>
      <c r="ED16" s="390" t="str">
        <f t="array" ref="ED16">IFERROR(IF(AND(INDEX($E$8:$CE$57, MATCH($C16, $C$8:$C$57, 0), (COLUMNS($DU16:ED16)-1)*5 + 1) = INDEX($E$5:$CE$5, 1, (COLUMNS($DU16:ED16)-1)*5 + 1), INDEX($E$8:$CE$57, MATCH($C16, $C$8:$C$57, 0), (COLUMNS($DU16:ED16)-1)*5 + 4) = "SF"), INDEX($CZ$8:$CZ$23, COLUMNS($DU16:ED16)), "0"), "")</f>
        <v>0</v>
      </c>
      <c r="EE16" s="390" t="str">
        <f t="array" ref="EE16">IFERROR(IF(AND(INDEX($E$8:$CE$57, MATCH($C16, $C$8:$C$57, 0), (COLUMNS($DU16:EE16)-1)*5 + 1) = INDEX($E$5:$CE$5, 1, (COLUMNS($DU16:EE16)-1)*5 + 1), INDEX($E$8:$CE$57, MATCH($C16, $C$8:$C$57, 0), (COLUMNS($DU16:EE16)-1)*5 + 4) = "SF"), INDEX($CZ$8:$CZ$23, COLUMNS($DU16:EE16)), "0"), "")</f>
        <v>0</v>
      </c>
      <c r="EF16" s="390" t="str">
        <f t="array" ref="EF16">IFERROR(IF(AND(INDEX($E$8:$CE$57, MATCH($C16, $C$8:$C$57, 0), (COLUMNS($DU16:EF16)-1)*5 + 1) = INDEX($E$5:$CE$5, 1, (COLUMNS($DU16:EF16)-1)*5 + 1), INDEX($E$8:$CE$57, MATCH($C16, $C$8:$C$57, 0), (COLUMNS($DU16:EF16)-1)*5 + 4) = "SF"), INDEX($CZ$8:$CZ$23, COLUMNS($DU16:EF16)), "0"), "")</f>
        <v>0</v>
      </c>
      <c r="EG16" s="390" t="str">
        <f t="array" ref="EG16">IFERROR(IF(AND(INDEX($E$8:$CE$57, MATCH($C16, $C$8:$C$57, 0), (COLUMNS($DU16:EG16)-1)*5 + 1) = INDEX($E$5:$CE$5, 1, (COLUMNS($DU16:EG16)-1)*5 + 1), INDEX($E$8:$CE$57, MATCH($C16, $C$8:$C$57, 0), (COLUMNS($DU16:EG16)-1)*5 + 4) = "SF"), INDEX($CZ$8:$CZ$23, COLUMNS($DU16:EG16)), "0"), "")</f>
        <v>0</v>
      </c>
      <c r="EH16" s="390" t="str">
        <f t="array" ref="EH16">IFERROR(IF(AND(INDEX($E$8:$CE$57, MATCH($C16, $C$8:$C$57, 0), (COLUMNS($DU16:EH16)-1)*5 + 1) = INDEX($E$5:$CE$5, 1, (COLUMNS($DU16:EH16)-1)*5 + 1), INDEX($E$8:$CE$57, MATCH($C16, $C$8:$C$57, 0), (COLUMNS($DU16:EH16)-1)*5 + 4) = "SF"), INDEX($CZ$8:$CZ$23, COLUMNS($DU16:EH16)), "0"), "")</f>
        <v>0</v>
      </c>
      <c r="EI16" s="390" t="str">
        <f t="array" ref="EI16">IFERROR(IF(AND(INDEX($E$8:$CE$57, MATCH($C16, $C$8:$C$57, 0), (COLUMNS($DU16:EI16)-1)*5 + 1) = INDEX($E$5:$CE$5, 1, (COLUMNS($DU16:EI16)-1)*5 + 1), INDEX($E$8:$CE$57, MATCH($C16, $C$8:$C$57, 0), (COLUMNS($DU16:EI16)-1)*5 + 4) = "SF"), INDEX($CZ$8:$CZ$23, COLUMNS($DU16:EI16)), "0"), "")</f>
        <v>0</v>
      </c>
      <c r="EJ16" s="390" t="str">
        <f t="array" ref="EJ16">IFERROR(IF(AND(INDEX($E$8:$CE$57, MATCH($C16, $C$8:$C$57, 0), (COLUMNS($DU16:EJ16)-1)*5 + 1) = INDEX($E$5:$CE$5, 1, (COLUMNS($DU16:EJ16)-1)*5 + 1), INDEX($E$8:$CE$57, MATCH($C16, $C$8:$C$57, 0), (COLUMNS($DU16:EJ16)-1)*5 + 4) = "SF"), INDEX($CZ$8:$CZ$23, COLUMNS($DU16:EJ16)), "0"), "")</f>
        <v>0</v>
      </c>
    </row>
    <row r="17" spans="1:140" ht="20.100000000000001" customHeight="1" x14ac:dyDescent="0.35">
      <c r="A17" s="515"/>
      <c r="B17" s="444">
        <f>IF(SEMANA2[[#This Row],[COD]]&lt;&gt;"",B16+1,"")</f>
        <v>10</v>
      </c>
      <c r="C17" s="554" t="s">
        <v>51</v>
      </c>
      <c r="D17" s="410" t="str">
        <f t="array" ref="D17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17" s="411">
        <v>2</v>
      </c>
      <c r="F17" s="413">
        <v>9</v>
      </c>
      <c r="G17" s="413">
        <v>3</v>
      </c>
      <c r="H17" s="413"/>
      <c r="I17" s="534">
        <f t="shared" si="0"/>
        <v>0</v>
      </c>
      <c r="J17" s="411">
        <v>1</v>
      </c>
      <c r="K17" s="413">
        <v>7</v>
      </c>
      <c r="L17" s="413">
        <v>2</v>
      </c>
      <c r="M17" s="413" t="s">
        <v>254</v>
      </c>
      <c r="N17" s="534">
        <f t="shared" si="1"/>
        <v>2</v>
      </c>
      <c r="O17" s="411">
        <v>5</v>
      </c>
      <c r="P17" s="413">
        <v>1</v>
      </c>
      <c r="Q17" s="413">
        <v>7</v>
      </c>
      <c r="R17" s="413"/>
      <c r="S17" s="534">
        <f t="shared" si="2"/>
        <v>2</v>
      </c>
      <c r="T17" s="411">
        <v>3</v>
      </c>
      <c r="U17" s="413">
        <v>4</v>
      </c>
      <c r="V17" s="413">
        <v>5</v>
      </c>
      <c r="W17" s="413"/>
      <c r="X17" s="534">
        <f t="shared" si="3"/>
        <v>0</v>
      </c>
      <c r="Y17" s="411">
        <v>1</v>
      </c>
      <c r="Z17" s="413">
        <v>2</v>
      </c>
      <c r="AA17" s="413">
        <v>4</v>
      </c>
      <c r="AB17" s="413"/>
      <c r="AC17" s="534">
        <f t="shared" si="4"/>
        <v>2</v>
      </c>
      <c r="AD17" s="411">
        <v>4</v>
      </c>
      <c r="AE17" s="413">
        <v>5</v>
      </c>
      <c r="AF17" s="413">
        <v>3</v>
      </c>
      <c r="AG17" s="413"/>
      <c r="AH17" s="534">
        <f t="shared" si="5"/>
        <v>0</v>
      </c>
      <c r="AI17" s="411">
        <v>7</v>
      </c>
      <c r="AJ17" s="413">
        <v>6</v>
      </c>
      <c r="AK17" s="413">
        <v>10</v>
      </c>
      <c r="AL17" s="413"/>
      <c r="AM17" s="534">
        <f t="shared" si="6"/>
        <v>0</v>
      </c>
      <c r="AN17" s="411">
        <v>8</v>
      </c>
      <c r="AO17" s="413"/>
      <c r="AP17" s="413"/>
      <c r="AQ17" s="413" t="s">
        <v>255</v>
      </c>
      <c r="AR17" s="534">
        <f t="shared" si="7"/>
        <v>7.5</v>
      </c>
      <c r="AS17" s="411">
        <v>2</v>
      </c>
      <c r="AT17" s="413">
        <v>10</v>
      </c>
      <c r="AU17" s="413">
        <v>9</v>
      </c>
      <c r="AV17" s="413"/>
      <c r="AW17" s="534">
        <f t="shared" si="8"/>
        <v>4</v>
      </c>
      <c r="AX17" s="411">
        <v>1</v>
      </c>
      <c r="AY17" s="413">
        <v>2</v>
      </c>
      <c r="AZ17" s="413">
        <v>10</v>
      </c>
      <c r="BA17" s="413"/>
      <c r="BB17" s="534">
        <f t="shared" si="9"/>
        <v>2</v>
      </c>
      <c r="BC17" s="411">
        <v>7</v>
      </c>
      <c r="BD17" s="413">
        <v>5</v>
      </c>
      <c r="BE17" s="413">
        <v>4</v>
      </c>
      <c r="BF17" s="413"/>
      <c r="BG17" s="534">
        <f t="shared" si="10"/>
        <v>4</v>
      </c>
      <c r="BH17" s="411">
        <v>6</v>
      </c>
      <c r="BI17" s="413">
        <v>9</v>
      </c>
      <c r="BJ17" s="413">
        <v>1</v>
      </c>
      <c r="BK17" s="413" t="s">
        <v>254</v>
      </c>
      <c r="BL17" s="534">
        <f t="shared" si="11"/>
        <v>5</v>
      </c>
      <c r="BM17" s="411">
        <v>4</v>
      </c>
      <c r="BN17" s="413">
        <v>9</v>
      </c>
      <c r="BO17" s="413">
        <v>1</v>
      </c>
      <c r="BP17" s="413"/>
      <c r="BQ17" s="534">
        <f t="shared" si="12"/>
        <v>0</v>
      </c>
      <c r="BR17" s="411">
        <v>11</v>
      </c>
      <c r="BS17" s="413">
        <v>1</v>
      </c>
      <c r="BT17" s="413">
        <v>5</v>
      </c>
      <c r="BU17" s="413"/>
      <c r="BV17" s="534">
        <f t="shared" si="13"/>
        <v>4</v>
      </c>
      <c r="BW17" s="411"/>
      <c r="BX17" s="413"/>
      <c r="BY17" s="413"/>
      <c r="BZ17" s="413"/>
      <c r="CA17" s="534">
        <f t="shared" si="14"/>
        <v>0</v>
      </c>
      <c r="CB17" s="411"/>
      <c r="CC17" s="413"/>
      <c r="CD17" s="413"/>
      <c r="CE17" s="413"/>
      <c r="CF17" s="534">
        <f t="shared" si="15"/>
        <v>0</v>
      </c>
      <c r="CG17" s="162">
        <f>IF(SEMANA2[[#This Row],[1]]="",0,$B$4)</f>
        <v>14</v>
      </c>
      <c r="CH17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4</v>
      </c>
      <c r="CI17" s="164">
        <f>IF(SEMANA2[[#This Row],[Columna14]]=0,0,(CH17/CG17))</f>
        <v>0.2857142857142857</v>
      </c>
      <c r="CJ17" s="163">
        <f>IF(SEMANA2[[#This Row],[1]]="",0,$B$4)</f>
        <v>14</v>
      </c>
      <c r="CK17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9</v>
      </c>
      <c r="CL17" s="164">
        <f>IF(SEMANA2[[#This Row],[Columna14]]=0,0,(CK17/CJ17))</f>
        <v>0.6428571428571429</v>
      </c>
      <c r="CM17" s="162">
        <f>IF(SEMANA2[[#This Row],[1]]="",0,$B$4)</f>
        <v>14</v>
      </c>
      <c r="CN17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9</v>
      </c>
      <c r="CO17" s="164">
        <f>IF(SEMANA2[[#This Row],[Columna14]]=0,0,(CN17/CM17))</f>
        <v>0.6428571428571429</v>
      </c>
      <c r="CP17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17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Row],[Columna25]],$AX$5,BA17,"SF")+COUNTIFS(SEMANA2[[#This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17" s="164">
        <f>IFERROR(IF(SEMANA2[[#This Row],[Columna14]]=0,0,(CQ17/CP17)),0)</f>
        <v>0.66666666666666663</v>
      </c>
      <c r="CS17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32.5</v>
      </c>
      <c r="CT17" s="93">
        <f>_xlfn.XLOOKUP(SEMANA2[[#This Row],[COD]],BASE01[COD],BASE01[Columna33])</f>
        <v>42</v>
      </c>
      <c r="CU17" s="536">
        <f t="shared" si="16"/>
        <v>74.5</v>
      </c>
      <c r="CV17" s="445">
        <f>IF(SEMANA2[[#This Row],[TIPO]]="PREMIO",$O$3,"0,00")</f>
        <v>1000</v>
      </c>
      <c r="CW17" s="515"/>
      <c r="CY17" s="388">
        <v>10</v>
      </c>
      <c r="CZ17" s="349">
        <f>$AY$6</f>
        <v>163.44</v>
      </c>
      <c r="DB17" s="537" t="str">
        <f>SEMANA2[[#This Row],[COD]]</f>
        <v>COD 10</v>
      </c>
      <c r="DC17" s="390" t="str">
        <f t="array" ref="DC17">IFERROR(IF(AND(INDEX($E$8:$CE$57, MATCH($C17, $C$8:$C$57, 0), (COLUMNS($DC17:DC17)-1)*5 + 1) = INDEX($E$5:$CE$5, 1, (COLUMNS($DC17:DC17)-1)*5 + 1), INDEX($E$8:$CE$57, MATCH($C17, $C$8:$C$57, 0), (COLUMNS($DC17:DC17)-1)*5 + 4) = "F"), INDEX($CZ$8:$CZ$23, COLUMNS($DC17:DC17)), "0"), "")</f>
        <v>0</v>
      </c>
      <c r="DD17" s="390" t="str">
        <f t="array" ref="DD17">IFERROR(IF(AND(INDEX($E$8:$CE$57, MATCH($C17, $C$8:$C$57, 0), (COLUMNS($DC17:DD17)-1)*5 + 1) = INDEX($E$5:$CE$5, 1, (COLUMNS($DC17:DD17)-1)*5 + 1), INDEX($E$8:$CE$57, MATCH($C17, $C$8:$C$57, 0), (COLUMNS($DC17:DD17)-1)*5 + 4) = "F"), INDEX($CZ$8:$CZ$23, COLUMNS($DC17:DD17)), "0"), "")</f>
        <v>0</v>
      </c>
      <c r="DE17" s="390" t="str">
        <f t="array" ref="DE17">IFERROR(IF(AND(INDEX($E$8:$CE$57, MATCH($C17, $C$8:$C$57, 0), (COLUMNS($DC17:DE17)-1)*5 + 1) = INDEX($E$5:$CE$5, 1, (COLUMNS($DC17:DE17)-1)*5 + 1), INDEX($E$8:$CE$57, MATCH($C17, $C$8:$C$57, 0), (COLUMNS($DC17:DE17)-1)*5 + 4) = "F"), INDEX($CZ$8:$CZ$23, COLUMNS($DC17:DE17)), "0"), "")</f>
        <v>0</v>
      </c>
      <c r="DF17" s="390" t="str">
        <f t="array" ref="DF17">IFERROR(IF(AND(INDEX($E$8:$CE$57, MATCH($C17, $C$8:$C$57, 0), (COLUMNS($DC17:DF17)-1)*5 + 1) = INDEX($E$5:$CE$5, 1, (COLUMNS($DC17:DF17)-1)*5 + 1), INDEX($E$8:$CE$57, MATCH($C17, $C$8:$C$57, 0), (COLUMNS($DC17:DF17)-1)*5 + 4) = "F"), INDEX($CZ$8:$CZ$23, COLUMNS($DC17:DF17)), "0"), "")</f>
        <v>0</v>
      </c>
      <c r="DG17" s="390" t="str">
        <f t="array" ref="DG17">IFERROR(IF(AND(INDEX($E$8:$CE$57, MATCH($C17, $C$8:$C$57, 0), (COLUMNS($DC17:DG17)-1)*5 + 1) = INDEX($E$5:$CE$5, 1, (COLUMNS($DC17:DG17)-1)*5 + 1), INDEX($E$8:$CE$57, MATCH($C17, $C$8:$C$57, 0), (COLUMNS($DC17:DG17)-1)*5 + 4) = "F"), INDEX($CZ$8:$CZ$23, COLUMNS($DC17:DG17)), "0"), "")</f>
        <v>0</v>
      </c>
      <c r="DH17" s="390" t="str">
        <f t="array" ref="DH17">IFERROR(IF(AND(INDEX($E$8:$CE$57, MATCH($C17, $C$8:$C$57, 0), (COLUMNS($DC17:DH17)-1)*5 + 1) = INDEX($E$5:$CE$5, 1, (COLUMNS($DC17:DH17)-1)*5 + 1), INDEX($E$8:$CE$57, MATCH($C17, $C$8:$C$57, 0), (COLUMNS($DC17:DH17)-1)*5 + 4) = "F"), INDEX($CZ$8:$CZ$23, COLUMNS($DC17:DH17)), "0"), "")</f>
        <v>0</v>
      </c>
      <c r="DI17" s="390" t="str">
        <f t="array" ref="DI17">IFERROR(IF(AND(INDEX($E$8:$CE$57, MATCH($C17, $C$8:$C$57, 0), (COLUMNS($DC17:DI17)-1)*5 + 1) = INDEX($E$5:$CE$5, 1, (COLUMNS($DC17:DI17)-1)*5 + 1), INDEX($E$8:$CE$57, MATCH($C17, $C$8:$C$57, 0), (COLUMNS($DC17:DI17)-1)*5 + 4) = "F"), INDEX($CZ$8:$CZ$23, COLUMNS($DC17:DI17)), "0"), "")</f>
        <v>0</v>
      </c>
      <c r="DJ17" s="390" t="str">
        <f t="array" ref="DJ17">IFERROR(IF(AND(INDEX($E$8:$CE$57, MATCH($C17, $C$8:$C$57, 0), (COLUMNS($DC17:DJ17)-1)*5 + 1) = INDEX($E$5:$CE$5, 1, (COLUMNS($DC17:DJ17)-1)*5 + 1), INDEX($E$8:$CE$57, MATCH($C17, $C$8:$C$57, 0), (COLUMNS($DC17:DJ17)-1)*5 + 4) = "F"), INDEX($CZ$8:$CZ$23, COLUMNS($DC17:DJ17)), "0"), "")</f>
        <v>0</v>
      </c>
      <c r="DK17" s="390" t="str">
        <f t="array" ref="DK17">IFERROR(IF(AND(INDEX($E$8:$CE$57, MATCH($C17, $C$8:$C$57, 0), (COLUMNS($DC17:DK17)-1)*5 + 1) = INDEX($E$5:$CE$5, 1, (COLUMNS($DC17:DK17)-1)*5 + 1), INDEX($E$8:$CE$57, MATCH($C17, $C$8:$C$57, 0), (COLUMNS($DC17:DK17)-1)*5 + 4) = "F"), INDEX($CZ$8:$CZ$23, COLUMNS($DC17:DK17)), "0"), "")</f>
        <v>0</v>
      </c>
      <c r="DL17" s="390" t="str">
        <f t="array" ref="DL17">IFERROR(IF(AND(INDEX($E$8:$CE$57, MATCH($C17, $C$8:$C$57, 0), (COLUMNS($DC17:DL17)-1)*5 + 1) = INDEX($E$5:$CE$5, 1, (COLUMNS($DC17:DL17)-1)*5 + 1), INDEX($E$8:$CE$57, MATCH($C17, $C$8:$C$57, 0), (COLUMNS($DC17:DL17)-1)*5 + 4) = "F"), INDEX($CZ$8:$CZ$23, COLUMNS($DC17:DL17)), "0"), "")</f>
        <v>0</v>
      </c>
      <c r="DM17" s="390" t="str">
        <f t="array" ref="DM17">IFERROR(IF(AND(INDEX($E$8:$CE$57, MATCH($C17, $C$8:$C$57, 0), (COLUMNS($DC17:DM17)-1)*5 + 1) = INDEX($E$5:$CE$5, 1, (COLUMNS($DC17:DM17)-1)*5 + 1), INDEX($E$8:$CE$57, MATCH($C17, $C$8:$C$57, 0), (COLUMNS($DC17:DM17)-1)*5 + 4) = "F"), INDEX($CZ$8:$CZ$23, COLUMNS($DC17:DM17)), "0"), "")</f>
        <v>0</v>
      </c>
      <c r="DN17" s="390">
        <f t="array" ref="DN17">IFERROR(IF(AND(INDEX($E$8:$CE$57, MATCH($C17, $C$8:$C$57, 0), (COLUMNS($DC17:DN17)-1)*5 + 1) = INDEX($E$5:$CE$5, 1, (COLUMNS($DC17:DN17)-1)*5 + 1), INDEX($E$8:$CE$57, MATCH($C17, $C$8:$C$57, 0), (COLUMNS($DC17:DN17)-1)*5 + 4) = "F"), INDEX($CZ$8:$CZ$23, COLUMNS($DC17:DN17)), "0"), "")</f>
        <v>177.86</v>
      </c>
      <c r="DO17" s="390" t="str">
        <f t="array" ref="DO17">IFERROR(IF(AND(INDEX($E$8:$CE$57, MATCH($C17, $C$8:$C$57, 0), (COLUMNS($DC17:DO17)-1)*5 + 1) = INDEX($E$5:$CE$5, 1, (COLUMNS($DC17:DO17)-1)*5 + 1), INDEX($E$8:$CE$57, MATCH($C17, $C$8:$C$57, 0), (COLUMNS($DC17:DO17)-1)*5 + 4) = "F"), INDEX($CZ$8:$CZ$23, COLUMNS($DC17:DO17)), "0"), "")</f>
        <v>0</v>
      </c>
      <c r="DP17" s="390" t="str">
        <f t="array" ref="DP17">IFERROR(IF(AND(INDEX($E$8:$CE$57, MATCH($C17, $C$8:$C$57, 0), (COLUMNS($DC17:DP17)-1)*5 + 1) = INDEX($E$5:$CE$5, 1, (COLUMNS($DC17:DP17)-1)*5 + 1), INDEX($E$8:$CE$57, MATCH($C17, $C$8:$C$57, 0), (COLUMNS($DC17:DP17)-1)*5 + 4) = "F"), INDEX($CZ$8:$CZ$23, COLUMNS($DC17:DP17)), "0"), "")</f>
        <v>0</v>
      </c>
      <c r="DQ17" s="390" t="str">
        <f t="array" ref="DQ17">IFERROR(IF(AND(INDEX($E$8:$CE$57, MATCH($C17, $C$8:$C$57, 0), (COLUMNS($DC17:DQ17)-1)*5 + 1) = INDEX($E$5:$CE$5, 1, (COLUMNS($DC17:DQ17)-1)*5 + 1), INDEX($E$8:$CE$57, MATCH($C17, $C$8:$C$57, 0), (COLUMNS($DC17:DQ17)-1)*5 + 4) = "F"), INDEX($CZ$8:$CZ$23, COLUMNS($DC17:DQ17)), "0"), "")</f>
        <v>0</v>
      </c>
      <c r="DR17" s="390" t="str">
        <f t="array" ref="DR17">IFERROR(IF(AND(INDEX($E$8:$CE$57, MATCH($C17, $C$8:$C$57, 0), (COLUMNS($DC17:DR17)-1)*5 + 1) = INDEX($E$5:$CE$5, 1, (COLUMNS($DC17:DR17)-1)*5 + 1), INDEX($E$8:$CE$57, MATCH($C17, $C$8:$C$57, 0), (COLUMNS($DC17:DR17)-1)*5 + 4) = "F"), INDEX($CZ$8:$CZ$23, COLUMNS($DC17:DR17)), "0"), "")</f>
        <v>0</v>
      </c>
      <c r="DT17" s="537" t="str">
        <f>SEMANA2[[#This Row],[COD]]</f>
        <v>COD 10</v>
      </c>
      <c r="DU17" s="390" t="str">
        <f t="array" ref="DU17">IFERROR(IF(AND(INDEX($E$8:$CE$57, MATCH($C17, $C$8:$C$57, 0), (COLUMNS($DU17:DU17)-1)*5 + 1) = INDEX($E$5:$CE$5, 1, (COLUMNS($DU17:DU17)-1)*5 + 1), INDEX($E$8:$CE$57, MATCH($C17, $C$8:$C$57, 0), (COLUMNS($DU17:DU17)-1)*5 + 4) = "SF"), INDEX($CZ$8:$CZ$23, COLUMNS($DU17:DU17)), "0"), "")</f>
        <v>0</v>
      </c>
      <c r="DV17" s="390" t="str">
        <f t="array" ref="DV17">IFERROR(IF(AND(INDEX($E$8:$CE$57, MATCH($C17, $C$8:$C$57, 0), (COLUMNS($DU17:DV17)-1)*5 + 1) = INDEX($E$5:$CE$5, 1, (COLUMNS($DU17:DV17)-1)*5 + 1), INDEX($E$8:$CE$57, MATCH($C17, $C$8:$C$57, 0), (COLUMNS($DU17:DV17)-1)*5 + 4) = "SF"), INDEX($CZ$8:$CZ$23, COLUMNS($DU17:DV17)), "0"), "")</f>
        <v>0</v>
      </c>
      <c r="DW17" s="390" t="str">
        <f t="array" ref="DW17">IFERROR(IF(AND(INDEX($E$8:$CE$57, MATCH($C17, $C$8:$C$57, 0), (COLUMNS($DU17:DW17)-1)*5 + 1) = INDEX($E$5:$CE$5, 1, (COLUMNS($DU17:DW17)-1)*5 + 1), INDEX($E$8:$CE$57, MATCH($C17, $C$8:$C$57, 0), (COLUMNS($DU17:DW17)-1)*5 + 4) = "SF"), INDEX($CZ$8:$CZ$23, COLUMNS($DU17:DW17)), "0"), "")</f>
        <v>0</v>
      </c>
      <c r="DX17" s="390" t="str">
        <f t="array" ref="DX17">IFERROR(IF(AND(INDEX($E$8:$CE$57, MATCH($C17, $C$8:$C$57, 0), (COLUMNS($DU17:DX17)-1)*5 + 1) = INDEX($E$5:$CE$5, 1, (COLUMNS($DU17:DX17)-1)*5 + 1), INDEX($E$8:$CE$57, MATCH($C17, $C$8:$C$57, 0), (COLUMNS($DU17:DX17)-1)*5 + 4) = "SF"), INDEX($CZ$8:$CZ$23, COLUMNS($DU17:DX17)), "0"), "")</f>
        <v>0</v>
      </c>
      <c r="DY17" s="390" t="str">
        <f t="array" ref="DY17">IFERROR(IF(AND(INDEX($E$8:$CE$57, MATCH($C17, $C$8:$C$57, 0), (COLUMNS($DU17:DY17)-1)*5 + 1) = INDEX($E$5:$CE$5, 1, (COLUMNS($DU17:DY17)-1)*5 + 1), INDEX($E$8:$CE$57, MATCH($C17, $C$8:$C$57, 0), (COLUMNS($DU17:DY17)-1)*5 + 4) = "SF"), INDEX($CZ$8:$CZ$23, COLUMNS($DU17:DY17)), "0"), "")</f>
        <v>0</v>
      </c>
      <c r="DZ17" s="390" t="str">
        <f t="array" ref="DZ17">IFERROR(IF(AND(INDEX($E$8:$CE$57, MATCH($C17, $C$8:$C$57, 0), (COLUMNS($DU17:DZ17)-1)*5 + 1) = INDEX($E$5:$CE$5, 1, (COLUMNS($DU17:DZ17)-1)*5 + 1), INDEX($E$8:$CE$57, MATCH($C17, $C$8:$C$57, 0), (COLUMNS($DU17:DZ17)-1)*5 + 4) = "SF"), INDEX($CZ$8:$CZ$23, COLUMNS($DU17:DZ17)), "0"), "")</f>
        <v>0</v>
      </c>
      <c r="EA17" s="390" t="str">
        <f t="array" ref="EA17">IFERROR(IF(AND(INDEX($E$8:$CE$57, MATCH($C17, $C$8:$C$57, 0), (COLUMNS($DU17:EA17)-1)*5 + 1) = INDEX($E$5:$CE$5, 1, (COLUMNS($DU17:EA17)-1)*5 + 1), INDEX($E$8:$CE$57, MATCH($C17, $C$8:$C$57, 0), (COLUMNS($DU17:EA17)-1)*5 + 4) = "SF"), INDEX($CZ$8:$CZ$23, COLUMNS($DU17:EA17)), "0"), "")</f>
        <v>0</v>
      </c>
      <c r="EB17" s="390">
        <f t="array" ref="EB17">IFERROR(IF(AND(INDEX($E$8:$CE$57, MATCH($C17, $C$8:$C$57, 0), (COLUMNS($DU17:EB17)-1)*5 + 1) = INDEX($E$5:$CE$5, 1, (COLUMNS($DU17:EB17)-1)*5 + 1), INDEX($E$8:$CE$57, MATCH($C17, $C$8:$C$57, 0), (COLUMNS($DU17:EB17)-1)*5 + 4) = "SF"), INDEX($CZ$8:$CZ$23, COLUMNS($DU17:EB17)), "0"), "")</f>
        <v>128.36000000000001</v>
      </c>
      <c r="EC17" s="390" t="str">
        <f t="array" ref="EC17">IFERROR(IF(AND(INDEX($E$8:$CE$57, MATCH($C17, $C$8:$C$57, 0), (COLUMNS($DU17:EC17)-1)*5 + 1) = INDEX($E$5:$CE$5, 1, (COLUMNS($DU17:EC17)-1)*5 + 1), INDEX($E$8:$CE$57, MATCH($C17, $C$8:$C$57, 0), (COLUMNS($DU17:EC17)-1)*5 + 4) = "SF"), INDEX($CZ$8:$CZ$23, COLUMNS($DU17:EC17)), "0"), "")</f>
        <v>0</v>
      </c>
      <c r="ED17" s="390" t="str">
        <f t="array" ref="ED17">IFERROR(IF(AND(INDEX($E$8:$CE$57, MATCH($C17, $C$8:$C$57, 0), (COLUMNS($DU17:ED17)-1)*5 + 1) = INDEX($E$5:$CE$5, 1, (COLUMNS($DU17:ED17)-1)*5 + 1), INDEX($E$8:$CE$57, MATCH($C17, $C$8:$C$57, 0), (COLUMNS($DU17:ED17)-1)*5 + 4) = "SF"), INDEX($CZ$8:$CZ$23, COLUMNS($DU17:ED17)), "0"), "")</f>
        <v>0</v>
      </c>
      <c r="EE17" s="390" t="str">
        <f t="array" ref="EE17">IFERROR(IF(AND(INDEX($E$8:$CE$57, MATCH($C17, $C$8:$C$57, 0), (COLUMNS($DU17:EE17)-1)*5 + 1) = INDEX($E$5:$CE$5, 1, (COLUMNS($DU17:EE17)-1)*5 + 1), INDEX($E$8:$CE$57, MATCH($C17, $C$8:$C$57, 0), (COLUMNS($DU17:EE17)-1)*5 + 4) = "SF"), INDEX($CZ$8:$CZ$23, COLUMNS($DU17:EE17)), "0"), "")</f>
        <v>0</v>
      </c>
      <c r="EF17" s="390" t="str">
        <f t="array" ref="EF17">IFERROR(IF(AND(INDEX($E$8:$CE$57, MATCH($C17, $C$8:$C$57, 0), (COLUMNS($DU17:EF17)-1)*5 + 1) = INDEX($E$5:$CE$5, 1, (COLUMNS($DU17:EF17)-1)*5 + 1), INDEX($E$8:$CE$57, MATCH($C17, $C$8:$C$57, 0), (COLUMNS($DU17:EF17)-1)*5 + 4) = "SF"), INDEX($CZ$8:$CZ$23, COLUMNS($DU17:EF17)), "0"), "")</f>
        <v>0</v>
      </c>
      <c r="EG17" s="390" t="str">
        <f t="array" ref="EG17">IFERROR(IF(AND(INDEX($E$8:$CE$57, MATCH($C17, $C$8:$C$57, 0), (COLUMNS($DU17:EG17)-1)*5 + 1) = INDEX($E$5:$CE$5, 1, (COLUMNS($DU17:EG17)-1)*5 + 1), INDEX($E$8:$CE$57, MATCH($C17, $C$8:$C$57, 0), (COLUMNS($DU17:EG17)-1)*5 + 4) = "SF"), INDEX($CZ$8:$CZ$23, COLUMNS($DU17:EG17)), "0"), "")</f>
        <v>0</v>
      </c>
      <c r="EH17" s="390" t="str">
        <f t="array" ref="EH17">IFERROR(IF(AND(INDEX($E$8:$CE$57, MATCH($C17, $C$8:$C$57, 0), (COLUMNS($DU17:EH17)-1)*5 + 1) = INDEX($E$5:$CE$5, 1, (COLUMNS($DU17:EH17)-1)*5 + 1), INDEX($E$8:$CE$57, MATCH($C17, $C$8:$C$57, 0), (COLUMNS($DU17:EH17)-1)*5 + 4) = "SF"), INDEX($CZ$8:$CZ$23, COLUMNS($DU17:EH17)), "0"), "")</f>
        <v>0</v>
      </c>
      <c r="EI17" s="390" t="str">
        <f t="array" ref="EI17">IFERROR(IF(AND(INDEX($E$8:$CE$57, MATCH($C17, $C$8:$C$57, 0), (COLUMNS($DU17:EI17)-1)*5 + 1) = INDEX($E$5:$CE$5, 1, (COLUMNS($DU17:EI17)-1)*5 + 1), INDEX($E$8:$CE$57, MATCH($C17, $C$8:$C$57, 0), (COLUMNS($DU17:EI17)-1)*5 + 4) = "SF"), INDEX($CZ$8:$CZ$23, COLUMNS($DU17:EI17)), "0"), "")</f>
        <v>0</v>
      </c>
      <c r="EJ17" s="390" t="str">
        <f t="array" ref="EJ17">IFERROR(IF(AND(INDEX($E$8:$CE$57, MATCH($C17, $C$8:$C$57, 0), (COLUMNS($DU17:EJ17)-1)*5 + 1) = INDEX($E$5:$CE$5, 1, (COLUMNS($DU17:EJ17)-1)*5 + 1), INDEX($E$8:$CE$57, MATCH($C17, $C$8:$C$57, 0), (COLUMNS($DU17:EJ17)-1)*5 + 4) = "SF"), INDEX($CZ$8:$CZ$23, COLUMNS($DU17:EJ17)), "0"), "")</f>
        <v>0</v>
      </c>
    </row>
    <row r="18" spans="1:140" ht="20.100000000000001" customHeight="1" x14ac:dyDescent="0.35">
      <c r="A18" s="515"/>
      <c r="B18" s="444">
        <f>IF(SEMANA2[[#This Row],[COD]]&lt;&gt;"",B17+1,"")</f>
        <v>11</v>
      </c>
      <c r="C18" s="554" t="s">
        <v>53</v>
      </c>
      <c r="D18" s="410" t="str">
        <f t="array" ref="D18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18" s="411">
        <v>9</v>
      </c>
      <c r="F18" s="413">
        <v>6</v>
      </c>
      <c r="G18" s="413">
        <v>2</v>
      </c>
      <c r="H18" s="413"/>
      <c r="I18" s="534">
        <f t="shared" si="0"/>
        <v>2</v>
      </c>
      <c r="J18" s="411">
        <v>1</v>
      </c>
      <c r="K18" s="413">
        <v>7</v>
      </c>
      <c r="L18" s="413">
        <v>2</v>
      </c>
      <c r="M18" s="413" t="s">
        <v>254</v>
      </c>
      <c r="N18" s="534">
        <f t="shared" si="1"/>
        <v>2</v>
      </c>
      <c r="O18" s="411">
        <v>5</v>
      </c>
      <c r="P18" s="413">
        <v>1</v>
      </c>
      <c r="Q18" s="413">
        <v>3</v>
      </c>
      <c r="R18" s="413"/>
      <c r="S18" s="534">
        <f t="shared" si="2"/>
        <v>2</v>
      </c>
      <c r="T18" s="411">
        <v>3</v>
      </c>
      <c r="U18" s="413">
        <v>5</v>
      </c>
      <c r="V18" s="413">
        <v>4</v>
      </c>
      <c r="W18" s="413"/>
      <c r="X18" s="534">
        <f t="shared" si="3"/>
        <v>0</v>
      </c>
      <c r="Y18" s="411">
        <v>2</v>
      </c>
      <c r="Z18" s="413">
        <v>1</v>
      </c>
      <c r="AA18" s="413">
        <v>4</v>
      </c>
      <c r="AB18" s="413"/>
      <c r="AC18" s="534">
        <f t="shared" si="4"/>
        <v>4</v>
      </c>
      <c r="AD18" s="411">
        <v>4</v>
      </c>
      <c r="AE18" s="413">
        <v>5</v>
      </c>
      <c r="AF18" s="413">
        <v>2</v>
      </c>
      <c r="AG18" s="413"/>
      <c r="AH18" s="534">
        <f t="shared" si="5"/>
        <v>0</v>
      </c>
      <c r="AI18" s="411">
        <v>7</v>
      </c>
      <c r="AJ18" s="413">
        <v>6</v>
      </c>
      <c r="AK18" s="413">
        <v>3</v>
      </c>
      <c r="AL18" s="413"/>
      <c r="AM18" s="534">
        <f t="shared" si="6"/>
        <v>0</v>
      </c>
      <c r="AN18" s="411">
        <v>8</v>
      </c>
      <c r="AO18" s="413"/>
      <c r="AP18" s="413"/>
      <c r="AQ18" s="413" t="s">
        <v>255</v>
      </c>
      <c r="AR18" s="534">
        <f t="shared" si="7"/>
        <v>7.5</v>
      </c>
      <c r="AS18" s="411">
        <v>2</v>
      </c>
      <c r="AT18" s="413">
        <v>1</v>
      </c>
      <c r="AU18" s="413">
        <v>11</v>
      </c>
      <c r="AV18" s="413"/>
      <c r="AW18" s="534">
        <f t="shared" si="8"/>
        <v>4</v>
      </c>
      <c r="AX18" s="411">
        <v>10</v>
      </c>
      <c r="AY18" s="413">
        <v>1</v>
      </c>
      <c r="AZ18" s="413">
        <v>2</v>
      </c>
      <c r="BA18" s="413"/>
      <c r="BB18" s="534">
        <f t="shared" si="9"/>
        <v>1</v>
      </c>
      <c r="BC18" s="411">
        <v>7</v>
      </c>
      <c r="BD18" s="413">
        <v>6</v>
      </c>
      <c r="BE18" s="413">
        <v>3</v>
      </c>
      <c r="BF18" s="413" t="s">
        <v>254</v>
      </c>
      <c r="BG18" s="534">
        <f t="shared" si="10"/>
        <v>6</v>
      </c>
      <c r="BH18" s="411">
        <v>6</v>
      </c>
      <c r="BI18" s="413">
        <v>2</v>
      </c>
      <c r="BJ18" s="413">
        <v>1</v>
      </c>
      <c r="BK18" s="413"/>
      <c r="BL18" s="534">
        <f t="shared" si="11"/>
        <v>4</v>
      </c>
      <c r="BM18" s="411">
        <v>3</v>
      </c>
      <c r="BN18" s="413">
        <v>4</v>
      </c>
      <c r="BO18" s="413">
        <v>9</v>
      </c>
      <c r="BP18" s="413"/>
      <c r="BQ18" s="534">
        <f t="shared" si="12"/>
        <v>0</v>
      </c>
      <c r="BR18" s="411">
        <v>5</v>
      </c>
      <c r="BS18" s="413">
        <v>2</v>
      </c>
      <c r="BT18" s="413">
        <v>11</v>
      </c>
      <c r="BU18" s="413"/>
      <c r="BV18" s="534">
        <f t="shared" si="13"/>
        <v>0</v>
      </c>
      <c r="BW18" s="411"/>
      <c r="BX18" s="413"/>
      <c r="BY18" s="413"/>
      <c r="BZ18" s="413"/>
      <c r="CA18" s="534">
        <f t="shared" si="14"/>
        <v>0</v>
      </c>
      <c r="CB18" s="411"/>
      <c r="CC18" s="413"/>
      <c r="CD18" s="413"/>
      <c r="CE18" s="413"/>
      <c r="CF18" s="534">
        <f t="shared" si="15"/>
        <v>0</v>
      </c>
      <c r="CG18" s="162">
        <f>IF(SEMANA2[[#This Row],[1]]="",0,$B$4)</f>
        <v>14</v>
      </c>
      <c r="CH18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5</v>
      </c>
      <c r="CI18" s="164">
        <f>IF(SEMANA2[[#This Row],[Columna14]]=0,0,(CH18/CG18))</f>
        <v>0.35714285714285715</v>
      </c>
      <c r="CJ18" s="163">
        <f>IF(SEMANA2[[#This Row],[1]]="",0,$B$4)</f>
        <v>14</v>
      </c>
      <c r="CK18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8</v>
      </c>
      <c r="CL18" s="164">
        <f>IF(SEMANA2[[#This Row],[Columna14]]=0,0,(CK18/CJ18))</f>
        <v>0.5714285714285714</v>
      </c>
      <c r="CM18" s="162">
        <f>IF(SEMANA2[[#This Row],[1]]="",0,$B$4)</f>
        <v>14</v>
      </c>
      <c r="CN18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9</v>
      </c>
      <c r="CO18" s="164">
        <f>IF(SEMANA2[[#This Row],[Columna14]]=0,0,(CN18/CM18))</f>
        <v>0.6428571428571429</v>
      </c>
      <c r="CP18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18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Row],[Columna25]],$AX$5,BA18,"SF")+COUNTIFS(SEMANA2[[#This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18" s="164">
        <f>IFERROR(IF(SEMANA2[[#This Row],[Columna14]]=0,0,(CQ18/CP18)),0)</f>
        <v>0.66666666666666663</v>
      </c>
      <c r="CS18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32.5</v>
      </c>
      <c r="CT18" s="93">
        <f>_xlfn.XLOOKUP(SEMANA2[[#This Row],[COD]],BASE01[COD],BASE01[Columna33])</f>
        <v>36</v>
      </c>
      <c r="CU18" s="536">
        <f t="shared" si="16"/>
        <v>68.5</v>
      </c>
      <c r="CV18" s="445">
        <f>IF(SEMANA2[[#This Row],[TIPO]]="PREMIO",$O$3,"0,00")</f>
        <v>1000</v>
      </c>
      <c r="CW18" s="515"/>
      <c r="CY18" s="388">
        <v>11</v>
      </c>
      <c r="CZ18" s="349">
        <f>BD$6</f>
        <v>156.87</v>
      </c>
      <c r="DB18" s="537" t="str">
        <f>SEMANA2[[#This Row],[COD]]</f>
        <v>COD 11</v>
      </c>
      <c r="DC18" s="390" t="str">
        <f t="array" ref="DC18">IFERROR(IF(AND(INDEX($E$8:$CE$57, MATCH($C18, $C$8:$C$57, 0), (COLUMNS($DC18:DC18)-1)*5 + 1) = INDEX($E$5:$CE$5, 1, (COLUMNS($DC18:DC18)-1)*5 + 1), INDEX($E$8:$CE$57, MATCH($C18, $C$8:$C$57, 0), (COLUMNS($DC18:DC18)-1)*5 + 4) = "F"), INDEX($CZ$8:$CZ$23, COLUMNS($DC18:DC18)), "0"), "")</f>
        <v>0</v>
      </c>
      <c r="DD18" s="390" t="str">
        <f t="array" ref="DD18">IFERROR(IF(AND(INDEX($E$8:$CE$57, MATCH($C18, $C$8:$C$57, 0), (COLUMNS($DC18:DD18)-1)*5 + 1) = INDEX($E$5:$CE$5, 1, (COLUMNS($DC18:DD18)-1)*5 + 1), INDEX($E$8:$CE$57, MATCH($C18, $C$8:$C$57, 0), (COLUMNS($DC18:DD18)-1)*5 + 4) = "F"), INDEX($CZ$8:$CZ$23, COLUMNS($DC18:DD18)), "0"), "")</f>
        <v>0</v>
      </c>
      <c r="DE18" s="390" t="str">
        <f t="array" ref="DE18">IFERROR(IF(AND(INDEX($E$8:$CE$57, MATCH($C18, $C$8:$C$57, 0), (COLUMNS($DC18:DE18)-1)*5 + 1) = INDEX($E$5:$CE$5, 1, (COLUMNS($DC18:DE18)-1)*5 + 1), INDEX($E$8:$CE$57, MATCH($C18, $C$8:$C$57, 0), (COLUMNS($DC18:DE18)-1)*5 + 4) = "F"), INDEX($CZ$8:$CZ$23, COLUMNS($DC18:DE18)), "0"), "")</f>
        <v>0</v>
      </c>
      <c r="DF18" s="390" t="str">
        <f t="array" ref="DF18">IFERROR(IF(AND(INDEX($E$8:$CE$57, MATCH($C18, $C$8:$C$57, 0), (COLUMNS($DC18:DF18)-1)*5 + 1) = INDEX($E$5:$CE$5, 1, (COLUMNS($DC18:DF18)-1)*5 + 1), INDEX($E$8:$CE$57, MATCH($C18, $C$8:$C$57, 0), (COLUMNS($DC18:DF18)-1)*5 + 4) = "F"), INDEX($CZ$8:$CZ$23, COLUMNS($DC18:DF18)), "0"), "")</f>
        <v>0</v>
      </c>
      <c r="DG18" s="390" t="str">
        <f t="array" ref="DG18">IFERROR(IF(AND(INDEX($E$8:$CE$57, MATCH($C18, $C$8:$C$57, 0), (COLUMNS($DC18:DG18)-1)*5 + 1) = INDEX($E$5:$CE$5, 1, (COLUMNS($DC18:DG18)-1)*5 + 1), INDEX($E$8:$CE$57, MATCH($C18, $C$8:$C$57, 0), (COLUMNS($DC18:DG18)-1)*5 + 4) = "F"), INDEX($CZ$8:$CZ$23, COLUMNS($DC18:DG18)), "0"), "")</f>
        <v>0</v>
      </c>
      <c r="DH18" s="390" t="str">
        <f t="array" ref="DH18">IFERROR(IF(AND(INDEX($E$8:$CE$57, MATCH($C18, $C$8:$C$57, 0), (COLUMNS($DC18:DH18)-1)*5 + 1) = INDEX($E$5:$CE$5, 1, (COLUMNS($DC18:DH18)-1)*5 + 1), INDEX($E$8:$CE$57, MATCH($C18, $C$8:$C$57, 0), (COLUMNS($DC18:DH18)-1)*5 + 4) = "F"), INDEX($CZ$8:$CZ$23, COLUMNS($DC18:DH18)), "0"), "")</f>
        <v>0</v>
      </c>
      <c r="DI18" s="390" t="str">
        <f t="array" ref="DI18">IFERROR(IF(AND(INDEX($E$8:$CE$57, MATCH($C18, $C$8:$C$57, 0), (COLUMNS($DC18:DI18)-1)*5 + 1) = INDEX($E$5:$CE$5, 1, (COLUMNS($DC18:DI18)-1)*5 + 1), INDEX($E$8:$CE$57, MATCH($C18, $C$8:$C$57, 0), (COLUMNS($DC18:DI18)-1)*5 + 4) = "F"), INDEX($CZ$8:$CZ$23, COLUMNS($DC18:DI18)), "0"), "")</f>
        <v>0</v>
      </c>
      <c r="DJ18" s="390" t="str">
        <f t="array" ref="DJ18">IFERROR(IF(AND(INDEX($E$8:$CE$57, MATCH($C18, $C$8:$C$57, 0), (COLUMNS($DC18:DJ18)-1)*5 + 1) = INDEX($E$5:$CE$5, 1, (COLUMNS($DC18:DJ18)-1)*5 + 1), INDEX($E$8:$CE$57, MATCH($C18, $C$8:$C$57, 0), (COLUMNS($DC18:DJ18)-1)*5 + 4) = "F"), INDEX($CZ$8:$CZ$23, COLUMNS($DC18:DJ18)), "0"), "")</f>
        <v>0</v>
      </c>
      <c r="DK18" s="390" t="str">
        <f t="array" ref="DK18">IFERROR(IF(AND(INDEX($E$8:$CE$57, MATCH($C18, $C$8:$C$57, 0), (COLUMNS($DC18:DK18)-1)*5 + 1) = INDEX($E$5:$CE$5, 1, (COLUMNS($DC18:DK18)-1)*5 + 1), INDEX($E$8:$CE$57, MATCH($C18, $C$8:$C$57, 0), (COLUMNS($DC18:DK18)-1)*5 + 4) = "F"), INDEX($CZ$8:$CZ$23, COLUMNS($DC18:DK18)), "0"), "")</f>
        <v>0</v>
      </c>
      <c r="DL18" s="390" t="str">
        <f t="array" ref="DL18">IFERROR(IF(AND(INDEX($E$8:$CE$57, MATCH($C18, $C$8:$C$57, 0), (COLUMNS($DC18:DL18)-1)*5 + 1) = INDEX($E$5:$CE$5, 1, (COLUMNS($DC18:DL18)-1)*5 + 1), INDEX($E$8:$CE$57, MATCH($C18, $C$8:$C$57, 0), (COLUMNS($DC18:DL18)-1)*5 + 4) = "F"), INDEX($CZ$8:$CZ$23, COLUMNS($DC18:DL18)), "0"), "")</f>
        <v>0</v>
      </c>
      <c r="DM18" s="390">
        <f t="array" ref="DM18">IFERROR(IF(AND(INDEX($E$8:$CE$57, MATCH($C18, $C$8:$C$57, 0), (COLUMNS($DC18:DM18)-1)*5 + 1) = INDEX($E$5:$CE$5, 1, (COLUMNS($DC18:DM18)-1)*5 + 1), INDEX($E$8:$CE$57, MATCH($C18, $C$8:$C$57, 0), (COLUMNS($DC18:DM18)-1)*5 + 4) = "F"), INDEX($CZ$8:$CZ$23, COLUMNS($DC18:DM18)), "0"), "")</f>
        <v>156.87</v>
      </c>
      <c r="DN18" s="390" t="str">
        <f t="array" ref="DN18">IFERROR(IF(AND(INDEX($E$8:$CE$57, MATCH($C18, $C$8:$C$57, 0), (COLUMNS($DC18:DN18)-1)*5 + 1) = INDEX($E$5:$CE$5, 1, (COLUMNS($DC18:DN18)-1)*5 + 1), INDEX($E$8:$CE$57, MATCH($C18, $C$8:$C$57, 0), (COLUMNS($DC18:DN18)-1)*5 + 4) = "F"), INDEX($CZ$8:$CZ$23, COLUMNS($DC18:DN18)), "0"), "")</f>
        <v>0</v>
      </c>
      <c r="DO18" s="390" t="str">
        <f t="array" ref="DO18">IFERROR(IF(AND(INDEX($E$8:$CE$57, MATCH($C18, $C$8:$C$57, 0), (COLUMNS($DC18:DO18)-1)*5 + 1) = INDEX($E$5:$CE$5, 1, (COLUMNS($DC18:DO18)-1)*5 + 1), INDEX($E$8:$CE$57, MATCH($C18, $C$8:$C$57, 0), (COLUMNS($DC18:DO18)-1)*5 + 4) = "F"), INDEX($CZ$8:$CZ$23, COLUMNS($DC18:DO18)), "0"), "")</f>
        <v>0</v>
      </c>
      <c r="DP18" s="390" t="str">
        <f t="array" ref="DP18">IFERROR(IF(AND(INDEX($E$8:$CE$57, MATCH($C18, $C$8:$C$57, 0), (COLUMNS($DC18:DP18)-1)*5 + 1) = INDEX($E$5:$CE$5, 1, (COLUMNS($DC18:DP18)-1)*5 + 1), INDEX($E$8:$CE$57, MATCH($C18, $C$8:$C$57, 0), (COLUMNS($DC18:DP18)-1)*5 + 4) = "F"), INDEX($CZ$8:$CZ$23, COLUMNS($DC18:DP18)), "0"), "")</f>
        <v>0</v>
      </c>
      <c r="DQ18" s="390" t="str">
        <f t="array" ref="DQ18">IFERROR(IF(AND(INDEX($E$8:$CE$57, MATCH($C18, $C$8:$C$57, 0), (COLUMNS($DC18:DQ18)-1)*5 + 1) = INDEX($E$5:$CE$5, 1, (COLUMNS($DC18:DQ18)-1)*5 + 1), INDEX($E$8:$CE$57, MATCH($C18, $C$8:$C$57, 0), (COLUMNS($DC18:DQ18)-1)*5 + 4) = "F"), INDEX($CZ$8:$CZ$23, COLUMNS($DC18:DQ18)), "0"), "")</f>
        <v>0</v>
      </c>
      <c r="DR18" s="390" t="str">
        <f t="array" ref="DR18">IFERROR(IF(AND(INDEX($E$8:$CE$57, MATCH($C18, $C$8:$C$57, 0), (COLUMNS($DC18:DR18)-1)*5 + 1) = INDEX($E$5:$CE$5, 1, (COLUMNS($DC18:DR18)-1)*5 + 1), INDEX($E$8:$CE$57, MATCH($C18, $C$8:$C$57, 0), (COLUMNS($DC18:DR18)-1)*5 + 4) = "F"), INDEX($CZ$8:$CZ$23, COLUMNS($DC18:DR18)), "0"), "")</f>
        <v>0</v>
      </c>
      <c r="DT18" s="537" t="str">
        <f>SEMANA2[[#This Row],[COD]]</f>
        <v>COD 11</v>
      </c>
      <c r="DU18" s="390" t="str">
        <f t="array" ref="DU18">IFERROR(IF(AND(INDEX($E$8:$CE$57, MATCH($C18, $C$8:$C$57, 0), (COLUMNS($DU18:DU18)-1)*5 + 1) = INDEX($E$5:$CE$5, 1, (COLUMNS($DU18:DU18)-1)*5 + 1), INDEX($E$8:$CE$57, MATCH($C18, $C$8:$C$57, 0), (COLUMNS($DU18:DU18)-1)*5 + 4) = "SF"), INDEX($CZ$8:$CZ$23, COLUMNS($DU18:DU18)), "0"), "")</f>
        <v>0</v>
      </c>
      <c r="DV18" s="390" t="str">
        <f t="array" ref="DV18">IFERROR(IF(AND(INDEX($E$8:$CE$57, MATCH($C18, $C$8:$C$57, 0), (COLUMNS($DU18:DV18)-1)*5 + 1) = INDEX($E$5:$CE$5, 1, (COLUMNS($DU18:DV18)-1)*5 + 1), INDEX($E$8:$CE$57, MATCH($C18, $C$8:$C$57, 0), (COLUMNS($DU18:DV18)-1)*5 + 4) = "SF"), INDEX($CZ$8:$CZ$23, COLUMNS($DU18:DV18)), "0"), "")</f>
        <v>0</v>
      </c>
      <c r="DW18" s="390" t="str">
        <f t="array" ref="DW18">IFERROR(IF(AND(INDEX($E$8:$CE$57, MATCH($C18, $C$8:$C$57, 0), (COLUMNS($DU18:DW18)-1)*5 + 1) = INDEX($E$5:$CE$5, 1, (COLUMNS($DU18:DW18)-1)*5 + 1), INDEX($E$8:$CE$57, MATCH($C18, $C$8:$C$57, 0), (COLUMNS($DU18:DW18)-1)*5 + 4) = "SF"), INDEX($CZ$8:$CZ$23, COLUMNS($DU18:DW18)), "0"), "")</f>
        <v>0</v>
      </c>
      <c r="DX18" s="390" t="str">
        <f t="array" ref="DX18">IFERROR(IF(AND(INDEX($E$8:$CE$57, MATCH($C18, $C$8:$C$57, 0), (COLUMNS($DU18:DX18)-1)*5 + 1) = INDEX($E$5:$CE$5, 1, (COLUMNS($DU18:DX18)-1)*5 + 1), INDEX($E$8:$CE$57, MATCH($C18, $C$8:$C$57, 0), (COLUMNS($DU18:DX18)-1)*5 + 4) = "SF"), INDEX($CZ$8:$CZ$23, COLUMNS($DU18:DX18)), "0"), "")</f>
        <v>0</v>
      </c>
      <c r="DY18" s="390" t="str">
        <f t="array" ref="DY18">IFERROR(IF(AND(INDEX($E$8:$CE$57, MATCH($C18, $C$8:$C$57, 0), (COLUMNS($DU18:DY18)-1)*5 + 1) = INDEX($E$5:$CE$5, 1, (COLUMNS($DU18:DY18)-1)*5 + 1), INDEX($E$8:$CE$57, MATCH($C18, $C$8:$C$57, 0), (COLUMNS($DU18:DY18)-1)*5 + 4) = "SF"), INDEX($CZ$8:$CZ$23, COLUMNS($DU18:DY18)), "0"), "")</f>
        <v>0</v>
      </c>
      <c r="DZ18" s="390" t="str">
        <f t="array" ref="DZ18">IFERROR(IF(AND(INDEX($E$8:$CE$57, MATCH($C18, $C$8:$C$57, 0), (COLUMNS($DU18:DZ18)-1)*5 + 1) = INDEX($E$5:$CE$5, 1, (COLUMNS($DU18:DZ18)-1)*5 + 1), INDEX($E$8:$CE$57, MATCH($C18, $C$8:$C$57, 0), (COLUMNS($DU18:DZ18)-1)*5 + 4) = "SF"), INDEX($CZ$8:$CZ$23, COLUMNS($DU18:DZ18)), "0"), "")</f>
        <v>0</v>
      </c>
      <c r="EA18" s="390" t="str">
        <f t="array" ref="EA18">IFERROR(IF(AND(INDEX($E$8:$CE$57, MATCH($C18, $C$8:$C$57, 0), (COLUMNS($DU18:EA18)-1)*5 + 1) = INDEX($E$5:$CE$5, 1, (COLUMNS($DU18:EA18)-1)*5 + 1), INDEX($E$8:$CE$57, MATCH($C18, $C$8:$C$57, 0), (COLUMNS($DU18:EA18)-1)*5 + 4) = "SF"), INDEX($CZ$8:$CZ$23, COLUMNS($DU18:EA18)), "0"), "")</f>
        <v>0</v>
      </c>
      <c r="EB18" s="390">
        <f t="array" ref="EB18">IFERROR(IF(AND(INDEX($E$8:$CE$57, MATCH($C18, $C$8:$C$57, 0), (COLUMNS($DU18:EB18)-1)*5 + 1) = INDEX($E$5:$CE$5, 1, (COLUMNS($DU18:EB18)-1)*5 + 1), INDEX($E$8:$CE$57, MATCH($C18, $C$8:$C$57, 0), (COLUMNS($DU18:EB18)-1)*5 + 4) = "SF"), INDEX($CZ$8:$CZ$23, COLUMNS($DU18:EB18)), "0"), "")</f>
        <v>128.36000000000001</v>
      </c>
      <c r="EC18" s="390" t="str">
        <f t="array" ref="EC18">IFERROR(IF(AND(INDEX($E$8:$CE$57, MATCH($C18, $C$8:$C$57, 0), (COLUMNS($DU18:EC18)-1)*5 + 1) = INDEX($E$5:$CE$5, 1, (COLUMNS($DU18:EC18)-1)*5 + 1), INDEX($E$8:$CE$57, MATCH($C18, $C$8:$C$57, 0), (COLUMNS($DU18:EC18)-1)*5 + 4) = "SF"), INDEX($CZ$8:$CZ$23, COLUMNS($DU18:EC18)), "0"), "")</f>
        <v>0</v>
      </c>
      <c r="ED18" s="390" t="str">
        <f t="array" ref="ED18">IFERROR(IF(AND(INDEX($E$8:$CE$57, MATCH($C18, $C$8:$C$57, 0), (COLUMNS($DU18:ED18)-1)*5 + 1) = INDEX($E$5:$CE$5, 1, (COLUMNS($DU18:ED18)-1)*5 + 1), INDEX($E$8:$CE$57, MATCH($C18, $C$8:$C$57, 0), (COLUMNS($DU18:ED18)-1)*5 + 4) = "SF"), INDEX($CZ$8:$CZ$23, COLUMNS($DU18:ED18)), "0"), "")</f>
        <v>0</v>
      </c>
      <c r="EE18" s="390" t="str">
        <f t="array" ref="EE18">IFERROR(IF(AND(INDEX($E$8:$CE$57, MATCH($C18, $C$8:$C$57, 0), (COLUMNS($DU18:EE18)-1)*5 + 1) = INDEX($E$5:$CE$5, 1, (COLUMNS($DU18:EE18)-1)*5 + 1), INDEX($E$8:$CE$57, MATCH($C18, $C$8:$C$57, 0), (COLUMNS($DU18:EE18)-1)*5 + 4) = "SF"), INDEX($CZ$8:$CZ$23, COLUMNS($DU18:EE18)), "0"), "")</f>
        <v>0</v>
      </c>
      <c r="EF18" s="390" t="str">
        <f t="array" ref="EF18">IFERROR(IF(AND(INDEX($E$8:$CE$57, MATCH($C18, $C$8:$C$57, 0), (COLUMNS($DU18:EF18)-1)*5 + 1) = INDEX($E$5:$CE$5, 1, (COLUMNS($DU18:EF18)-1)*5 + 1), INDEX($E$8:$CE$57, MATCH($C18, $C$8:$C$57, 0), (COLUMNS($DU18:EF18)-1)*5 + 4) = "SF"), INDEX($CZ$8:$CZ$23, COLUMNS($DU18:EF18)), "0"), "")</f>
        <v>0</v>
      </c>
      <c r="EG18" s="390" t="str">
        <f t="array" ref="EG18">IFERROR(IF(AND(INDEX($E$8:$CE$57, MATCH($C18, $C$8:$C$57, 0), (COLUMNS($DU18:EG18)-1)*5 + 1) = INDEX($E$5:$CE$5, 1, (COLUMNS($DU18:EG18)-1)*5 + 1), INDEX($E$8:$CE$57, MATCH($C18, $C$8:$C$57, 0), (COLUMNS($DU18:EG18)-1)*5 + 4) = "SF"), INDEX($CZ$8:$CZ$23, COLUMNS($DU18:EG18)), "0"), "")</f>
        <v>0</v>
      </c>
      <c r="EH18" s="390" t="str">
        <f t="array" ref="EH18">IFERROR(IF(AND(INDEX($E$8:$CE$57, MATCH($C18, $C$8:$C$57, 0), (COLUMNS($DU18:EH18)-1)*5 + 1) = INDEX($E$5:$CE$5, 1, (COLUMNS($DU18:EH18)-1)*5 + 1), INDEX($E$8:$CE$57, MATCH($C18, $C$8:$C$57, 0), (COLUMNS($DU18:EH18)-1)*5 + 4) = "SF"), INDEX($CZ$8:$CZ$23, COLUMNS($DU18:EH18)), "0"), "")</f>
        <v>0</v>
      </c>
      <c r="EI18" s="390" t="str">
        <f t="array" ref="EI18">IFERROR(IF(AND(INDEX($E$8:$CE$57, MATCH($C18, $C$8:$C$57, 0), (COLUMNS($DU18:EI18)-1)*5 + 1) = INDEX($E$5:$CE$5, 1, (COLUMNS($DU18:EI18)-1)*5 + 1), INDEX($E$8:$CE$57, MATCH($C18, $C$8:$C$57, 0), (COLUMNS($DU18:EI18)-1)*5 + 4) = "SF"), INDEX($CZ$8:$CZ$23, COLUMNS($DU18:EI18)), "0"), "")</f>
        <v>0</v>
      </c>
      <c r="EJ18" s="390" t="str">
        <f t="array" ref="EJ18">IFERROR(IF(AND(INDEX($E$8:$CE$57, MATCH($C18, $C$8:$C$57, 0), (COLUMNS($DU18:EJ18)-1)*5 + 1) = INDEX($E$5:$CE$5, 1, (COLUMNS($DU18:EJ18)-1)*5 + 1), INDEX($E$8:$CE$57, MATCH($C18, $C$8:$C$57, 0), (COLUMNS($DU18:EJ18)-1)*5 + 4) = "SF"), INDEX($CZ$8:$CZ$23, COLUMNS($DU18:EJ18)), "0"), "")</f>
        <v>0</v>
      </c>
    </row>
    <row r="19" spans="1:140" ht="20.100000000000001" customHeight="1" x14ac:dyDescent="0.35">
      <c r="A19" s="515"/>
      <c r="B19" s="444">
        <f>IF(SEMANA2[[#This Row],[COD]]&lt;&gt;"",B18+1,"")</f>
        <v>12</v>
      </c>
      <c r="C19" s="554" t="s">
        <v>55</v>
      </c>
      <c r="D19" s="410" t="str">
        <f t="array" ref="D19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NO ENVIÓ</v>
      </c>
      <c r="E19" s="411">
        <v>9</v>
      </c>
      <c r="F19" s="411">
        <v>2</v>
      </c>
      <c r="G19" s="411">
        <v>6</v>
      </c>
      <c r="H19" s="411"/>
      <c r="I19" s="534">
        <f t="shared" si="0"/>
        <v>1</v>
      </c>
      <c r="J19" s="411">
        <v>1</v>
      </c>
      <c r="K19" s="411">
        <v>2</v>
      </c>
      <c r="L19" s="411">
        <v>7</v>
      </c>
      <c r="M19" s="411"/>
      <c r="N19" s="534">
        <f t="shared" si="1"/>
        <v>1</v>
      </c>
      <c r="O19" s="411">
        <v>5</v>
      </c>
      <c r="P19" s="411">
        <v>1</v>
      </c>
      <c r="Q19" s="411">
        <v>7</v>
      </c>
      <c r="R19" s="411"/>
      <c r="S19" s="534">
        <f t="shared" si="2"/>
        <v>2</v>
      </c>
      <c r="T19" s="411">
        <v>4</v>
      </c>
      <c r="U19" s="411">
        <v>3</v>
      </c>
      <c r="V19" s="411">
        <v>5</v>
      </c>
      <c r="W19" s="411"/>
      <c r="X19" s="534">
        <f t="shared" si="3"/>
        <v>0</v>
      </c>
      <c r="Y19" s="411">
        <v>2</v>
      </c>
      <c r="Z19" s="411">
        <v>4</v>
      </c>
      <c r="AA19" s="411">
        <v>7</v>
      </c>
      <c r="AB19" s="411"/>
      <c r="AC19" s="534">
        <f t="shared" si="4"/>
        <v>7</v>
      </c>
      <c r="AD19" s="411">
        <v>3</v>
      </c>
      <c r="AE19" s="411">
        <v>5</v>
      </c>
      <c r="AF19" s="411">
        <v>10</v>
      </c>
      <c r="AG19" s="411"/>
      <c r="AH19" s="534">
        <f t="shared" si="5"/>
        <v>0</v>
      </c>
      <c r="AI19" s="411">
        <v>7</v>
      </c>
      <c r="AJ19" s="411">
        <v>6</v>
      </c>
      <c r="AK19" s="411">
        <v>8</v>
      </c>
      <c r="AL19" s="411" t="s">
        <v>254</v>
      </c>
      <c r="AM19" s="534">
        <f t="shared" si="6"/>
        <v>0</v>
      </c>
      <c r="AN19" s="411">
        <v>8</v>
      </c>
      <c r="AO19" s="411"/>
      <c r="AP19" s="411"/>
      <c r="AQ19" s="411" t="s">
        <v>255</v>
      </c>
      <c r="AR19" s="534">
        <f t="shared" si="7"/>
        <v>7.5</v>
      </c>
      <c r="AS19" s="411">
        <v>2</v>
      </c>
      <c r="AT19" s="411">
        <v>10</v>
      </c>
      <c r="AU19" s="411">
        <v>1</v>
      </c>
      <c r="AV19" s="411"/>
      <c r="AW19" s="534">
        <f t="shared" si="8"/>
        <v>4</v>
      </c>
      <c r="AX19" s="411">
        <v>10</v>
      </c>
      <c r="AY19" s="411">
        <v>6</v>
      </c>
      <c r="AZ19" s="411">
        <v>9</v>
      </c>
      <c r="BA19" s="411"/>
      <c r="BB19" s="534">
        <f t="shared" si="9"/>
        <v>0</v>
      </c>
      <c r="BC19" s="411">
        <v>5</v>
      </c>
      <c r="BD19" s="411">
        <v>7</v>
      </c>
      <c r="BE19" s="411">
        <v>4</v>
      </c>
      <c r="BF19" s="411"/>
      <c r="BG19" s="534">
        <f t="shared" si="10"/>
        <v>2</v>
      </c>
      <c r="BH19" s="411">
        <v>1</v>
      </c>
      <c r="BI19" s="411">
        <v>2</v>
      </c>
      <c r="BJ19" s="411">
        <v>5</v>
      </c>
      <c r="BK19" s="411" t="s">
        <v>254</v>
      </c>
      <c r="BL19" s="534">
        <f t="shared" si="11"/>
        <v>0</v>
      </c>
      <c r="BM19" s="411">
        <v>9</v>
      </c>
      <c r="BN19" s="411">
        <v>4</v>
      </c>
      <c r="BO19" s="411">
        <v>1</v>
      </c>
      <c r="BP19" s="411"/>
      <c r="BQ19" s="534">
        <f t="shared" si="12"/>
        <v>0</v>
      </c>
      <c r="BR19" s="411">
        <v>1</v>
      </c>
      <c r="BS19" s="411">
        <v>5</v>
      </c>
      <c r="BT19" s="411">
        <v>11</v>
      </c>
      <c r="BU19" s="411"/>
      <c r="BV19" s="534">
        <f t="shared" si="13"/>
        <v>7</v>
      </c>
      <c r="BW19" s="411"/>
      <c r="BX19" s="411"/>
      <c r="BY19" s="411"/>
      <c r="BZ19" s="411"/>
      <c r="CA19" s="534">
        <f t="shared" si="14"/>
        <v>0</v>
      </c>
      <c r="CB19" s="411"/>
      <c r="CC19" s="411"/>
      <c r="CD19" s="411"/>
      <c r="CE19" s="411"/>
      <c r="CF19" s="534">
        <f t="shared" si="15"/>
        <v>0</v>
      </c>
      <c r="CG19" s="162">
        <f>IF(SEMANA2[[#This Row],[1]]="",0,$B$4)</f>
        <v>14</v>
      </c>
      <c r="CH19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4</v>
      </c>
      <c r="CI19" s="164">
        <f>IF(SEMANA2[[#This Row],[Columna14]]=0,0,(CH19/CG19))</f>
        <v>0.2857142857142857</v>
      </c>
      <c r="CJ19" s="163">
        <f>IF(SEMANA2[[#This Row],[1]]="",0,$B$4)</f>
        <v>14</v>
      </c>
      <c r="CK19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19" s="164">
        <f>IF(SEMANA2[[#This Row],[Columna14]]=0,0,(CK19/CJ19))</f>
        <v>0.42857142857142855</v>
      </c>
      <c r="CM19" s="162">
        <f>IF(SEMANA2[[#This Row],[1]]="",0,$B$4)</f>
        <v>14</v>
      </c>
      <c r="CN19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8</v>
      </c>
      <c r="CO19" s="164">
        <f>IF(SEMANA2[[#This Row],[Columna14]]=0,0,(CN19/CM19))</f>
        <v>0.5714285714285714</v>
      </c>
      <c r="CP19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19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Row],[Columna25]],$AX$5,BA19,"SF")+COUNTIFS(SEMANA2[[#This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1</v>
      </c>
      <c r="CR19" s="164">
        <f>IFERROR(IF(SEMANA2[[#This Row],[Columna14]]=0,0,(CQ19/CP19)),0)</f>
        <v>0.33333333333333331</v>
      </c>
      <c r="CS19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31.5</v>
      </c>
      <c r="CT19" s="93">
        <f>_xlfn.XLOOKUP(SEMANA2[[#This Row],[COD]],BASE01[COD],BASE01[Columna33])</f>
        <v>26</v>
      </c>
      <c r="CU19" s="536">
        <f t="shared" si="16"/>
        <v>57.5</v>
      </c>
      <c r="CV19" s="445" t="str">
        <f>IF(SEMANA2[[#This Row],[TIPO]]="PREMIO",$O$3,"0,00")</f>
        <v>0,00</v>
      </c>
      <c r="CW19" s="515"/>
      <c r="CY19" s="388">
        <v>12</v>
      </c>
      <c r="CZ19" s="349">
        <f>BI$6</f>
        <v>177.86</v>
      </c>
      <c r="DB19" s="537" t="str">
        <f>SEMANA2[[#This Row],[COD]]</f>
        <v>COD 12</v>
      </c>
      <c r="DC19" s="390" t="str">
        <f t="array" ref="DC19">IFERROR(IF(AND(INDEX($E$8:$CE$57, MATCH($C19, $C$8:$C$57, 0), (COLUMNS($DC19:DC19)-1)*5 + 1) = INDEX($E$5:$CE$5, 1, (COLUMNS($DC19:DC19)-1)*5 + 1), INDEX($E$8:$CE$57, MATCH($C19, $C$8:$C$57, 0), (COLUMNS($DC19:DC19)-1)*5 + 4) = "F"), INDEX($CZ$8:$CZ$23, COLUMNS($DC19:DC19)), "0"), "")</f>
        <v>0</v>
      </c>
      <c r="DD19" s="390" t="str">
        <f t="array" ref="DD19">IFERROR(IF(AND(INDEX($E$8:$CE$57, MATCH($C19, $C$8:$C$57, 0), (COLUMNS($DC19:DD19)-1)*5 + 1) = INDEX($E$5:$CE$5, 1, (COLUMNS($DC19:DD19)-1)*5 + 1), INDEX($E$8:$CE$57, MATCH($C19, $C$8:$C$57, 0), (COLUMNS($DC19:DD19)-1)*5 + 4) = "F"), INDEX($CZ$8:$CZ$23, COLUMNS($DC19:DD19)), "0"), "")</f>
        <v>0</v>
      </c>
      <c r="DE19" s="390" t="str">
        <f t="array" ref="DE19">IFERROR(IF(AND(INDEX($E$8:$CE$57, MATCH($C19, $C$8:$C$57, 0), (COLUMNS($DC19:DE19)-1)*5 + 1) = INDEX($E$5:$CE$5, 1, (COLUMNS($DC19:DE19)-1)*5 + 1), INDEX($E$8:$CE$57, MATCH($C19, $C$8:$C$57, 0), (COLUMNS($DC19:DE19)-1)*5 + 4) = "F"), INDEX($CZ$8:$CZ$23, COLUMNS($DC19:DE19)), "0"), "")</f>
        <v>0</v>
      </c>
      <c r="DF19" s="390" t="str">
        <f t="array" ref="DF19">IFERROR(IF(AND(INDEX($E$8:$CE$57, MATCH($C19, $C$8:$C$57, 0), (COLUMNS($DC19:DF19)-1)*5 + 1) = INDEX($E$5:$CE$5, 1, (COLUMNS($DC19:DF19)-1)*5 + 1), INDEX($E$8:$CE$57, MATCH($C19, $C$8:$C$57, 0), (COLUMNS($DC19:DF19)-1)*5 + 4) = "F"), INDEX($CZ$8:$CZ$23, COLUMNS($DC19:DF19)), "0"), "")</f>
        <v>0</v>
      </c>
      <c r="DG19" s="390" t="str">
        <f t="array" ref="DG19">IFERROR(IF(AND(INDEX($E$8:$CE$57, MATCH($C19, $C$8:$C$57, 0), (COLUMNS($DC19:DG19)-1)*5 + 1) = INDEX($E$5:$CE$5, 1, (COLUMNS($DC19:DG19)-1)*5 + 1), INDEX($E$8:$CE$57, MATCH($C19, $C$8:$C$57, 0), (COLUMNS($DC19:DG19)-1)*5 + 4) = "F"), INDEX($CZ$8:$CZ$23, COLUMNS($DC19:DG19)), "0"), "")</f>
        <v>0</v>
      </c>
      <c r="DH19" s="390" t="str">
        <f t="array" ref="DH19">IFERROR(IF(AND(INDEX($E$8:$CE$57, MATCH($C19, $C$8:$C$57, 0), (COLUMNS($DC19:DH19)-1)*5 + 1) = INDEX($E$5:$CE$5, 1, (COLUMNS($DC19:DH19)-1)*5 + 1), INDEX($E$8:$CE$57, MATCH($C19, $C$8:$C$57, 0), (COLUMNS($DC19:DH19)-1)*5 + 4) = "F"), INDEX($CZ$8:$CZ$23, COLUMNS($DC19:DH19)), "0"), "")</f>
        <v>0</v>
      </c>
      <c r="DI19" s="390" t="str">
        <f t="array" ref="DI19">IFERROR(IF(AND(INDEX($E$8:$CE$57, MATCH($C19, $C$8:$C$57, 0), (COLUMNS($DC19:DI19)-1)*5 + 1) = INDEX($E$5:$CE$5, 1, (COLUMNS($DC19:DI19)-1)*5 + 1), INDEX($E$8:$CE$57, MATCH($C19, $C$8:$C$57, 0), (COLUMNS($DC19:DI19)-1)*5 + 4) = "F"), INDEX($CZ$8:$CZ$23, COLUMNS($DC19:DI19)), "0"), "")</f>
        <v>0</v>
      </c>
      <c r="DJ19" s="390" t="str">
        <f t="array" ref="DJ19">IFERROR(IF(AND(INDEX($E$8:$CE$57, MATCH($C19, $C$8:$C$57, 0), (COLUMNS($DC19:DJ19)-1)*5 + 1) = INDEX($E$5:$CE$5, 1, (COLUMNS($DC19:DJ19)-1)*5 + 1), INDEX($E$8:$CE$57, MATCH($C19, $C$8:$C$57, 0), (COLUMNS($DC19:DJ19)-1)*5 + 4) = "F"), INDEX($CZ$8:$CZ$23, COLUMNS($DC19:DJ19)), "0"), "")</f>
        <v>0</v>
      </c>
      <c r="DK19" s="390" t="str">
        <f t="array" ref="DK19">IFERROR(IF(AND(INDEX($E$8:$CE$57, MATCH($C19, $C$8:$C$57, 0), (COLUMNS($DC19:DK19)-1)*5 + 1) = INDEX($E$5:$CE$5, 1, (COLUMNS($DC19:DK19)-1)*5 + 1), INDEX($E$8:$CE$57, MATCH($C19, $C$8:$C$57, 0), (COLUMNS($DC19:DK19)-1)*5 + 4) = "F"), INDEX($CZ$8:$CZ$23, COLUMNS($DC19:DK19)), "0"), "")</f>
        <v>0</v>
      </c>
      <c r="DL19" s="390" t="str">
        <f t="array" ref="DL19">IFERROR(IF(AND(INDEX($E$8:$CE$57, MATCH($C19, $C$8:$C$57, 0), (COLUMNS($DC19:DL19)-1)*5 + 1) = INDEX($E$5:$CE$5, 1, (COLUMNS($DC19:DL19)-1)*5 + 1), INDEX($E$8:$CE$57, MATCH($C19, $C$8:$C$57, 0), (COLUMNS($DC19:DL19)-1)*5 + 4) = "F"), INDEX($CZ$8:$CZ$23, COLUMNS($DC19:DL19)), "0"), "")</f>
        <v>0</v>
      </c>
      <c r="DM19" s="390" t="str">
        <f t="array" ref="DM19">IFERROR(IF(AND(INDEX($E$8:$CE$57, MATCH($C19, $C$8:$C$57, 0), (COLUMNS($DC19:DM19)-1)*5 + 1) = INDEX($E$5:$CE$5, 1, (COLUMNS($DC19:DM19)-1)*5 + 1), INDEX($E$8:$CE$57, MATCH($C19, $C$8:$C$57, 0), (COLUMNS($DC19:DM19)-1)*5 + 4) = "F"), INDEX($CZ$8:$CZ$23, COLUMNS($DC19:DM19)), "0"), "")</f>
        <v>0</v>
      </c>
      <c r="DN19" s="390" t="str">
        <f t="array" ref="DN19">IFERROR(IF(AND(INDEX($E$8:$CE$57, MATCH($C19, $C$8:$C$57, 0), (COLUMNS($DC19:DN19)-1)*5 + 1) = INDEX($E$5:$CE$5, 1, (COLUMNS($DC19:DN19)-1)*5 + 1), INDEX($E$8:$CE$57, MATCH($C19, $C$8:$C$57, 0), (COLUMNS($DC19:DN19)-1)*5 + 4) = "F"), INDEX($CZ$8:$CZ$23, COLUMNS($DC19:DN19)), "0"), "")</f>
        <v>0</v>
      </c>
      <c r="DO19" s="390" t="str">
        <f t="array" ref="DO19">IFERROR(IF(AND(INDEX($E$8:$CE$57, MATCH($C19, $C$8:$C$57, 0), (COLUMNS($DC19:DO19)-1)*5 + 1) = INDEX($E$5:$CE$5, 1, (COLUMNS($DC19:DO19)-1)*5 + 1), INDEX($E$8:$CE$57, MATCH($C19, $C$8:$C$57, 0), (COLUMNS($DC19:DO19)-1)*5 + 4) = "F"), INDEX($CZ$8:$CZ$23, COLUMNS($DC19:DO19)), "0"), "")</f>
        <v>0</v>
      </c>
      <c r="DP19" s="390" t="str">
        <f t="array" ref="DP19">IFERROR(IF(AND(INDEX($E$8:$CE$57, MATCH($C19, $C$8:$C$57, 0), (COLUMNS($DC19:DP19)-1)*5 + 1) = INDEX($E$5:$CE$5, 1, (COLUMNS($DC19:DP19)-1)*5 + 1), INDEX($E$8:$CE$57, MATCH($C19, $C$8:$C$57, 0), (COLUMNS($DC19:DP19)-1)*5 + 4) = "F"), INDEX($CZ$8:$CZ$23, COLUMNS($DC19:DP19)), "0"), "")</f>
        <v>0</v>
      </c>
      <c r="DQ19" s="390" t="str">
        <f t="array" ref="DQ19">IFERROR(IF(AND(INDEX($E$8:$CE$57, MATCH($C19, $C$8:$C$57, 0), (COLUMNS($DC19:DQ19)-1)*5 + 1) = INDEX($E$5:$CE$5, 1, (COLUMNS($DC19:DQ19)-1)*5 + 1), INDEX($E$8:$CE$57, MATCH($C19, $C$8:$C$57, 0), (COLUMNS($DC19:DQ19)-1)*5 + 4) = "F"), INDEX($CZ$8:$CZ$23, COLUMNS($DC19:DQ19)), "0"), "")</f>
        <v>0</v>
      </c>
      <c r="DR19" s="390" t="str">
        <f t="array" ref="DR19">IFERROR(IF(AND(INDEX($E$8:$CE$57, MATCH($C19, $C$8:$C$57, 0), (COLUMNS($DC19:DR19)-1)*5 + 1) = INDEX($E$5:$CE$5, 1, (COLUMNS($DC19:DR19)-1)*5 + 1), INDEX($E$8:$CE$57, MATCH($C19, $C$8:$C$57, 0), (COLUMNS($DC19:DR19)-1)*5 + 4) = "F"), INDEX($CZ$8:$CZ$23, COLUMNS($DC19:DR19)), "0"), "")</f>
        <v>0</v>
      </c>
      <c r="DT19" s="537" t="str">
        <f>SEMANA2[[#This Row],[COD]]</f>
        <v>COD 12</v>
      </c>
      <c r="DU19" s="390" t="str">
        <f t="array" ref="DU19">IFERROR(IF(AND(INDEX($E$8:$CE$57, MATCH($C19, $C$8:$C$57, 0), (COLUMNS($DU19:DU19)-1)*5 + 1) = INDEX($E$5:$CE$5, 1, (COLUMNS($DU19:DU19)-1)*5 + 1), INDEX($E$8:$CE$57, MATCH($C19, $C$8:$C$57, 0), (COLUMNS($DU19:DU19)-1)*5 + 4) = "SF"), INDEX($CZ$8:$CZ$23, COLUMNS($DU19:DU19)), "0"), "")</f>
        <v>0</v>
      </c>
      <c r="DV19" s="390" t="str">
        <f t="array" ref="DV19">IFERROR(IF(AND(INDEX($E$8:$CE$57, MATCH($C19, $C$8:$C$57, 0), (COLUMNS($DU19:DV19)-1)*5 + 1) = INDEX($E$5:$CE$5, 1, (COLUMNS($DU19:DV19)-1)*5 + 1), INDEX($E$8:$CE$57, MATCH($C19, $C$8:$C$57, 0), (COLUMNS($DU19:DV19)-1)*5 + 4) = "SF"), INDEX($CZ$8:$CZ$23, COLUMNS($DU19:DV19)), "0"), "")</f>
        <v>0</v>
      </c>
      <c r="DW19" s="390" t="str">
        <f t="array" ref="DW19">IFERROR(IF(AND(INDEX($E$8:$CE$57, MATCH($C19, $C$8:$C$57, 0), (COLUMNS($DU19:DW19)-1)*5 + 1) = INDEX($E$5:$CE$5, 1, (COLUMNS($DU19:DW19)-1)*5 + 1), INDEX($E$8:$CE$57, MATCH($C19, $C$8:$C$57, 0), (COLUMNS($DU19:DW19)-1)*5 + 4) = "SF"), INDEX($CZ$8:$CZ$23, COLUMNS($DU19:DW19)), "0"), "")</f>
        <v>0</v>
      </c>
      <c r="DX19" s="390" t="str">
        <f t="array" ref="DX19">IFERROR(IF(AND(INDEX($E$8:$CE$57, MATCH($C19, $C$8:$C$57, 0), (COLUMNS($DU19:DX19)-1)*5 + 1) = INDEX($E$5:$CE$5, 1, (COLUMNS($DU19:DX19)-1)*5 + 1), INDEX($E$8:$CE$57, MATCH($C19, $C$8:$C$57, 0), (COLUMNS($DU19:DX19)-1)*5 + 4) = "SF"), INDEX($CZ$8:$CZ$23, COLUMNS($DU19:DX19)), "0"), "")</f>
        <v>0</v>
      </c>
      <c r="DY19" s="390" t="str">
        <f t="array" ref="DY19">IFERROR(IF(AND(INDEX($E$8:$CE$57, MATCH($C19, $C$8:$C$57, 0), (COLUMNS($DU19:DY19)-1)*5 + 1) = INDEX($E$5:$CE$5, 1, (COLUMNS($DU19:DY19)-1)*5 + 1), INDEX($E$8:$CE$57, MATCH($C19, $C$8:$C$57, 0), (COLUMNS($DU19:DY19)-1)*5 + 4) = "SF"), INDEX($CZ$8:$CZ$23, COLUMNS($DU19:DY19)), "0"), "")</f>
        <v>0</v>
      </c>
      <c r="DZ19" s="390" t="str">
        <f t="array" ref="DZ19">IFERROR(IF(AND(INDEX($E$8:$CE$57, MATCH($C19, $C$8:$C$57, 0), (COLUMNS($DU19:DZ19)-1)*5 + 1) = INDEX($E$5:$CE$5, 1, (COLUMNS($DU19:DZ19)-1)*5 + 1), INDEX($E$8:$CE$57, MATCH($C19, $C$8:$C$57, 0), (COLUMNS($DU19:DZ19)-1)*5 + 4) = "SF"), INDEX($CZ$8:$CZ$23, COLUMNS($DU19:DZ19)), "0"), "")</f>
        <v>0</v>
      </c>
      <c r="EA19" s="390" t="str">
        <f t="array" ref="EA19">IFERROR(IF(AND(INDEX($E$8:$CE$57, MATCH($C19, $C$8:$C$57, 0), (COLUMNS($DU19:EA19)-1)*5 + 1) = INDEX($E$5:$CE$5, 1, (COLUMNS($DU19:EA19)-1)*5 + 1), INDEX($E$8:$CE$57, MATCH($C19, $C$8:$C$57, 0), (COLUMNS($DU19:EA19)-1)*5 + 4) = "SF"), INDEX($CZ$8:$CZ$23, COLUMNS($DU19:EA19)), "0"), "")</f>
        <v>0</v>
      </c>
      <c r="EB19" s="390">
        <f t="array" ref="EB19">IFERROR(IF(AND(INDEX($E$8:$CE$57, MATCH($C19, $C$8:$C$57, 0), (COLUMNS($DU19:EB19)-1)*5 + 1) = INDEX($E$5:$CE$5, 1, (COLUMNS($DU19:EB19)-1)*5 + 1), INDEX($E$8:$CE$57, MATCH($C19, $C$8:$C$57, 0), (COLUMNS($DU19:EB19)-1)*5 + 4) = "SF"), INDEX($CZ$8:$CZ$23, COLUMNS($DU19:EB19)), "0"), "")</f>
        <v>128.36000000000001</v>
      </c>
      <c r="EC19" s="390" t="str">
        <f t="array" ref="EC19">IFERROR(IF(AND(INDEX($E$8:$CE$57, MATCH($C19, $C$8:$C$57, 0), (COLUMNS($DU19:EC19)-1)*5 + 1) = INDEX($E$5:$CE$5, 1, (COLUMNS($DU19:EC19)-1)*5 + 1), INDEX($E$8:$CE$57, MATCH($C19, $C$8:$C$57, 0), (COLUMNS($DU19:EC19)-1)*5 + 4) = "SF"), INDEX($CZ$8:$CZ$23, COLUMNS($DU19:EC19)), "0"), "")</f>
        <v>0</v>
      </c>
      <c r="ED19" s="390" t="str">
        <f t="array" ref="ED19">IFERROR(IF(AND(INDEX($E$8:$CE$57, MATCH($C19, $C$8:$C$57, 0), (COLUMNS($DU19:ED19)-1)*5 + 1) = INDEX($E$5:$CE$5, 1, (COLUMNS($DU19:ED19)-1)*5 + 1), INDEX($E$8:$CE$57, MATCH($C19, $C$8:$C$57, 0), (COLUMNS($DU19:ED19)-1)*5 + 4) = "SF"), INDEX($CZ$8:$CZ$23, COLUMNS($DU19:ED19)), "0"), "")</f>
        <v>0</v>
      </c>
      <c r="EE19" s="390" t="str">
        <f t="array" ref="EE19">IFERROR(IF(AND(INDEX($E$8:$CE$57, MATCH($C19, $C$8:$C$57, 0), (COLUMNS($DU19:EE19)-1)*5 + 1) = INDEX($E$5:$CE$5, 1, (COLUMNS($DU19:EE19)-1)*5 + 1), INDEX($E$8:$CE$57, MATCH($C19, $C$8:$C$57, 0), (COLUMNS($DU19:EE19)-1)*5 + 4) = "SF"), INDEX($CZ$8:$CZ$23, COLUMNS($DU19:EE19)), "0"), "")</f>
        <v>0</v>
      </c>
      <c r="EF19" s="390" t="str">
        <f t="array" ref="EF19">IFERROR(IF(AND(INDEX($E$8:$CE$57, MATCH($C19, $C$8:$C$57, 0), (COLUMNS($DU19:EF19)-1)*5 + 1) = INDEX($E$5:$CE$5, 1, (COLUMNS($DU19:EF19)-1)*5 + 1), INDEX($E$8:$CE$57, MATCH($C19, $C$8:$C$57, 0), (COLUMNS($DU19:EF19)-1)*5 + 4) = "SF"), INDEX($CZ$8:$CZ$23, COLUMNS($DU19:EF19)), "0"), "")</f>
        <v>0</v>
      </c>
      <c r="EG19" s="390" t="str">
        <f t="array" ref="EG19">IFERROR(IF(AND(INDEX($E$8:$CE$57, MATCH($C19, $C$8:$C$57, 0), (COLUMNS($DU19:EG19)-1)*5 + 1) = INDEX($E$5:$CE$5, 1, (COLUMNS($DU19:EG19)-1)*5 + 1), INDEX($E$8:$CE$57, MATCH($C19, $C$8:$C$57, 0), (COLUMNS($DU19:EG19)-1)*5 + 4) = "SF"), INDEX($CZ$8:$CZ$23, COLUMNS($DU19:EG19)), "0"), "")</f>
        <v>0</v>
      </c>
      <c r="EH19" s="390" t="str">
        <f t="array" ref="EH19">IFERROR(IF(AND(INDEX($E$8:$CE$57, MATCH($C19, $C$8:$C$57, 0), (COLUMNS($DU19:EH19)-1)*5 + 1) = INDEX($E$5:$CE$5, 1, (COLUMNS($DU19:EH19)-1)*5 + 1), INDEX($E$8:$CE$57, MATCH($C19, $C$8:$C$57, 0), (COLUMNS($DU19:EH19)-1)*5 + 4) = "SF"), INDEX($CZ$8:$CZ$23, COLUMNS($DU19:EH19)), "0"), "")</f>
        <v>0</v>
      </c>
      <c r="EI19" s="390" t="str">
        <f t="array" ref="EI19">IFERROR(IF(AND(INDEX($E$8:$CE$57, MATCH($C19, $C$8:$C$57, 0), (COLUMNS($DU19:EI19)-1)*5 + 1) = INDEX($E$5:$CE$5, 1, (COLUMNS($DU19:EI19)-1)*5 + 1), INDEX($E$8:$CE$57, MATCH($C19, $C$8:$C$57, 0), (COLUMNS($DU19:EI19)-1)*5 + 4) = "SF"), INDEX($CZ$8:$CZ$23, COLUMNS($DU19:EI19)), "0"), "")</f>
        <v>0</v>
      </c>
      <c r="EJ19" s="390" t="str">
        <f t="array" ref="EJ19">IFERROR(IF(AND(INDEX($E$8:$CE$57, MATCH($C19, $C$8:$C$57, 0), (COLUMNS($DU19:EJ19)-1)*5 + 1) = INDEX($E$5:$CE$5, 1, (COLUMNS($DU19:EJ19)-1)*5 + 1), INDEX($E$8:$CE$57, MATCH($C19, $C$8:$C$57, 0), (COLUMNS($DU19:EJ19)-1)*5 + 4) = "SF"), INDEX($CZ$8:$CZ$23, COLUMNS($DU19:EJ19)), "0"), "")</f>
        <v>0</v>
      </c>
    </row>
    <row r="20" spans="1:140" ht="20.100000000000001" customHeight="1" x14ac:dyDescent="0.35">
      <c r="A20" s="515"/>
      <c r="B20" s="444">
        <f>IF(SEMANA2[[#This Row],[COD]]&lt;&gt;"",B19+1,"")</f>
        <v>13</v>
      </c>
      <c r="C20" s="554" t="s">
        <v>56</v>
      </c>
      <c r="D20" s="410" t="str">
        <f t="array" ref="D20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MEETING</v>
      </c>
      <c r="E20" s="414">
        <v>9</v>
      </c>
      <c r="F20" s="414">
        <v>6</v>
      </c>
      <c r="G20" s="414">
        <v>2</v>
      </c>
      <c r="H20" s="414"/>
      <c r="I20" s="534">
        <f t="shared" si="0"/>
        <v>2</v>
      </c>
      <c r="J20" s="414">
        <v>1</v>
      </c>
      <c r="K20" s="414">
        <v>4</v>
      </c>
      <c r="L20" s="414">
        <v>7</v>
      </c>
      <c r="M20" s="414"/>
      <c r="N20" s="534">
        <f t="shared" si="1"/>
        <v>1</v>
      </c>
      <c r="O20" s="414">
        <v>5</v>
      </c>
      <c r="P20" s="414">
        <v>7</v>
      </c>
      <c r="Q20" s="414">
        <v>3</v>
      </c>
      <c r="R20" s="414"/>
      <c r="S20" s="534">
        <f t="shared" si="2"/>
        <v>0</v>
      </c>
      <c r="T20" s="414">
        <v>1</v>
      </c>
      <c r="U20" s="414">
        <v>3</v>
      </c>
      <c r="V20" s="414">
        <v>4</v>
      </c>
      <c r="W20" s="414"/>
      <c r="X20" s="534">
        <f t="shared" si="3"/>
        <v>8</v>
      </c>
      <c r="Y20" s="414">
        <v>7</v>
      </c>
      <c r="Z20" s="414">
        <v>1</v>
      </c>
      <c r="AA20" s="414">
        <v>4</v>
      </c>
      <c r="AB20" s="414"/>
      <c r="AC20" s="534">
        <f t="shared" si="4"/>
        <v>0</v>
      </c>
      <c r="AD20" s="414">
        <v>3</v>
      </c>
      <c r="AE20" s="414">
        <v>4</v>
      </c>
      <c r="AF20" s="414">
        <v>10</v>
      </c>
      <c r="AG20" s="414"/>
      <c r="AH20" s="534">
        <f t="shared" si="5"/>
        <v>0</v>
      </c>
      <c r="AI20" s="414">
        <v>6</v>
      </c>
      <c r="AJ20" s="414">
        <v>8</v>
      </c>
      <c r="AK20" s="414">
        <v>9</v>
      </c>
      <c r="AL20" s="414"/>
      <c r="AM20" s="534">
        <f t="shared" si="6"/>
        <v>2</v>
      </c>
      <c r="AN20" s="414">
        <v>8</v>
      </c>
      <c r="AO20" s="414">
        <v>1</v>
      </c>
      <c r="AP20" s="414">
        <v>2</v>
      </c>
      <c r="AQ20" s="414" t="s">
        <v>254</v>
      </c>
      <c r="AR20" s="534">
        <f t="shared" si="7"/>
        <v>4.5</v>
      </c>
      <c r="AS20" s="414">
        <v>6</v>
      </c>
      <c r="AT20" s="414">
        <v>8</v>
      </c>
      <c r="AU20" s="414">
        <v>11</v>
      </c>
      <c r="AV20" s="414"/>
      <c r="AW20" s="534">
        <f t="shared" si="8"/>
        <v>0</v>
      </c>
      <c r="AX20" s="414">
        <v>6</v>
      </c>
      <c r="AY20" s="414">
        <v>1</v>
      </c>
      <c r="AZ20" s="414">
        <v>10</v>
      </c>
      <c r="BA20" s="414"/>
      <c r="BB20" s="534">
        <f t="shared" si="9"/>
        <v>0</v>
      </c>
      <c r="BC20" s="414">
        <v>7</v>
      </c>
      <c r="BD20" s="414">
        <v>6</v>
      </c>
      <c r="BE20" s="414">
        <v>3</v>
      </c>
      <c r="BF20" s="414" t="s">
        <v>254</v>
      </c>
      <c r="BG20" s="534">
        <f t="shared" si="10"/>
        <v>6</v>
      </c>
      <c r="BH20" s="414">
        <v>6</v>
      </c>
      <c r="BI20" s="414">
        <v>2</v>
      </c>
      <c r="BJ20" s="414">
        <v>7</v>
      </c>
      <c r="BK20" s="414"/>
      <c r="BL20" s="534">
        <f t="shared" si="11"/>
        <v>4</v>
      </c>
      <c r="BM20" s="414">
        <v>4</v>
      </c>
      <c r="BN20" s="414">
        <v>9</v>
      </c>
      <c r="BO20" s="414">
        <v>1</v>
      </c>
      <c r="BP20" s="414"/>
      <c r="BQ20" s="534">
        <f t="shared" si="12"/>
        <v>0</v>
      </c>
      <c r="BR20" s="414">
        <v>5</v>
      </c>
      <c r="BS20" s="414">
        <v>1</v>
      </c>
      <c r="BT20" s="414">
        <v>11</v>
      </c>
      <c r="BU20" s="414"/>
      <c r="BV20" s="534">
        <f t="shared" si="13"/>
        <v>4</v>
      </c>
      <c r="BW20" s="414"/>
      <c r="BX20" s="414"/>
      <c r="BY20" s="414"/>
      <c r="BZ20" s="414"/>
      <c r="CA20" s="534">
        <f t="shared" si="14"/>
        <v>0</v>
      </c>
      <c r="CB20" s="414"/>
      <c r="CC20" s="414"/>
      <c r="CD20" s="414"/>
      <c r="CE20" s="414"/>
      <c r="CF20" s="534">
        <f t="shared" si="15"/>
        <v>0</v>
      </c>
      <c r="CG20" s="162">
        <f>IF(SEMANA2[[#This Row],[1]]="",0,$B$4)</f>
        <v>14</v>
      </c>
      <c r="CH20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4</v>
      </c>
      <c r="CI20" s="164">
        <f>IF(SEMANA2[[#This Row],[Columna14]]=0,0,(CH20/CG20))</f>
        <v>0.2857142857142857</v>
      </c>
      <c r="CJ20" s="163">
        <f>IF(SEMANA2[[#This Row],[1]]="",0,$B$4)</f>
        <v>14</v>
      </c>
      <c r="CK20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20" s="164">
        <f>IF(SEMANA2[[#This Row],[Columna14]]=0,0,(CK20/CJ20))</f>
        <v>0.42857142857142855</v>
      </c>
      <c r="CM20" s="162">
        <f>IF(SEMANA2[[#This Row],[1]]="",0,$B$4)</f>
        <v>14</v>
      </c>
      <c r="CN20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8</v>
      </c>
      <c r="CO20" s="164">
        <f>IF(SEMANA2[[#This Row],[Columna14]]=0,0,(CN20/CM20))</f>
        <v>0.5714285714285714</v>
      </c>
      <c r="CP20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2</v>
      </c>
      <c r="CQ20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Row],[Columna25]],$AX$5,BA20,"SF")+COUNTIFS(SEMANA2[[#This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20" s="164">
        <f>IFERROR(IF(SEMANA2[[#This Row],[Columna14]]=0,0,(CQ20/CP20)),0)</f>
        <v>1</v>
      </c>
      <c r="CS20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31.5</v>
      </c>
      <c r="CT20" s="93">
        <f>_xlfn.XLOOKUP(SEMANA2[[#This Row],[COD]],BASE01[COD],BASE01[Columna33])</f>
        <v>27</v>
      </c>
      <c r="CU20" s="536">
        <f t="shared" si="16"/>
        <v>58.5</v>
      </c>
      <c r="CV20" s="445" t="str">
        <f>IF(SEMANA2[[#This Row],[TIPO]]="PREMIO",$O$3,"0,00")</f>
        <v>0,00</v>
      </c>
      <c r="CW20" s="515"/>
      <c r="CY20" s="388">
        <v>13</v>
      </c>
      <c r="CZ20" s="349">
        <f>BN$6</f>
        <v>915.58</v>
      </c>
      <c r="DB20" s="537" t="str">
        <f>SEMANA2[[#This Row],[COD]]</f>
        <v>COD 13</v>
      </c>
      <c r="DC20" s="390" t="str">
        <f t="array" ref="DC20">IFERROR(IF(AND(INDEX($E$8:$CE$57, MATCH($C20, $C$8:$C$57, 0), (COLUMNS($DC20:DC20)-1)*5 + 1) = INDEX($E$5:$CE$5, 1, (COLUMNS($DC20:DC20)-1)*5 + 1), INDEX($E$8:$CE$57, MATCH($C20, $C$8:$C$57, 0), (COLUMNS($DC20:DC20)-1)*5 + 4) = "F"), INDEX($CZ$8:$CZ$23, COLUMNS($DC20:DC20)), "0"), "")</f>
        <v>0</v>
      </c>
      <c r="DD20" s="390" t="str">
        <f t="array" ref="DD20">IFERROR(IF(AND(INDEX($E$8:$CE$57, MATCH($C20, $C$8:$C$57, 0), (COLUMNS($DC20:DD20)-1)*5 + 1) = INDEX($E$5:$CE$5, 1, (COLUMNS($DC20:DD20)-1)*5 + 1), INDEX($E$8:$CE$57, MATCH($C20, $C$8:$C$57, 0), (COLUMNS($DC20:DD20)-1)*5 + 4) = "F"), INDEX($CZ$8:$CZ$23, COLUMNS($DC20:DD20)), "0"), "")</f>
        <v>0</v>
      </c>
      <c r="DE20" s="390" t="str">
        <f t="array" ref="DE20">IFERROR(IF(AND(INDEX($E$8:$CE$57, MATCH($C20, $C$8:$C$57, 0), (COLUMNS($DC20:DE20)-1)*5 + 1) = INDEX($E$5:$CE$5, 1, (COLUMNS($DC20:DE20)-1)*5 + 1), INDEX($E$8:$CE$57, MATCH($C20, $C$8:$C$57, 0), (COLUMNS($DC20:DE20)-1)*5 + 4) = "F"), INDEX($CZ$8:$CZ$23, COLUMNS($DC20:DE20)), "0"), "")</f>
        <v>0</v>
      </c>
      <c r="DF20" s="390" t="str">
        <f t="array" ref="DF20">IFERROR(IF(AND(INDEX($E$8:$CE$57, MATCH($C20, $C$8:$C$57, 0), (COLUMNS($DC20:DF20)-1)*5 + 1) = INDEX($E$5:$CE$5, 1, (COLUMNS($DC20:DF20)-1)*5 + 1), INDEX($E$8:$CE$57, MATCH($C20, $C$8:$C$57, 0), (COLUMNS($DC20:DF20)-1)*5 + 4) = "F"), INDEX($CZ$8:$CZ$23, COLUMNS($DC20:DF20)), "0"), "")</f>
        <v>0</v>
      </c>
      <c r="DG20" s="390" t="str">
        <f t="array" ref="DG20">IFERROR(IF(AND(INDEX($E$8:$CE$57, MATCH($C20, $C$8:$C$57, 0), (COLUMNS($DC20:DG20)-1)*5 + 1) = INDEX($E$5:$CE$5, 1, (COLUMNS($DC20:DG20)-1)*5 + 1), INDEX($E$8:$CE$57, MATCH($C20, $C$8:$C$57, 0), (COLUMNS($DC20:DG20)-1)*5 + 4) = "F"), INDEX($CZ$8:$CZ$23, COLUMNS($DC20:DG20)), "0"), "")</f>
        <v>0</v>
      </c>
      <c r="DH20" s="390" t="str">
        <f t="array" ref="DH20">IFERROR(IF(AND(INDEX($E$8:$CE$57, MATCH($C20, $C$8:$C$57, 0), (COLUMNS($DC20:DH20)-1)*5 + 1) = INDEX($E$5:$CE$5, 1, (COLUMNS($DC20:DH20)-1)*5 + 1), INDEX($E$8:$CE$57, MATCH($C20, $C$8:$C$57, 0), (COLUMNS($DC20:DH20)-1)*5 + 4) = "F"), INDEX($CZ$8:$CZ$23, COLUMNS($DC20:DH20)), "0"), "")</f>
        <v>0</v>
      </c>
      <c r="DI20" s="390" t="str">
        <f t="array" ref="DI20">IFERROR(IF(AND(INDEX($E$8:$CE$57, MATCH($C20, $C$8:$C$57, 0), (COLUMNS($DC20:DI20)-1)*5 + 1) = INDEX($E$5:$CE$5, 1, (COLUMNS($DC20:DI20)-1)*5 + 1), INDEX($E$8:$CE$57, MATCH($C20, $C$8:$C$57, 0), (COLUMNS($DC20:DI20)-1)*5 + 4) = "F"), INDEX($CZ$8:$CZ$23, COLUMNS($DC20:DI20)), "0"), "")</f>
        <v>0</v>
      </c>
      <c r="DJ20" s="390">
        <f t="array" ref="DJ20">IFERROR(IF(AND(INDEX($E$8:$CE$57, MATCH($C20, $C$8:$C$57, 0), (COLUMNS($DC20:DJ20)-1)*5 + 1) = INDEX($E$5:$CE$5, 1, (COLUMNS($DC20:DJ20)-1)*5 + 1), INDEX($E$8:$CE$57, MATCH($C20, $C$8:$C$57, 0), (COLUMNS($DC20:DJ20)-1)*5 + 4) = "F"), INDEX($CZ$8:$CZ$23, COLUMNS($DC20:DJ20)), "0"), "")</f>
        <v>128.36000000000001</v>
      </c>
      <c r="DK20" s="390" t="str">
        <f t="array" ref="DK20">IFERROR(IF(AND(INDEX($E$8:$CE$57, MATCH($C20, $C$8:$C$57, 0), (COLUMNS($DC20:DK20)-1)*5 + 1) = INDEX($E$5:$CE$5, 1, (COLUMNS($DC20:DK20)-1)*5 + 1), INDEX($E$8:$CE$57, MATCH($C20, $C$8:$C$57, 0), (COLUMNS($DC20:DK20)-1)*5 + 4) = "F"), INDEX($CZ$8:$CZ$23, COLUMNS($DC20:DK20)), "0"), "")</f>
        <v>0</v>
      </c>
      <c r="DL20" s="390" t="str">
        <f t="array" ref="DL20">IFERROR(IF(AND(INDEX($E$8:$CE$57, MATCH($C20, $C$8:$C$57, 0), (COLUMNS($DC20:DL20)-1)*5 + 1) = INDEX($E$5:$CE$5, 1, (COLUMNS($DC20:DL20)-1)*5 + 1), INDEX($E$8:$CE$57, MATCH($C20, $C$8:$C$57, 0), (COLUMNS($DC20:DL20)-1)*5 + 4) = "F"), INDEX($CZ$8:$CZ$23, COLUMNS($DC20:DL20)), "0"), "")</f>
        <v>0</v>
      </c>
      <c r="DM20" s="390">
        <f t="array" ref="DM20">IFERROR(IF(AND(INDEX($E$8:$CE$57, MATCH($C20, $C$8:$C$57, 0), (COLUMNS($DC20:DM20)-1)*5 + 1) = INDEX($E$5:$CE$5, 1, (COLUMNS($DC20:DM20)-1)*5 + 1), INDEX($E$8:$CE$57, MATCH($C20, $C$8:$C$57, 0), (COLUMNS($DC20:DM20)-1)*5 + 4) = "F"), INDEX($CZ$8:$CZ$23, COLUMNS($DC20:DM20)), "0"), "")</f>
        <v>156.87</v>
      </c>
      <c r="DN20" s="390" t="str">
        <f t="array" ref="DN20">IFERROR(IF(AND(INDEX($E$8:$CE$57, MATCH($C20, $C$8:$C$57, 0), (COLUMNS($DC20:DN20)-1)*5 + 1) = INDEX($E$5:$CE$5, 1, (COLUMNS($DC20:DN20)-1)*5 + 1), INDEX($E$8:$CE$57, MATCH($C20, $C$8:$C$57, 0), (COLUMNS($DC20:DN20)-1)*5 + 4) = "F"), INDEX($CZ$8:$CZ$23, COLUMNS($DC20:DN20)), "0"), "")</f>
        <v>0</v>
      </c>
      <c r="DO20" s="390" t="str">
        <f t="array" ref="DO20">IFERROR(IF(AND(INDEX($E$8:$CE$57, MATCH($C20, $C$8:$C$57, 0), (COLUMNS($DC20:DO20)-1)*5 + 1) = INDEX($E$5:$CE$5, 1, (COLUMNS($DC20:DO20)-1)*5 + 1), INDEX($E$8:$CE$57, MATCH($C20, $C$8:$C$57, 0), (COLUMNS($DC20:DO20)-1)*5 + 4) = "F"), INDEX($CZ$8:$CZ$23, COLUMNS($DC20:DO20)), "0"), "")</f>
        <v>0</v>
      </c>
      <c r="DP20" s="390" t="str">
        <f t="array" ref="DP20">IFERROR(IF(AND(INDEX($E$8:$CE$57, MATCH($C20, $C$8:$C$57, 0), (COLUMNS($DC20:DP20)-1)*5 + 1) = INDEX($E$5:$CE$5, 1, (COLUMNS($DC20:DP20)-1)*5 + 1), INDEX($E$8:$CE$57, MATCH($C20, $C$8:$C$57, 0), (COLUMNS($DC20:DP20)-1)*5 + 4) = "F"), INDEX($CZ$8:$CZ$23, COLUMNS($DC20:DP20)), "0"), "")</f>
        <v>0</v>
      </c>
      <c r="DQ20" s="390" t="str">
        <f t="array" ref="DQ20">IFERROR(IF(AND(INDEX($E$8:$CE$57, MATCH($C20, $C$8:$C$57, 0), (COLUMNS($DC20:DQ20)-1)*5 + 1) = INDEX($E$5:$CE$5, 1, (COLUMNS($DC20:DQ20)-1)*5 + 1), INDEX($E$8:$CE$57, MATCH($C20, $C$8:$C$57, 0), (COLUMNS($DC20:DQ20)-1)*5 + 4) = "F"), INDEX($CZ$8:$CZ$23, COLUMNS($DC20:DQ20)), "0"), "")</f>
        <v>0</v>
      </c>
      <c r="DR20" s="390" t="str">
        <f t="array" ref="DR20">IFERROR(IF(AND(INDEX($E$8:$CE$57, MATCH($C20, $C$8:$C$57, 0), (COLUMNS($DC20:DR20)-1)*5 + 1) = INDEX($E$5:$CE$5, 1, (COLUMNS($DC20:DR20)-1)*5 + 1), INDEX($E$8:$CE$57, MATCH($C20, $C$8:$C$57, 0), (COLUMNS($DC20:DR20)-1)*5 + 4) = "F"), INDEX($CZ$8:$CZ$23, COLUMNS($DC20:DR20)), "0"), "")</f>
        <v>0</v>
      </c>
      <c r="DT20" s="537" t="str">
        <f>SEMANA2[[#This Row],[COD]]</f>
        <v>COD 13</v>
      </c>
      <c r="DU20" s="390" t="str">
        <f t="array" ref="DU20">IFERROR(IF(AND(INDEX($E$8:$CE$57, MATCH($C20, $C$8:$C$57, 0), (COLUMNS($DU20:DU20)-1)*5 + 1) = INDEX($E$5:$CE$5, 1, (COLUMNS($DU20:DU20)-1)*5 + 1), INDEX($E$8:$CE$57, MATCH($C20, $C$8:$C$57, 0), (COLUMNS($DU20:DU20)-1)*5 + 4) = "SF"), INDEX($CZ$8:$CZ$23, COLUMNS($DU20:DU20)), "0"), "")</f>
        <v>0</v>
      </c>
      <c r="DV20" s="390" t="str">
        <f t="array" ref="DV20">IFERROR(IF(AND(INDEX($E$8:$CE$57, MATCH($C20, $C$8:$C$57, 0), (COLUMNS($DU20:DV20)-1)*5 + 1) = INDEX($E$5:$CE$5, 1, (COLUMNS($DU20:DV20)-1)*5 + 1), INDEX($E$8:$CE$57, MATCH($C20, $C$8:$C$57, 0), (COLUMNS($DU20:DV20)-1)*5 + 4) = "SF"), INDEX($CZ$8:$CZ$23, COLUMNS($DU20:DV20)), "0"), "")</f>
        <v>0</v>
      </c>
      <c r="DW20" s="390" t="str">
        <f t="array" ref="DW20">IFERROR(IF(AND(INDEX($E$8:$CE$57, MATCH($C20, $C$8:$C$57, 0), (COLUMNS($DU20:DW20)-1)*5 + 1) = INDEX($E$5:$CE$5, 1, (COLUMNS($DU20:DW20)-1)*5 + 1), INDEX($E$8:$CE$57, MATCH($C20, $C$8:$C$57, 0), (COLUMNS($DU20:DW20)-1)*5 + 4) = "SF"), INDEX($CZ$8:$CZ$23, COLUMNS($DU20:DW20)), "0"), "")</f>
        <v>0</v>
      </c>
      <c r="DX20" s="390" t="str">
        <f t="array" ref="DX20">IFERROR(IF(AND(INDEX($E$8:$CE$57, MATCH($C20, $C$8:$C$57, 0), (COLUMNS($DU20:DX20)-1)*5 + 1) = INDEX($E$5:$CE$5, 1, (COLUMNS($DU20:DX20)-1)*5 + 1), INDEX($E$8:$CE$57, MATCH($C20, $C$8:$C$57, 0), (COLUMNS($DU20:DX20)-1)*5 + 4) = "SF"), INDEX($CZ$8:$CZ$23, COLUMNS($DU20:DX20)), "0"), "")</f>
        <v>0</v>
      </c>
      <c r="DY20" s="390" t="str">
        <f t="array" ref="DY20">IFERROR(IF(AND(INDEX($E$8:$CE$57, MATCH($C20, $C$8:$C$57, 0), (COLUMNS($DU20:DY20)-1)*5 + 1) = INDEX($E$5:$CE$5, 1, (COLUMNS($DU20:DY20)-1)*5 + 1), INDEX($E$8:$CE$57, MATCH($C20, $C$8:$C$57, 0), (COLUMNS($DU20:DY20)-1)*5 + 4) = "SF"), INDEX($CZ$8:$CZ$23, COLUMNS($DU20:DY20)), "0"), "")</f>
        <v>0</v>
      </c>
      <c r="DZ20" s="390" t="str">
        <f t="array" ref="DZ20">IFERROR(IF(AND(INDEX($E$8:$CE$57, MATCH($C20, $C$8:$C$57, 0), (COLUMNS($DU20:DZ20)-1)*5 + 1) = INDEX($E$5:$CE$5, 1, (COLUMNS($DU20:DZ20)-1)*5 + 1), INDEX($E$8:$CE$57, MATCH($C20, $C$8:$C$57, 0), (COLUMNS($DU20:DZ20)-1)*5 + 4) = "SF"), INDEX($CZ$8:$CZ$23, COLUMNS($DU20:DZ20)), "0"), "")</f>
        <v>0</v>
      </c>
      <c r="EA20" s="390" t="str">
        <f t="array" ref="EA20">IFERROR(IF(AND(INDEX($E$8:$CE$57, MATCH($C20, $C$8:$C$57, 0), (COLUMNS($DU20:EA20)-1)*5 + 1) = INDEX($E$5:$CE$5, 1, (COLUMNS($DU20:EA20)-1)*5 + 1), INDEX($E$8:$CE$57, MATCH($C20, $C$8:$C$57, 0), (COLUMNS($DU20:EA20)-1)*5 + 4) = "SF"), INDEX($CZ$8:$CZ$23, COLUMNS($DU20:EA20)), "0"), "")</f>
        <v>0</v>
      </c>
      <c r="EB20" s="390" t="str">
        <f t="array" ref="EB20">IFERROR(IF(AND(INDEX($E$8:$CE$57, MATCH($C20, $C$8:$C$57, 0), (COLUMNS($DU20:EB20)-1)*5 + 1) = INDEX($E$5:$CE$5, 1, (COLUMNS($DU20:EB20)-1)*5 + 1), INDEX($E$8:$CE$57, MATCH($C20, $C$8:$C$57, 0), (COLUMNS($DU20:EB20)-1)*5 + 4) = "SF"), INDEX($CZ$8:$CZ$23, COLUMNS($DU20:EB20)), "0"), "")</f>
        <v>0</v>
      </c>
      <c r="EC20" s="390" t="str">
        <f t="array" ref="EC20">IFERROR(IF(AND(INDEX($E$8:$CE$57, MATCH($C20, $C$8:$C$57, 0), (COLUMNS($DU20:EC20)-1)*5 + 1) = INDEX($E$5:$CE$5, 1, (COLUMNS($DU20:EC20)-1)*5 + 1), INDEX($E$8:$CE$57, MATCH($C20, $C$8:$C$57, 0), (COLUMNS($DU20:EC20)-1)*5 + 4) = "SF"), INDEX($CZ$8:$CZ$23, COLUMNS($DU20:EC20)), "0"), "")</f>
        <v>0</v>
      </c>
      <c r="ED20" s="390" t="str">
        <f t="array" ref="ED20">IFERROR(IF(AND(INDEX($E$8:$CE$57, MATCH($C20, $C$8:$C$57, 0), (COLUMNS($DU20:ED20)-1)*5 + 1) = INDEX($E$5:$CE$5, 1, (COLUMNS($DU20:ED20)-1)*5 + 1), INDEX($E$8:$CE$57, MATCH($C20, $C$8:$C$57, 0), (COLUMNS($DU20:ED20)-1)*5 + 4) = "SF"), INDEX($CZ$8:$CZ$23, COLUMNS($DU20:ED20)), "0"), "")</f>
        <v>0</v>
      </c>
      <c r="EE20" s="390" t="str">
        <f t="array" ref="EE20">IFERROR(IF(AND(INDEX($E$8:$CE$57, MATCH($C20, $C$8:$C$57, 0), (COLUMNS($DU20:EE20)-1)*5 + 1) = INDEX($E$5:$CE$5, 1, (COLUMNS($DU20:EE20)-1)*5 + 1), INDEX($E$8:$CE$57, MATCH($C20, $C$8:$C$57, 0), (COLUMNS($DU20:EE20)-1)*5 + 4) = "SF"), INDEX($CZ$8:$CZ$23, COLUMNS($DU20:EE20)), "0"), "")</f>
        <v>0</v>
      </c>
      <c r="EF20" s="390" t="str">
        <f t="array" ref="EF20">IFERROR(IF(AND(INDEX($E$8:$CE$57, MATCH($C20, $C$8:$C$57, 0), (COLUMNS($DU20:EF20)-1)*5 + 1) = INDEX($E$5:$CE$5, 1, (COLUMNS($DU20:EF20)-1)*5 + 1), INDEX($E$8:$CE$57, MATCH($C20, $C$8:$C$57, 0), (COLUMNS($DU20:EF20)-1)*5 + 4) = "SF"), INDEX($CZ$8:$CZ$23, COLUMNS($DU20:EF20)), "0"), "")</f>
        <v>0</v>
      </c>
      <c r="EG20" s="390" t="str">
        <f t="array" ref="EG20">IFERROR(IF(AND(INDEX($E$8:$CE$57, MATCH($C20, $C$8:$C$57, 0), (COLUMNS($DU20:EG20)-1)*5 + 1) = INDEX($E$5:$CE$5, 1, (COLUMNS($DU20:EG20)-1)*5 + 1), INDEX($E$8:$CE$57, MATCH($C20, $C$8:$C$57, 0), (COLUMNS($DU20:EG20)-1)*5 + 4) = "SF"), INDEX($CZ$8:$CZ$23, COLUMNS($DU20:EG20)), "0"), "")</f>
        <v>0</v>
      </c>
      <c r="EH20" s="390" t="str">
        <f t="array" ref="EH20">IFERROR(IF(AND(INDEX($E$8:$CE$57, MATCH($C20, $C$8:$C$57, 0), (COLUMNS($DU20:EH20)-1)*5 + 1) = INDEX($E$5:$CE$5, 1, (COLUMNS($DU20:EH20)-1)*5 + 1), INDEX($E$8:$CE$57, MATCH($C20, $C$8:$C$57, 0), (COLUMNS($DU20:EH20)-1)*5 + 4) = "SF"), INDEX($CZ$8:$CZ$23, COLUMNS($DU20:EH20)), "0"), "")</f>
        <v>0</v>
      </c>
      <c r="EI20" s="390" t="str">
        <f t="array" ref="EI20">IFERROR(IF(AND(INDEX($E$8:$CE$57, MATCH($C20, $C$8:$C$57, 0), (COLUMNS($DU20:EI20)-1)*5 + 1) = INDEX($E$5:$CE$5, 1, (COLUMNS($DU20:EI20)-1)*5 + 1), INDEX($E$8:$CE$57, MATCH($C20, $C$8:$C$57, 0), (COLUMNS($DU20:EI20)-1)*5 + 4) = "SF"), INDEX($CZ$8:$CZ$23, COLUMNS($DU20:EI20)), "0"), "")</f>
        <v>0</v>
      </c>
      <c r="EJ20" s="390" t="str">
        <f t="array" ref="EJ20">IFERROR(IF(AND(INDEX($E$8:$CE$57, MATCH($C20, $C$8:$C$57, 0), (COLUMNS($DU20:EJ20)-1)*5 + 1) = INDEX($E$5:$CE$5, 1, (COLUMNS($DU20:EJ20)-1)*5 + 1), INDEX($E$8:$CE$57, MATCH($C20, $C$8:$C$57, 0), (COLUMNS($DU20:EJ20)-1)*5 + 4) = "SF"), INDEX($CZ$8:$CZ$23, COLUMNS($DU20:EJ20)), "0"), "")</f>
        <v>0</v>
      </c>
    </row>
    <row r="21" spans="1:140" ht="20.100000000000001" customHeight="1" x14ac:dyDescent="0.35">
      <c r="A21" s="515"/>
      <c r="B21" s="444">
        <f>IF(SEMANA2[[#This Row],[COD]]&lt;&gt;"",B20+1,"")</f>
        <v>14</v>
      </c>
      <c r="C21" s="554" t="s">
        <v>58</v>
      </c>
      <c r="D21" s="410" t="str">
        <f t="array" ref="D21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21" s="411">
        <v>9</v>
      </c>
      <c r="F21" s="412">
        <v>2</v>
      </c>
      <c r="G21" s="412">
        <v>3</v>
      </c>
      <c r="H21" s="412"/>
      <c r="I21" s="534">
        <f t="shared" si="0"/>
        <v>0</v>
      </c>
      <c r="J21" s="411">
        <v>1</v>
      </c>
      <c r="K21" s="412">
        <v>2</v>
      </c>
      <c r="L21" s="412">
        <v>7</v>
      </c>
      <c r="M21" s="412"/>
      <c r="N21" s="534">
        <f t="shared" si="1"/>
        <v>1</v>
      </c>
      <c r="O21" s="411">
        <v>1</v>
      </c>
      <c r="P21" s="412">
        <v>8</v>
      </c>
      <c r="Q21" s="412">
        <v>5</v>
      </c>
      <c r="R21" s="412"/>
      <c r="S21" s="534">
        <f t="shared" si="2"/>
        <v>4</v>
      </c>
      <c r="T21" s="411">
        <v>5</v>
      </c>
      <c r="U21" s="412">
        <v>4</v>
      </c>
      <c r="V21" s="412">
        <v>3</v>
      </c>
      <c r="W21" s="412"/>
      <c r="X21" s="534">
        <f t="shared" si="3"/>
        <v>0</v>
      </c>
      <c r="Y21" s="411">
        <v>4</v>
      </c>
      <c r="Z21" s="412">
        <v>1</v>
      </c>
      <c r="AA21" s="412">
        <v>7</v>
      </c>
      <c r="AB21" s="412"/>
      <c r="AC21" s="534">
        <f t="shared" si="4"/>
        <v>0</v>
      </c>
      <c r="AD21" s="411">
        <v>4</v>
      </c>
      <c r="AE21" s="412">
        <v>5</v>
      </c>
      <c r="AF21" s="412">
        <v>7</v>
      </c>
      <c r="AG21" s="412"/>
      <c r="AH21" s="534">
        <f t="shared" si="5"/>
        <v>2</v>
      </c>
      <c r="AI21" s="411">
        <v>7</v>
      </c>
      <c r="AJ21" s="412">
        <v>6</v>
      </c>
      <c r="AK21" s="412">
        <v>3</v>
      </c>
      <c r="AL21" s="412" t="s">
        <v>254</v>
      </c>
      <c r="AM21" s="534">
        <f t="shared" si="6"/>
        <v>0</v>
      </c>
      <c r="AN21" s="411">
        <v>8</v>
      </c>
      <c r="AO21" s="412"/>
      <c r="AP21" s="412"/>
      <c r="AQ21" s="412" t="s">
        <v>255</v>
      </c>
      <c r="AR21" s="534">
        <f t="shared" si="7"/>
        <v>7.5</v>
      </c>
      <c r="AS21" s="411">
        <v>2</v>
      </c>
      <c r="AT21" s="412">
        <v>10</v>
      </c>
      <c r="AU21" s="412">
        <v>5</v>
      </c>
      <c r="AV21" s="412"/>
      <c r="AW21" s="534">
        <f t="shared" si="8"/>
        <v>4</v>
      </c>
      <c r="AX21" s="411">
        <v>2</v>
      </c>
      <c r="AY21" s="412">
        <v>9</v>
      </c>
      <c r="AZ21" s="412">
        <v>10</v>
      </c>
      <c r="BA21" s="412"/>
      <c r="BB21" s="534">
        <f t="shared" si="9"/>
        <v>4</v>
      </c>
      <c r="BC21" s="411">
        <v>5</v>
      </c>
      <c r="BD21" s="412">
        <v>7</v>
      </c>
      <c r="BE21" s="412">
        <v>3</v>
      </c>
      <c r="BF21" s="412"/>
      <c r="BG21" s="534">
        <f t="shared" si="10"/>
        <v>2</v>
      </c>
      <c r="BH21" s="411">
        <v>6</v>
      </c>
      <c r="BI21" s="412">
        <v>2</v>
      </c>
      <c r="BJ21" s="412">
        <v>1</v>
      </c>
      <c r="BK21" s="412" t="s">
        <v>254</v>
      </c>
      <c r="BL21" s="534">
        <f t="shared" si="11"/>
        <v>5</v>
      </c>
      <c r="BM21" s="411">
        <v>4</v>
      </c>
      <c r="BN21" s="412">
        <v>3</v>
      </c>
      <c r="BO21" s="412">
        <v>1</v>
      </c>
      <c r="BP21" s="412"/>
      <c r="BQ21" s="534">
        <f t="shared" si="12"/>
        <v>0</v>
      </c>
      <c r="BR21" s="411">
        <v>11</v>
      </c>
      <c r="BS21" s="412">
        <v>2</v>
      </c>
      <c r="BT21" s="412">
        <v>1</v>
      </c>
      <c r="BU21" s="412"/>
      <c r="BV21" s="534">
        <f t="shared" si="13"/>
        <v>1</v>
      </c>
      <c r="BW21" s="411"/>
      <c r="BX21" s="412"/>
      <c r="BY21" s="412"/>
      <c r="BZ21" s="412"/>
      <c r="CA21" s="534">
        <f t="shared" si="14"/>
        <v>0</v>
      </c>
      <c r="CB21" s="411"/>
      <c r="CC21" s="412"/>
      <c r="CD21" s="412"/>
      <c r="CE21" s="412"/>
      <c r="CF21" s="534">
        <f t="shared" si="15"/>
        <v>0</v>
      </c>
      <c r="CG21" s="162">
        <f>IF(SEMANA2[[#This Row],[1]]="",0,$B$4)</f>
        <v>14</v>
      </c>
      <c r="CH21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5</v>
      </c>
      <c r="CI21" s="164">
        <f>IF(SEMANA2[[#This Row],[Columna14]]=0,0,(CH21/CG21))</f>
        <v>0.35714285714285715</v>
      </c>
      <c r="CJ21" s="163">
        <f>IF(SEMANA2[[#This Row],[1]]="",0,$B$4)</f>
        <v>14</v>
      </c>
      <c r="CK21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21" s="164">
        <f>IF(SEMANA2[[#This Row],[Columna14]]=0,0,(CK21/CJ21))</f>
        <v>0.42857142857142855</v>
      </c>
      <c r="CM21" s="162">
        <f>IF(SEMANA2[[#This Row],[1]]="",0,$B$4)</f>
        <v>14</v>
      </c>
      <c r="CN21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9</v>
      </c>
      <c r="CO21" s="164">
        <f>IF(SEMANA2[[#This Row],[Columna14]]=0,0,(CN21/CM21))</f>
        <v>0.6428571428571429</v>
      </c>
      <c r="CP21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21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Row],[Columna25]],$AX$5,BA21,"SF")+COUNTIFS(SEMANA2[[#This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21" s="164">
        <f>IFERROR(IF(SEMANA2[[#This Row],[Columna14]]=0,0,(CQ21/CP21)),0)</f>
        <v>0.66666666666666663</v>
      </c>
      <c r="CS21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30.5</v>
      </c>
      <c r="CT21" s="93">
        <f>_xlfn.XLOOKUP(SEMANA2[[#This Row],[COD]],BASE01[COD],BASE01[Columna33])</f>
        <v>28</v>
      </c>
      <c r="CU21" s="536">
        <f t="shared" si="16"/>
        <v>58.5</v>
      </c>
      <c r="CV21" s="445">
        <f>IF(SEMANA2[[#This Row],[TIPO]]="PREMIO",$O$3,"0,00")</f>
        <v>1000</v>
      </c>
      <c r="CW21" s="515"/>
      <c r="CY21" s="388">
        <v>14</v>
      </c>
      <c r="CZ21" s="349">
        <f>BS$6</f>
        <v>313.13</v>
      </c>
      <c r="DB21" s="537" t="str">
        <f>SEMANA2[[#This Row],[COD]]</f>
        <v>COD 14</v>
      </c>
      <c r="DC21" s="390" t="str">
        <f t="array" ref="DC21">IFERROR(IF(AND(INDEX($E$8:$CE$57, MATCH($C21, $C$8:$C$57, 0), (COLUMNS($DC21:DC21)-1)*5 + 1) = INDEX($E$5:$CE$5, 1, (COLUMNS($DC21:DC21)-1)*5 + 1), INDEX($E$8:$CE$57, MATCH($C21, $C$8:$C$57, 0), (COLUMNS($DC21:DC21)-1)*5 + 4) = "F"), INDEX($CZ$8:$CZ$23, COLUMNS($DC21:DC21)), "0"), "")</f>
        <v>0</v>
      </c>
      <c r="DD21" s="390" t="str">
        <f t="array" ref="DD21">IFERROR(IF(AND(INDEX($E$8:$CE$57, MATCH($C21, $C$8:$C$57, 0), (COLUMNS($DC21:DD21)-1)*5 + 1) = INDEX($E$5:$CE$5, 1, (COLUMNS($DC21:DD21)-1)*5 + 1), INDEX($E$8:$CE$57, MATCH($C21, $C$8:$C$57, 0), (COLUMNS($DC21:DD21)-1)*5 + 4) = "F"), INDEX($CZ$8:$CZ$23, COLUMNS($DC21:DD21)), "0"), "")</f>
        <v>0</v>
      </c>
      <c r="DE21" s="390" t="str">
        <f t="array" ref="DE21">IFERROR(IF(AND(INDEX($E$8:$CE$57, MATCH($C21, $C$8:$C$57, 0), (COLUMNS($DC21:DE21)-1)*5 + 1) = INDEX($E$5:$CE$5, 1, (COLUMNS($DC21:DE21)-1)*5 + 1), INDEX($E$8:$CE$57, MATCH($C21, $C$8:$C$57, 0), (COLUMNS($DC21:DE21)-1)*5 + 4) = "F"), INDEX($CZ$8:$CZ$23, COLUMNS($DC21:DE21)), "0"), "")</f>
        <v>0</v>
      </c>
      <c r="DF21" s="390" t="str">
        <f t="array" ref="DF21">IFERROR(IF(AND(INDEX($E$8:$CE$57, MATCH($C21, $C$8:$C$57, 0), (COLUMNS($DC21:DF21)-1)*5 + 1) = INDEX($E$5:$CE$5, 1, (COLUMNS($DC21:DF21)-1)*5 + 1), INDEX($E$8:$CE$57, MATCH($C21, $C$8:$C$57, 0), (COLUMNS($DC21:DF21)-1)*5 + 4) = "F"), INDEX($CZ$8:$CZ$23, COLUMNS($DC21:DF21)), "0"), "")</f>
        <v>0</v>
      </c>
      <c r="DG21" s="390" t="str">
        <f t="array" ref="DG21">IFERROR(IF(AND(INDEX($E$8:$CE$57, MATCH($C21, $C$8:$C$57, 0), (COLUMNS($DC21:DG21)-1)*5 + 1) = INDEX($E$5:$CE$5, 1, (COLUMNS($DC21:DG21)-1)*5 + 1), INDEX($E$8:$CE$57, MATCH($C21, $C$8:$C$57, 0), (COLUMNS($DC21:DG21)-1)*5 + 4) = "F"), INDEX($CZ$8:$CZ$23, COLUMNS($DC21:DG21)), "0"), "")</f>
        <v>0</v>
      </c>
      <c r="DH21" s="390" t="str">
        <f t="array" ref="DH21">IFERROR(IF(AND(INDEX($E$8:$CE$57, MATCH($C21, $C$8:$C$57, 0), (COLUMNS($DC21:DH21)-1)*5 + 1) = INDEX($E$5:$CE$5, 1, (COLUMNS($DC21:DH21)-1)*5 + 1), INDEX($E$8:$CE$57, MATCH($C21, $C$8:$C$57, 0), (COLUMNS($DC21:DH21)-1)*5 + 4) = "F"), INDEX($CZ$8:$CZ$23, COLUMNS($DC21:DH21)), "0"), "")</f>
        <v>0</v>
      </c>
      <c r="DI21" s="390" t="str">
        <f t="array" ref="DI21">IFERROR(IF(AND(INDEX($E$8:$CE$57, MATCH($C21, $C$8:$C$57, 0), (COLUMNS($DC21:DI21)-1)*5 + 1) = INDEX($E$5:$CE$5, 1, (COLUMNS($DC21:DI21)-1)*5 + 1), INDEX($E$8:$CE$57, MATCH($C21, $C$8:$C$57, 0), (COLUMNS($DC21:DI21)-1)*5 + 4) = "F"), INDEX($CZ$8:$CZ$23, COLUMNS($DC21:DI21)), "0"), "")</f>
        <v>0</v>
      </c>
      <c r="DJ21" s="390" t="str">
        <f t="array" ref="DJ21">IFERROR(IF(AND(INDEX($E$8:$CE$57, MATCH($C21, $C$8:$C$57, 0), (COLUMNS($DC21:DJ21)-1)*5 + 1) = INDEX($E$5:$CE$5, 1, (COLUMNS($DC21:DJ21)-1)*5 + 1), INDEX($E$8:$CE$57, MATCH($C21, $C$8:$C$57, 0), (COLUMNS($DC21:DJ21)-1)*5 + 4) = "F"), INDEX($CZ$8:$CZ$23, COLUMNS($DC21:DJ21)), "0"), "")</f>
        <v>0</v>
      </c>
      <c r="DK21" s="390" t="str">
        <f t="array" ref="DK21">IFERROR(IF(AND(INDEX($E$8:$CE$57, MATCH($C21, $C$8:$C$57, 0), (COLUMNS($DC21:DK21)-1)*5 + 1) = INDEX($E$5:$CE$5, 1, (COLUMNS($DC21:DK21)-1)*5 + 1), INDEX($E$8:$CE$57, MATCH($C21, $C$8:$C$57, 0), (COLUMNS($DC21:DK21)-1)*5 + 4) = "F"), INDEX($CZ$8:$CZ$23, COLUMNS($DC21:DK21)), "0"), "")</f>
        <v>0</v>
      </c>
      <c r="DL21" s="390" t="str">
        <f t="array" ref="DL21">IFERROR(IF(AND(INDEX($E$8:$CE$57, MATCH($C21, $C$8:$C$57, 0), (COLUMNS($DC21:DL21)-1)*5 + 1) = INDEX($E$5:$CE$5, 1, (COLUMNS($DC21:DL21)-1)*5 + 1), INDEX($E$8:$CE$57, MATCH($C21, $C$8:$C$57, 0), (COLUMNS($DC21:DL21)-1)*5 + 4) = "F"), INDEX($CZ$8:$CZ$23, COLUMNS($DC21:DL21)), "0"), "")</f>
        <v>0</v>
      </c>
      <c r="DM21" s="390" t="str">
        <f t="array" ref="DM21">IFERROR(IF(AND(INDEX($E$8:$CE$57, MATCH($C21, $C$8:$C$57, 0), (COLUMNS($DC21:DM21)-1)*5 + 1) = INDEX($E$5:$CE$5, 1, (COLUMNS($DC21:DM21)-1)*5 + 1), INDEX($E$8:$CE$57, MATCH($C21, $C$8:$C$57, 0), (COLUMNS($DC21:DM21)-1)*5 + 4) = "F"), INDEX($CZ$8:$CZ$23, COLUMNS($DC21:DM21)), "0"), "")</f>
        <v>0</v>
      </c>
      <c r="DN21" s="390">
        <f t="array" ref="DN21">IFERROR(IF(AND(INDEX($E$8:$CE$57, MATCH($C21, $C$8:$C$57, 0), (COLUMNS($DC21:DN21)-1)*5 + 1) = INDEX($E$5:$CE$5, 1, (COLUMNS($DC21:DN21)-1)*5 + 1), INDEX($E$8:$CE$57, MATCH($C21, $C$8:$C$57, 0), (COLUMNS($DC21:DN21)-1)*5 + 4) = "F"), INDEX($CZ$8:$CZ$23, COLUMNS($DC21:DN21)), "0"), "")</f>
        <v>177.86</v>
      </c>
      <c r="DO21" s="390" t="str">
        <f t="array" ref="DO21">IFERROR(IF(AND(INDEX($E$8:$CE$57, MATCH($C21, $C$8:$C$57, 0), (COLUMNS($DC21:DO21)-1)*5 + 1) = INDEX($E$5:$CE$5, 1, (COLUMNS($DC21:DO21)-1)*5 + 1), INDEX($E$8:$CE$57, MATCH($C21, $C$8:$C$57, 0), (COLUMNS($DC21:DO21)-1)*5 + 4) = "F"), INDEX($CZ$8:$CZ$23, COLUMNS($DC21:DO21)), "0"), "")</f>
        <v>0</v>
      </c>
      <c r="DP21" s="390" t="str">
        <f t="array" ref="DP21">IFERROR(IF(AND(INDEX($E$8:$CE$57, MATCH($C21, $C$8:$C$57, 0), (COLUMNS($DC21:DP21)-1)*5 + 1) = INDEX($E$5:$CE$5, 1, (COLUMNS($DC21:DP21)-1)*5 + 1), INDEX($E$8:$CE$57, MATCH($C21, $C$8:$C$57, 0), (COLUMNS($DC21:DP21)-1)*5 + 4) = "F"), INDEX($CZ$8:$CZ$23, COLUMNS($DC21:DP21)), "0"), "")</f>
        <v>0</v>
      </c>
      <c r="DQ21" s="390" t="str">
        <f t="array" ref="DQ21">IFERROR(IF(AND(INDEX($E$8:$CE$57, MATCH($C21, $C$8:$C$57, 0), (COLUMNS($DC21:DQ21)-1)*5 + 1) = INDEX($E$5:$CE$5, 1, (COLUMNS($DC21:DQ21)-1)*5 + 1), INDEX($E$8:$CE$57, MATCH($C21, $C$8:$C$57, 0), (COLUMNS($DC21:DQ21)-1)*5 + 4) = "F"), INDEX($CZ$8:$CZ$23, COLUMNS($DC21:DQ21)), "0"), "")</f>
        <v>0</v>
      </c>
      <c r="DR21" s="390" t="str">
        <f t="array" ref="DR21">IFERROR(IF(AND(INDEX($E$8:$CE$57, MATCH($C21, $C$8:$C$57, 0), (COLUMNS($DC21:DR21)-1)*5 + 1) = INDEX($E$5:$CE$5, 1, (COLUMNS($DC21:DR21)-1)*5 + 1), INDEX($E$8:$CE$57, MATCH($C21, $C$8:$C$57, 0), (COLUMNS($DC21:DR21)-1)*5 + 4) = "F"), INDEX($CZ$8:$CZ$23, COLUMNS($DC21:DR21)), "0"), "")</f>
        <v>0</v>
      </c>
      <c r="DT21" s="537" t="str">
        <f>SEMANA2[[#This Row],[COD]]</f>
        <v>COD 14</v>
      </c>
      <c r="DU21" s="390" t="str">
        <f t="array" ref="DU21">IFERROR(IF(AND(INDEX($E$8:$CE$57, MATCH($C21, $C$8:$C$57, 0), (COLUMNS($DU21:DU21)-1)*5 + 1) = INDEX($E$5:$CE$5, 1, (COLUMNS($DU21:DU21)-1)*5 + 1), INDEX($E$8:$CE$57, MATCH($C21, $C$8:$C$57, 0), (COLUMNS($DU21:DU21)-1)*5 + 4) = "SF"), INDEX($CZ$8:$CZ$23, COLUMNS($DU21:DU21)), "0"), "")</f>
        <v>0</v>
      </c>
      <c r="DV21" s="390" t="str">
        <f t="array" ref="DV21">IFERROR(IF(AND(INDEX($E$8:$CE$57, MATCH($C21, $C$8:$C$57, 0), (COLUMNS($DU21:DV21)-1)*5 + 1) = INDEX($E$5:$CE$5, 1, (COLUMNS($DU21:DV21)-1)*5 + 1), INDEX($E$8:$CE$57, MATCH($C21, $C$8:$C$57, 0), (COLUMNS($DU21:DV21)-1)*5 + 4) = "SF"), INDEX($CZ$8:$CZ$23, COLUMNS($DU21:DV21)), "0"), "")</f>
        <v>0</v>
      </c>
      <c r="DW21" s="390" t="str">
        <f t="array" ref="DW21">IFERROR(IF(AND(INDEX($E$8:$CE$57, MATCH($C21, $C$8:$C$57, 0), (COLUMNS($DU21:DW21)-1)*5 + 1) = INDEX($E$5:$CE$5, 1, (COLUMNS($DU21:DW21)-1)*5 + 1), INDEX($E$8:$CE$57, MATCH($C21, $C$8:$C$57, 0), (COLUMNS($DU21:DW21)-1)*5 + 4) = "SF"), INDEX($CZ$8:$CZ$23, COLUMNS($DU21:DW21)), "0"), "")</f>
        <v>0</v>
      </c>
      <c r="DX21" s="390" t="str">
        <f t="array" ref="DX21">IFERROR(IF(AND(INDEX($E$8:$CE$57, MATCH($C21, $C$8:$C$57, 0), (COLUMNS($DU21:DX21)-1)*5 + 1) = INDEX($E$5:$CE$5, 1, (COLUMNS($DU21:DX21)-1)*5 + 1), INDEX($E$8:$CE$57, MATCH($C21, $C$8:$C$57, 0), (COLUMNS($DU21:DX21)-1)*5 + 4) = "SF"), INDEX($CZ$8:$CZ$23, COLUMNS($DU21:DX21)), "0"), "")</f>
        <v>0</v>
      </c>
      <c r="DY21" s="390" t="str">
        <f t="array" ref="DY21">IFERROR(IF(AND(INDEX($E$8:$CE$57, MATCH($C21, $C$8:$C$57, 0), (COLUMNS($DU21:DY21)-1)*5 + 1) = INDEX($E$5:$CE$5, 1, (COLUMNS($DU21:DY21)-1)*5 + 1), INDEX($E$8:$CE$57, MATCH($C21, $C$8:$C$57, 0), (COLUMNS($DU21:DY21)-1)*5 + 4) = "SF"), INDEX($CZ$8:$CZ$23, COLUMNS($DU21:DY21)), "0"), "")</f>
        <v>0</v>
      </c>
      <c r="DZ21" s="390" t="str">
        <f t="array" ref="DZ21">IFERROR(IF(AND(INDEX($E$8:$CE$57, MATCH($C21, $C$8:$C$57, 0), (COLUMNS($DU21:DZ21)-1)*5 + 1) = INDEX($E$5:$CE$5, 1, (COLUMNS($DU21:DZ21)-1)*5 + 1), INDEX($E$8:$CE$57, MATCH($C21, $C$8:$C$57, 0), (COLUMNS($DU21:DZ21)-1)*5 + 4) = "SF"), INDEX($CZ$8:$CZ$23, COLUMNS($DU21:DZ21)), "0"), "")</f>
        <v>0</v>
      </c>
      <c r="EA21" s="390" t="str">
        <f t="array" ref="EA21">IFERROR(IF(AND(INDEX($E$8:$CE$57, MATCH($C21, $C$8:$C$57, 0), (COLUMNS($DU21:EA21)-1)*5 + 1) = INDEX($E$5:$CE$5, 1, (COLUMNS($DU21:EA21)-1)*5 + 1), INDEX($E$8:$CE$57, MATCH($C21, $C$8:$C$57, 0), (COLUMNS($DU21:EA21)-1)*5 + 4) = "SF"), INDEX($CZ$8:$CZ$23, COLUMNS($DU21:EA21)), "0"), "")</f>
        <v>0</v>
      </c>
      <c r="EB21" s="390">
        <f t="array" ref="EB21">IFERROR(IF(AND(INDEX($E$8:$CE$57, MATCH($C21, $C$8:$C$57, 0), (COLUMNS($DU21:EB21)-1)*5 + 1) = INDEX($E$5:$CE$5, 1, (COLUMNS($DU21:EB21)-1)*5 + 1), INDEX($E$8:$CE$57, MATCH($C21, $C$8:$C$57, 0), (COLUMNS($DU21:EB21)-1)*5 + 4) = "SF"), INDEX($CZ$8:$CZ$23, COLUMNS($DU21:EB21)), "0"), "")</f>
        <v>128.36000000000001</v>
      </c>
      <c r="EC21" s="390" t="str">
        <f t="array" ref="EC21">IFERROR(IF(AND(INDEX($E$8:$CE$57, MATCH($C21, $C$8:$C$57, 0), (COLUMNS($DU21:EC21)-1)*5 + 1) = INDEX($E$5:$CE$5, 1, (COLUMNS($DU21:EC21)-1)*5 + 1), INDEX($E$8:$CE$57, MATCH($C21, $C$8:$C$57, 0), (COLUMNS($DU21:EC21)-1)*5 + 4) = "SF"), INDEX($CZ$8:$CZ$23, COLUMNS($DU21:EC21)), "0"), "")</f>
        <v>0</v>
      </c>
      <c r="ED21" s="390" t="str">
        <f t="array" ref="ED21">IFERROR(IF(AND(INDEX($E$8:$CE$57, MATCH($C21, $C$8:$C$57, 0), (COLUMNS($DU21:ED21)-1)*5 + 1) = INDEX($E$5:$CE$5, 1, (COLUMNS($DU21:ED21)-1)*5 + 1), INDEX($E$8:$CE$57, MATCH($C21, $C$8:$C$57, 0), (COLUMNS($DU21:ED21)-1)*5 + 4) = "SF"), INDEX($CZ$8:$CZ$23, COLUMNS($DU21:ED21)), "0"), "")</f>
        <v>0</v>
      </c>
      <c r="EE21" s="390" t="str">
        <f t="array" ref="EE21">IFERROR(IF(AND(INDEX($E$8:$CE$57, MATCH($C21, $C$8:$C$57, 0), (COLUMNS($DU21:EE21)-1)*5 + 1) = INDEX($E$5:$CE$5, 1, (COLUMNS($DU21:EE21)-1)*5 + 1), INDEX($E$8:$CE$57, MATCH($C21, $C$8:$C$57, 0), (COLUMNS($DU21:EE21)-1)*5 + 4) = "SF"), INDEX($CZ$8:$CZ$23, COLUMNS($DU21:EE21)), "0"), "")</f>
        <v>0</v>
      </c>
      <c r="EF21" s="390" t="str">
        <f t="array" ref="EF21">IFERROR(IF(AND(INDEX($E$8:$CE$57, MATCH($C21, $C$8:$C$57, 0), (COLUMNS($DU21:EF21)-1)*5 + 1) = INDEX($E$5:$CE$5, 1, (COLUMNS($DU21:EF21)-1)*5 + 1), INDEX($E$8:$CE$57, MATCH($C21, $C$8:$C$57, 0), (COLUMNS($DU21:EF21)-1)*5 + 4) = "SF"), INDEX($CZ$8:$CZ$23, COLUMNS($DU21:EF21)), "0"), "")</f>
        <v>0</v>
      </c>
      <c r="EG21" s="390" t="str">
        <f t="array" ref="EG21">IFERROR(IF(AND(INDEX($E$8:$CE$57, MATCH($C21, $C$8:$C$57, 0), (COLUMNS($DU21:EG21)-1)*5 + 1) = INDEX($E$5:$CE$5, 1, (COLUMNS($DU21:EG21)-1)*5 + 1), INDEX($E$8:$CE$57, MATCH($C21, $C$8:$C$57, 0), (COLUMNS($DU21:EG21)-1)*5 + 4) = "SF"), INDEX($CZ$8:$CZ$23, COLUMNS($DU21:EG21)), "0"), "")</f>
        <v>0</v>
      </c>
      <c r="EH21" s="390" t="str">
        <f t="array" ref="EH21">IFERROR(IF(AND(INDEX($E$8:$CE$57, MATCH($C21, $C$8:$C$57, 0), (COLUMNS($DU21:EH21)-1)*5 + 1) = INDEX($E$5:$CE$5, 1, (COLUMNS($DU21:EH21)-1)*5 + 1), INDEX($E$8:$CE$57, MATCH($C21, $C$8:$C$57, 0), (COLUMNS($DU21:EH21)-1)*5 + 4) = "SF"), INDEX($CZ$8:$CZ$23, COLUMNS($DU21:EH21)), "0"), "")</f>
        <v>0</v>
      </c>
      <c r="EI21" s="390" t="str">
        <f t="array" ref="EI21">IFERROR(IF(AND(INDEX($E$8:$CE$57, MATCH($C21, $C$8:$C$57, 0), (COLUMNS($DU21:EI21)-1)*5 + 1) = INDEX($E$5:$CE$5, 1, (COLUMNS($DU21:EI21)-1)*5 + 1), INDEX($E$8:$CE$57, MATCH($C21, $C$8:$C$57, 0), (COLUMNS($DU21:EI21)-1)*5 + 4) = "SF"), INDEX($CZ$8:$CZ$23, COLUMNS($DU21:EI21)), "0"), "")</f>
        <v>0</v>
      </c>
      <c r="EJ21" s="390" t="str">
        <f t="array" ref="EJ21">IFERROR(IF(AND(INDEX($E$8:$CE$57, MATCH($C21, $C$8:$C$57, 0), (COLUMNS($DU21:EJ21)-1)*5 + 1) = INDEX($E$5:$CE$5, 1, (COLUMNS($DU21:EJ21)-1)*5 + 1), INDEX($E$8:$CE$57, MATCH($C21, $C$8:$C$57, 0), (COLUMNS($DU21:EJ21)-1)*5 + 4) = "SF"), INDEX($CZ$8:$CZ$23, COLUMNS($DU21:EJ21)), "0"), "")</f>
        <v>0</v>
      </c>
    </row>
    <row r="22" spans="1:140" ht="20.100000000000001" customHeight="1" x14ac:dyDescent="0.35">
      <c r="A22" s="515"/>
      <c r="B22" s="444">
        <f>IF(SEMANA2[[#This Row],[COD]]&lt;&gt;"",B21+1,"")</f>
        <v>15</v>
      </c>
      <c r="C22" s="554" t="s">
        <v>60</v>
      </c>
      <c r="D22" s="410" t="str">
        <f t="array" ref="D22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22" s="411">
        <v>9</v>
      </c>
      <c r="F22" s="412">
        <v>2</v>
      </c>
      <c r="G22" s="412">
        <v>6</v>
      </c>
      <c r="H22" s="412"/>
      <c r="I22" s="534">
        <f t="shared" si="0"/>
        <v>1</v>
      </c>
      <c r="J22" s="411">
        <v>1</v>
      </c>
      <c r="K22" s="412">
        <v>7</v>
      </c>
      <c r="L22" s="412">
        <v>4</v>
      </c>
      <c r="M22" s="412"/>
      <c r="N22" s="534">
        <f t="shared" si="1"/>
        <v>2</v>
      </c>
      <c r="O22" s="411">
        <v>1</v>
      </c>
      <c r="P22" s="412">
        <v>3</v>
      </c>
      <c r="Q22" s="412">
        <v>5</v>
      </c>
      <c r="R22" s="412"/>
      <c r="S22" s="534">
        <f t="shared" si="2"/>
        <v>5</v>
      </c>
      <c r="T22" s="411">
        <v>5</v>
      </c>
      <c r="U22" s="412">
        <v>1</v>
      </c>
      <c r="V22" s="412">
        <v>3</v>
      </c>
      <c r="W22" s="412"/>
      <c r="X22" s="534">
        <f t="shared" si="3"/>
        <v>3</v>
      </c>
      <c r="Y22" s="411">
        <v>7</v>
      </c>
      <c r="Z22" s="412">
        <v>4</v>
      </c>
      <c r="AA22" s="412">
        <v>1</v>
      </c>
      <c r="AB22" s="412"/>
      <c r="AC22" s="534">
        <f t="shared" si="4"/>
        <v>0</v>
      </c>
      <c r="AD22" s="411">
        <v>3</v>
      </c>
      <c r="AE22" s="412">
        <v>10</v>
      </c>
      <c r="AF22" s="412">
        <v>5</v>
      </c>
      <c r="AG22" s="412"/>
      <c r="AH22" s="534">
        <f t="shared" si="5"/>
        <v>0</v>
      </c>
      <c r="AI22" s="411">
        <v>7</v>
      </c>
      <c r="AJ22" s="412">
        <v>6</v>
      </c>
      <c r="AK22" s="412">
        <v>9</v>
      </c>
      <c r="AL22" s="412"/>
      <c r="AM22" s="534">
        <f t="shared" si="6"/>
        <v>4</v>
      </c>
      <c r="AN22" s="411">
        <v>8</v>
      </c>
      <c r="AO22" s="412">
        <v>1</v>
      </c>
      <c r="AP22" s="412">
        <v>2</v>
      </c>
      <c r="AQ22" s="412" t="s">
        <v>254</v>
      </c>
      <c r="AR22" s="534">
        <f t="shared" si="7"/>
        <v>4.5</v>
      </c>
      <c r="AS22" s="411">
        <v>1</v>
      </c>
      <c r="AT22" s="412">
        <v>11</v>
      </c>
      <c r="AU22" s="412">
        <v>10</v>
      </c>
      <c r="AV22" s="412"/>
      <c r="AW22" s="534">
        <f t="shared" si="8"/>
        <v>0</v>
      </c>
      <c r="AX22" s="411">
        <v>6</v>
      </c>
      <c r="AY22" s="412">
        <v>1</v>
      </c>
      <c r="AZ22" s="412">
        <v>10</v>
      </c>
      <c r="BA22" s="412"/>
      <c r="BB22" s="534">
        <f t="shared" si="9"/>
        <v>0</v>
      </c>
      <c r="BC22" s="411">
        <v>7</v>
      </c>
      <c r="BD22" s="412">
        <v>6</v>
      </c>
      <c r="BE22" s="412">
        <v>2</v>
      </c>
      <c r="BF22" s="412" t="s">
        <v>254</v>
      </c>
      <c r="BG22" s="534">
        <f t="shared" si="10"/>
        <v>6</v>
      </c>
      <c r="BH22" s="411">
        <v>1</v>
      </c>
      <c r="BI22" s="412"/>
      <c r="BJ22" s="412"/>
      <c r="BK22" s="412" t="s">
        <v>254</v>
      </c>
      <c r="BL22" s="534">
        <f t="shared" si="11"/>
        <v>0</v>
      </c>
      <c r="BM22" s="411">
        <v>4</v>
      </c>
      <c r="BN22" s="412">
        <v>9</v>
      </c>
      <c r="BO22" s="412">
        <v>1</v>
      </c>
      <c r="BP22" s="412"/>
      <c r="BQ22" s="534">
        <f t="shared" si="12"/>
        <v>0</v>
      </c>
      <c r="BR22" s="411">
        <v>1</v>
      </c>
      <c r="BS22" s="412">
        <v>5</v>
      </c>
      <c r="BT22" s="412">
        <v>7</v>
      </c>
      <c r="BU22" s="412"/>
      <c r="BV22" s="534">
        <f t="shared" si="13"/>
        <v>5</v>
      </c>
      <c r="BW22" s="411"/>
      <c r="BX22" s="412"/>
      <c r="BY22" s="412"/>
      <c r="BZ22" s="412"/>
      <c r="CA22" s="534">
        <f t="shared" si="14"/>
        <v>0</v>
      </c>
      <c r="CB22" s="411"/>
      <c r="CC22" s="412"/>
      <c r="CD22" s="412"/>
      <c r="CE22" s="412"/>
      <c r="CF22" s="534">
        <f t="shared" si="15"/>
        <v>0</v>
      </c>
      <c r="CG22" s="162">
        <f>IF(SEMANA2[[#This Row],[1]]="",0,$B$4)</f>
        <v>14</v>
      </c>
      <c r="CH22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4</v>
      </c>
      <c r="CI22" s="164">
        <f>IF(SEMANA2[[#This Row],[Columna14]]=0,0,(CH22/CG22))</f>
        <v>0.2857142857142857</v>
      </c>
      <c r="CJ22" s="163">
        <f>IF(SEMANA2[[#This Row],[1]]="",0,$B$4)</f>
        <v>14</v>
      </c>
      <c r="CK22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22" s="164">
        <f>IF(SEMANA2[[#This Row],[Columna14]]=0,0,(CK22/CJ22))</f>
        <v>0.42857142857142855</v>
      </c>
      <c r="CM22" s="162">
        <f>IF(SEMANA2[[#This Row],[1]]="",0,$B$4)</f>
        <v>14</v>
      </c>
      <c r="CN22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8</v>
      </c>
      <c r="CO22" s="164">
        <f>IF(SEMANA2[[#This Row],[Columna14]]=0,0,(CN22/CM22))</f>
        <v>0.5714285714285714</v>
      </c>
      <c r="CP22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22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Row],[Columna25]],$AX$5,BA22,"SF")+COUNTIFS(SEMANA2[[#This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22" s="164">
        <f>IFERROR(IF(SEMANA2[[#This Row],[Columna14]]=0,0,(CQ22/CP22)),0)</f>
        <v>0.66666666666666663</v>
      </c>
      <c r="CS22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30.5</v>
      </c>
      <c r="CT22" s="93">
        <f>_xlfn.XLOOKUP(SEMANA2[[#This Row],[COD]],BASE01[COD],BASE01[Columna33])</f>
        <v>34</v>
      </c>
      <c r="CU22" s="536">
        <f t="shared" si="16"/>
        <v>64.5</v>
      </c>
      <c r="CV22" s="445">
        <f>IF(SEMANA2[[#This Row],[TIPO]]="PREMIO",$O$3,"0,00")</f>
        <v>1000</v>
      </c>
      <c r="CW22" s="515"/>
      <c r="CY22" s="388">
        <v>15</v>
      </c>
      <c r="CZ22" s="349">
        <f>BX$6</f>
        <v>0</v>
      </c>
      <c r="DB22" s="537" t="str">
        <f>SEMANA2[[#This Row],[COD]]</f>
        <v>COD 15</v>
      </c>
      <c r="DC22" s="390" t="str">
        <f t="array" ref="DC22">IFERROR(IF(AND(INDEX($E$8:$CE$57, MATCH($C22, $C$8:$C$57, 0), (COLUMNS($DC22:DC22)-1)*5 + 1) = INDEX($E$5:$CE$5, 1, (COLUMNS($DC22:DC22)-1)*5 + 1), INDEX($E$8:$CE$57, MATCH($C22, $C$8:$C$57, 0), (COLUMNS($DC22:DC22)-1)*5 + 4) = "F"), INDEX($CZ$8:$CZ$23, COLUMNS($DC22:DC22)), "0"), "")</f>
        <v>0</v>
      </c>
      <c r="DD22" s="390" t="str">
        <f t="array" ref="DD22">IFERROR(IF(AND(INDEX($E$8:$CE$57, MATCH($C22, $C$8:$C$57, 0), (COLUMNS($DC22:DD22)-1)*5 + 1) = INDEX($E$5:$CE$5, 1, (COLUMNS($DC22:DD22)-1)*5 + 1), INDEX($E$8:$CE$57, MATCH($C22, $C$8:$C$57, 0), (COLUMNS($DC22:DD22)-1)*5 + 4) = "F"), INDEX($CZ$8:$CZ$23, COLUMNS($DC22:DD22)), "0"), "")</f>
        <v>0</v>
      </c>
      <c r="DE22" s="390" t="str">
        <f t="array" ref="DE22">IFERROR(IF(AND(INDEX($E$8:$CE$57, MATCH($C22, $C$8:$C$57, 0), (COLUMNS($DC22:DE22)-1)*5 + 1) = INDEX($E$5:$CE$5, 1, (COLUMNS($DC22:DE22)-1)*5 + 1), INDEX($E$8:$CE$57, MATCH($C22, $C$8:$C$57, 0), (COLUMNS($DC22:DE22)-1)*5 + 4) = "F"), INDEX($CZ$8:$CZ$23, COLUMNS($DC22:DE22)), "0"), "")</f>
        <v>0</v>
      </c>
      <c r="DF22" s="390" t="str">
        <f t="array" ref="DF22">IFERROR(IF(AND(INDEX($E$8:$CE$57, MATCH($C22, $C$8:$C$57, 0), (COLUMNS($DC22:DF22)-1)*5 + 1) = INDEX($E$5:$CE$5, 1, (COLUMNS($DC22:DF22)-1)*5 + 1), INDEX($E$8:$CE$57, MATCH($C22, $C$8:$C$57, 0), (COLUMNS($DC22:DF22)-1)*5 + 4) = "F"), INDEX($CZ$8:$CZ$23, COLUMNS($DC22:DF22)), "0"), "")</f>
        <v>0</v>
      </c>
      <c r="DG22" s="390" t="str">
        <f t="array" ref="DG22">IFERROR(IF(AND(INDEX($E$8:$CE$57, MATCH($C22, $C$8:$C$57, 0), (COLUMNS($DC22:DG22)-1)*5 + 1) = INDEX($E$5:$CE$5, 1, (COLUMNS($DC22:DG22)-1)*5 + 1), INDEX($E$8:$CE$57, MATCH($C22, $C$8:$C$57, 0), (COLUMNS($DC22:DG22)-1)*5 + 4) = "F"), INDEX($CZ$8:$CZ$23, COLUMNS($DC22:DG22)), "0"), "")</f>
        <v>0</v>
      </c>
      <c r="DH22" s="390" t="str">
        <f t="array" ref="DH22">IFERROR(IF(AND(INDEX($E$8:$CE$57, MATCH($C22, $C$8:$C$57, 0), (COLUMNS($DC22:DH22)-1)*5 + 1) = INDEX($E$5:$CE$5, 1, (COLUMNS($DC22:DH22)-1)*5 + 1), INDEX($E$8:$CE$57, MATCH($C22, $C$8:$C$57, 0), (COLUMNS($DC22:DH22)-1)*5 + 4) = "F"), INDEX($CZ$8:$CZ$23, COLUMNS($DC22:DH22)), "0"), "")</f>
        <v>0</v>
      </c>
      <c r="DI22" s="390" t="str">
        <f t="array" ref="DI22">IFERROR(IF(AND(INDEX($E$8:$CE$57, MATCH($C22, $C$8:$C$57, 0), (COLUMNS($DC22:DI22)-1)*5 + 1) = INDEX($E$5:$CE$5, 1, (COLUMNS($DC22:DI22)-1)*5 + 1), INDEX($E$8:$CE$57, MATCH($C22, $C$8:$C$57, 0), (COLUMNS($DC22:DI22)-1)*5 + 4) = "F"), INDEX($CZ$8:$CZ$23, COLUMNS($DC22:DI22)), "0"), "")</f>
        <v>0</v>
      </c>
      <c r="DJ22" s="390">
        <f t="array" ref="DJ22">IFERROR(IF(AND(INDEX($E$8:$CE$57, MATCH($C22, $C$8:$C$57, 0), (COLUMNS($DC22:DJ22)-1)*5 + 1) = INDEX($E$5:$CE$5, 1, (COLUMNS($DC22:DJ22)-1)*5 + 1), INDEX($E$8:$CE$57, MATCH($C22, $C$8:$C$57, 0), (COLUMNS($DC22:DJ22)-1)*5 + 4) = "F"), INDEX($CZ$8:$CZ$23, COLUMNS($DC22:DJ22)), "0"), "")</f>
        <v>128.36000000000001</v>
      </c>
      <c r="DK22" s="390" t="str">
        <f t="array" ref="DK22">IFERROR(IF(AND(INDEX($E$8:$CE$57, MATCH($C22, $C$8:$C$57, 0), (COLUMNS($DC22:DK22)-1)*5 + 1) = INDEX($E$5:$CE$5, 1, (COLUMNS($DC22:DK22)-1)*5 + 1), INDEX($E$8:$CE$57, MATCH($C22, $C$8:$C$57, 0), (COLUMNS($DC22:DK22)-1)*5 + 4) = "F"), INDEX($CZ$8:$CZ$23, COLUMNS($DC22:DK22)), "0"), "")</f>
        <v>0</v>
      </c>
      <c r="DL22" s="390" t="str">
        <f t="array" ref="DL22">IFERROR(IF(AND(INDEX($E$8:$CE$57, MATCH($C22, $C$8:$C$57, 0), (COLUMNS($DC22:DL22)-1)*5 + 1) = INDEX($E$5:$CE$5, 1, (COLUMNS($DC22:DL22)-1)*5 + 1), INDEX($E$8:$CE$57, MATCH($C22, $C$8:$C$57, 0), (COLUMNS($DC22:DL22)-1)*5 + 4) = "F"), INDEX($CZ$8:$CZ$23, COLUMNS($DC22:DL22)), "0"), "")</f>
        <v>0</v>
      </c>
      <c r="DM22" s="390">
        <f t="array" ref="DM22">IFERROR(IF(AND(INDEX($E$8:$CE$57, MATCH($C22, $C$8:$C$57, 0), (COLUMNS($DC22:DM22)-1)*5 + 1) = INDEX($E$5:$CE$5, 1, (COLUMNS($DC22:DM22)-1)*5 + 1), INDEX($E$8:$CE$57, MATCH($C22, $C$8:$C$57, 0), (COLUMNS($DC22:DM22)-1)*5 + 4) = "F"), INDEX($CZ$8:$CZ$23, COLUMNS($DC22:DM22)), "0"), "")</f>
        <v>156.87</v>
      </c>
      <c r="DN22" s="390" t="str">
        <f t="array" ref="DN22">IFERROR(IF(AND(INDEX($E$8:$CE$57, MATCH($C22, $C$8:$C$57, 0), (COLUMNS($DC22:DN22)-1)*5 + 1) = INDEX($E$5:$CE$5, 1, (COLUMNS($DC22:DN22)-1)*5 + 1), INDEX($E$8:$CE$57, MATCH($C22, $C$8:$C$57, 0), (COLUMNS($DC22:DN22)-1)*5 + 4) = "F"), INDEX($CZ$8:$CZ$23, COLUMNS($DC22:DN22)), "0"), "")</f>
        <v>0</v>
      </c>
      <c r="DO22" s="390" t="str">
        <f t="array" ref="DO22">IFERROR(IF(AND(INDEX($E$8:$CE$57, MATCH($C22, $C$8:$C$57, 0), (COLUMNS($DC22:DO22)-1)*5 + 1) = INDEX($E$5:$CE$5, 1, (COLUMNS($DC22:DO22)-1)*5 + 1), INDEX($E$8:$CE$57, MATCH($C22, $C$8:$C$57, 0), (COLUMNS($DC22:DO22)-1)*5 + 4) = "F"), INDEX($CZ$8:$CZ$23, COLUMNS($DC22:DO22)), "0"), "")</f>
        <v>0</v>
      </c>
      <c r="DP22" s="390" t="str">
        <f t="array" ref="DP22">IFERROR(IF(AND(INDEX($E$8:$CE$57, MATCH($C22, $C$8:$C$57, 0), (COLUMNS($DC22:DP22)-1)*5 + 1) = INDEX($E$5:$CE$5, 1, (COLUMNS($DC22:DP22)-1)*5 + 1), INDEX($E$8:$CE$57, MATCH($C22, $C$8:$C$57, 0), (COLUMNS($DC22:DP22)-1)*5 + 4) = "F"), INDEX($CZ$8:$CZ$23, COLUMNS($DC22:DP22)), "0"), "")</f>
        <v>0</v>
      </c>
      <c r="DQ22" s="390" t="str">
        <f t="array" ref="DQ22">IFERROR(IF(AND(INDEX($E$8:$CE$57, MATCH($C22, $C$8:$C$57, 0), (COLUMNS($DC22:DQ22)-1)*5 + 1) = INDEX($E$5:$CE$5, 1, (COLUMNS($DC22:DQ22)-1)*5 + 1), INDEX($E$8:$CE$57, MATCH($C22, $C$8:$C$57, 0), (COLUMNS($DC22:DQ22)-1)*5 + 4) = "F"), INDEX($CZ$8:$CZ$23, COLUMNS($DC22:DQ22)), "0"), "")</f>
        <v>0</v>
      </c>
      <c r="DR22" s="390" t="str">
        <f t="array" ref="DR22">IFERROR(IF(AND(INDEX($E$8:$CE$57, MATCH($C22, $C$8:$C$57, 0), (COLUMNS($DC22:DR22)-1)*5 + 1) = INDEX($E$5:$CE$5, 1, (COLUMNS($DC22:DR22)-1)*5 + 1), INDEX($E$8:$CE$57, MATCH($C22, $C$8:$C$57, 0), (COLUMNS($DC22:DR22)-1)*5 + 4) = "F"), INDEX($CZ$8:$CZ$23, COLUMNS($DC22:DR22)), "0"), "")</f>
        <v>0</v>
      </c>
      <c r="DT22" s="537" t="str">
        <f>SEMANA2[[#This Row],[COD]]</f>
        <v>COD 15</v>
      </c>
      <c r="DU22" s="390" t="str">
        <f t="array" ref="DU22">IFERROR(IF(AND(INDEX($E$8:$CE$57, MATCH($C22, $C$8:$C$57, 0), (COLUMNS($DU22:DU22)-1)*5 + 1) = INDEX($E$5:$CE$5, 1, (COLUMNS($DU22:DU22)-1)*5 + 1), INDEX($E$8:$CE$57, MATCH($C22, $C$8:$C$57, 0), (COLUMNS($DU22:DU22)-1)*5 + 4) = "SF"), INDEX($CZ$8:$CZ$23, COLUMNS($DU22:DU22)), "0"), "")</f>
        <v>0</v>
      </c>
      <c r="DV22" s="390" t="str">
        <f t="array" ref="DV22">IFERROR(IF(AND(INDEX($E$8:$CE$57, MATCH($C22, $C$8:$C$57, 0), (COLUMNS($DU22:DV22)-1)*5 + 1) = INDEX($E$5:$CE$5, 1, (COLUMNS($DU22:DV22)-1)*5 + 1), INDEX($E$8:$CE$57, MATCH($C22, $C$8:$C$57, 0), (COLUMNS($DU22:DV22)-1)*5 + 4) = "SF"), INDEX($CZ$8:$CZ$23, COLUMNS($DU22:DV22)), "0"), "")</f>
        <v>0</v>
      </c>
      <c r="DW22" s="390" t="str">
        <f t="array" ref="DW22">IFERROR(IF(AND(INDEX($E$8:$CE$57, MATCH($C22, $C$8:$C$57, 0), (COLUMNS($DU22:DW22)-1)*5 + 1) = INDEX($E$5:$CE$5, 1, (COLUMNS($DU22:DW22)-1)*5 + 1), INDEX($E$8:$CE$57, MATCH($C22, $C$8:$C$57, 0), (COLUMNS($DU22:DW22)-1)*5 + 4) = "SF"), INDEX($CZ$8:$CZ$23, COLUMNS($DU22:DW22)), "0"), "")</f>
        <v>0</v>
      </c>
      <c r="DX22" s="390" t="str">
        <f t="array" ref="DX22">IFERROR(IF(AND(INDEX($E$8:$CE$57, MATCH($C22, $C$8:$C$57, 0), (COLUMNS($DU22:DX22)-1)*5 + 1) = INDEX($E$5:$CE$5, 1, (COLUMNS($DU22:DX22)-1)*5 + 1), INDEX($E$8:$CE$57, MATCH($C22, $C$8:$C$57, 0), (COLUMNS($DU22:DX22)-1)*5 + 4) = "SF"), INDEX($CZ$8:$CZ$23, COLUMNS($DU22:DX22)), "0"), "")</f>
        <v>0</v>
      </c>
      <c r="DY22" s="390" t="str">
        <f t="array" ref="DY22">IFERROR(IF(AND(INDEX($E$8:$CE$57, MATCH($C22, $C$8:$C$57, 0), (COLUMNS($DU22:DY22)-1)*5 + 1) = INDEX($E$5:$CE$5, 1, (COLUMNS($DU22:DY22)-1)*5 + 1), INDEX($E$8:$CE$57, MATCH($C22, $C$8:$C$57, 0), (COLUMNS($DU22:DY22)-1)*5 + 4) = "SF"), INDEX($CZ$8:$CZ$23, COLUMNS($DU22:DY22)), "0"), "")</f>
        <v>0</v>
      </c>
      <c r="DZ22" s="390" t="str">
        <f t="array" ref="DZ22">IFERROR(IF(AND(INDEX($E$8:$CE$57, MATCH($C22, $C$8:$C$57, 0), (COLUMNS($DU22:DZ22)-1)*5 + 1) = INDEX($E$5:$CE$5, 1, (COLUMNS($DU22:DZ22)-1)*5 + 1), INDEX($E$8:$CE$57, MATCH($C22, $C$8:$C$57, 0), (COLUMNS($DU22:DZ22)-1)*5 + 4) = "SF"), INDEX($CZ$8:$CZ$23, COLUMNS($DU22:DZ22)), "0"), "")</f>
        <v>0</v>
      </c>
      <c r="EA22" s="390" t="str">
        <f t="array" ref="EA22">IFERROR(IF(AND(INDEX($E$8:$CE$57, MATCH($C22, $C$8:$C$57, 0), (COLUMNS($DU22:EA22)-1)*5 + 1) = INDEX($E$5:$CE$5, 1, (COLUMNS($DU22:EA22)-1)*5 + 1), INDEX($E$8:$CE$57, MATCH($C22, $C$8:$C$57, 0), (COLUMNS($DU22:EA22)-1)*5 + 4) = "SF"), INDEX($CZ$8:$CZ$23, COLUMNS($DU22:EA22)), "0"), "")</f>
        <v>0</v>
      </c>
      <c r="EB22" s="390" t="str">
        <f t="array" ref="EB22">IFERROR(IF(AND(INDEX($E$8:$CE$57, MATCH($C22, $C$8:$C$57, 0), (COLUMNS($DU22:EB22)-1)*5 + 1) = INDEX($E$5:$CE$5, 1, (COLUMNS($DU22:EB22)-1)*5 + 1), INDEX($E$8:$CE$57, MATCH($C22, $C$8:$C$57, 0), (COLUMNS($DU22:EB22)-1)*5 + 4) = "SF"), INDEX($CZ$8:$CZ$23, COLUMNS($DU22:EB22)), "0"), "")</f>
        <v>0</v>
      </c>
      <c r="EC22" s="390" t="str">
        <f t="array" ref="EC22">IFERROR(IF(AND(INDEX($E$8:$CE$57, MATCH($C22, $C$8:$C$57, 0), (COLUMNS($DU22:EC22)-1)*5 + 1) = INDEX($E$5:$CE$5, 1, (COLUMNS($DU22:EC22)-1)*5 + 1), INDEX($E$8:$CE$57, MATCH($C22, $C$8:$C$57, 0), (COLUMNS($DU22:EC22)-1)*5 + 4) = "SF"), INDEX($CZ$8:$CZ$23, COLUMNS($DU22:EC22)), "0"), "")</f>
        <v>0</v>
      </c>
      <c r="ED22" s="390" t="str">
        <f t="array" ref="ED22">IFERROR(IF(AND(INDEX($E$8:$CE$57, MATCH($C22, $C$8:$C$57, 0), (COLUMNS($DU22:ED22)-1)*5 + 1) = INDEX($E$5:$CE$5, 1, (COLUMNS($DU22:ED22)-1)*5 + 1), INDEX($E$8:$CE$57, MATCH($C22, $C$8:$C$57, 0), (COLUMNS($DU22:ED22)-1)*5 + 4) = "SF"), INDEX($CZ$8:$CZ$23, COLUMNS($DU22:ED22)), "0"), "")</f>
        <v>0</v>
      </c>
      <c r="EE22" s="390" t="str">
        <f t="array" ref="EE22">IFERROR(IF(AND(INDEX($E$8:$CE$57, MATCH($C22, $C$8:$C$57, 0), (COLUMNS($DU22:EE22)-1)*5 + 1) = INDEX($E$5:$CE$5, 1, (COLUMNS($DU22:EE22)-1)*5 + 1), INDEX($E$8:$CE$57, MATCH($C22, $C$8:$C$57, 0), (COLUMNS($DU22:EE22)-1)*5 + 4) = "SF"), INDEX($CZ$8:$CZ$23, COLUMNS($DU22:EE22)), "0"), "")</f>
        <v>0</v>
      </c>
      <c r="EF22" s="390" t="str">
        <f t="array" ref="EF22">IFERROR(IF(AND(INDEX($E$8:$CE$57, MATCH($C22, $C$8:$C$57, 0), (COLUMNS($DU22:EF22)-1)*5 + 1) = INDEX($E$5:$CE$5, 1, (COLUMNS($DU22:EF22)-1)*5 + 1), INDEX($E$8:$CE$57, MATCH($C22, $C$8:$C$57, 0), (COLUMNS($DU22:EF22)-1)*5 + 4) = "SF"), INDEX($CZ$8:$CZ$23, COLUMNS($DU22:EF22)), "0"), "")</f>
        <v>0</v>
      </c>
      <c r="EG22" s="390" t="str">
        <f t="array" ref="EG22">IFERROR(IF(AND(INDEX($E$8:$CE$57, MATCH($C22, $C$8:$C$57, 0), (COLUMNS($DU22:EG22)-1)*5 + 1) = INDEX($E$5:$CE$5, 1, (COLUMNS($DU22:EG22)-1)*5 + 1), INDEX($E$8:$CE$57, MATCH($C22, $C$8:$C$57, 0), (COLUMNS($DU22:EG22)-1)*5 + 4) = "SF"), INDEX($CZ$8:$CZ$23, COLUMNS($DU22:EG22)), "0"), "")</f>
        <v>0</v>
      </c>
      <c r="EH22" s="390" t="str">
        <f t="array" ref="EH22">IFERROR(IF(AND(INDEX($E$8:$CE$57, MATCH($C22, $C$8:$C$57, 0), (COLUMNS($DU22:EH22)-1)*5 + 1) = INDEX($E$5:$CE$5, 1, (COLUMNS($DU22:EH22)-1)*5 + 1), INDEX($E$8:$CE$57, MATCH($C22, $C$8:$C$57, 0), (COLUMNS($DU22:EH22)-1)*5 + 4) = "SF"), INDEX($CZ$8:$CZ$23, COLUMNS($DU22:EH22)), "0"), "")</f>
        <v>0</v>
      </c>
      <c r="EI22" s="390" t="str">
        <f t="array" ref="EI22">IFERROR(IF(AND(INDEX($E$8:$CE$57, MATCH($C22, $C$8:$C$57, 0), (COLUMNS($DU22:EI22)-1)*5 + 1) = INDEX($E$5:$CE$5, 1, (COLUMNS($DU22:EI22)-1)*5 + 1), INDEX($E$8:$CE$57, MATCH($C22, $C$8:$C$57, 0), (COLUMNS($DU22:EI22)-1)*5 + 4) = "SF"), INDEX($CZ$8:$CZ$23, COLUMNS($DU22:EI22)), "0"), "")</f>
        <v>0</v>
      </c>
      <c r="EJ22" s="390" t="str">
        <f t="array" ref="EJ22">IFERROR(IF(AND(INDEX($E$8:$CE$57, MATCH($C22, $C$8:$C$57, 0), (COLUMNS($DU22:EJ22)-1)*5 + 1) = INDEX($E$5:$CE$5, 1, (COLUMNS($DU22:EJ22)-1)*5 + 1), INDEX($E$8:$CE$57, MATCH($C22, $C$8:$C$57, 0), (COLUMNS($DU22:EJ22)-1)*5 + 4) = "SF"), INDEX($CZ$8:$CZ$23, COLUMNS($DU22:EJ22)), "0"), "")</f>
        <v>0</v>
      </c>
    </row>
    <row r="23" spans="1:140" ht="20.100000000000001" customHeight="1" x14ac:dyDescent="0.35">
      <c r="A23" s="515"/>
      <c r="B23" s="444">
        <f>IF(SEMANA2[[#This Row],[COD]]&lt;&gt;"",B22+1,"")</f>
        <v>16</v>
      </c>
      <c r="C23" s="554" t="s">
        <v>62</v>
      </c>
      <c r="D23" s="410" t="str">
        <f t="array" ref="D23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23" s="411">
        <v>9</v>
      </c>
      <c r="F23" s="413">
        <v>2</v>
      </c>
      <c r="G23" s="413">
        <v>4</v>
      </c>
      <c r="H23" s="413"/>
      <c r="I23" s="534">
        <f t="shared" si="0"/>
        <v>0</v>
      </c>
      <c r="J23" s="411">
        <v>1</v>
      </c>
      <c r="K23" s="413">
        <v>2</v>
      </c>
      <c r="L23" s="413">
        <v>7</v>
      </c>
      <c r="M23" s="413"/>
      <c r="N23" s="534">
        <f t="shared" si="1"/>
        <v>1</v>
      </c>
      <c r="O23" s="411">
        <v>5</v>
      </c>
      <c r="P23" s="413">
        <v>8</v>
      </c>
      <c r="Q23" s="413">
        <v>1</v>
      </c>
      <c r="R23" s="413"/>
      <c r="S23" s="534">
        <f t="shared" si="2"/>
        <v>1</v>
      </c>
      <c r="T23" s="411">
        <v>3</v>
      </c>
      <c r="U23" s="413">
        <v>5</v>
      </c>
      <c r="V23" s="413">
        <v>4</v>
      </c>
      <c r="W23" s="413"/>
      <c r="X23" s="534">
        <f t="shared" si="3"/>
        <v>0</v>
      </c>
      <c r="Y23" s="411">
        <v>2</v>
      </c>
      <c r="Z23" s="413">
        <v>1</v>
      </c>
      <c r="AA23" s="413">
        <v>4</v>
      </c>
      <c r="AB23" s="413"/>
      <c r="AC23" s="534">
        <f t="shared" si="4"/>
        <v>4</v>
      </c>
      <c r="AD23" s="411">
        <v>5</v>
      </c>
      <c r="AE23" s="413">
        <v>4</v>
      </c>
      <c r="AF23" s="413">
        <v>10</v>
      </c>
      <c r="AG23" s="413"/>
      <c r="AH23" s="534">
        <f t="shared" si="5"/>
        <v>0</v>
      </c>
      <c r="AI23" s="411">
        <v>7</v>
      </c>
      <c r="AJ23" s="413">
        <v>6</v>
      </c>
      <c r="AK23" s="413">
        <v>9</v>
      </c>
      <c r="AL23" s="413" t="s">
        <v>254</v>
      </c>
      <c r="AM23" s="534">
        <f t="shared" si="6"/>
        <v>4</v>
      </c>
      <c r="AN23" s="411">
        <v>8</v>
      </c>
      <c r="AO23" s="413"/>
      <c r="AP23" s="413"/>
      <c r="AQ23" s="413" t="s">
        <v>255</v>
      </c>
      <c r="AR23" s="534">
        <f t="shared" si="7"/>
        <v>7.5</v>
      </c>
      <c r="AS23" s="411">
        <v>10</v>
      </c>
      <c r="AT23" s="413">
        <v>1</v>
      </c>
      <c r="AU23" s="413">
        <v>2</v>
      </c>
      <c r="AV23" s="413"/>
      <c r="AW23" s="534">
        <f t="shared" si="8"/>
        <v>1</v>
      </c>
      <c r="AX23" s="411">
        <v>2</v>
      </c>
      <c r="AY23" s="413">
        <v>10</v>
      </c>
      <c r="AZ23" s="413">
        <v>1</v>
      </c>
      <c r="BA23" s="413"/>
      <c r="BB23" s="534">
        <f t="shared" si="9"/>
        <v>4</v>
      </c>
      <c r="BC23" s="411">
        <v>7</v>
      </c>
      <c r="BD23" s="413">
        <v>5</v>
      </c>
      <c r="BE23" s="413">
        <v>3</v>
      </c>
      <c r="BF23" s="413" t="s">
        <v>254</v>
      </c>
      <c r="BG23" s="534">
        <f t="shared" si="10"/>
        <v>5</v>
      </c>
      <c r="BH23" s="411">
        <v>1</v>
      </c>
      <c r="BI23" s="413">
        <v>6</v>
      </c>
      <c r="BJ23" s="413">
        <v>2</v>
      </c>
      <c r="BK23" s="413"/>
      <c r="BL23" s="534">
        <f t="shared" si="11"/>
        <v>2</v>
      </c>
      <c r="BM23" s="411">
        <v>4</v>
      </c>
      <c r="BN23" s="413">
        <v>1</v>
      </c>
      <c r="BO23" s="413">
        <v>9</v>
      </c>
      <c r="BP23" s="413"/>
      <c r="BQ23" s="534">
        <f t="shared" si="12"/>
        <v>0</v>
      </c>
      <c r="BR23" s="411">
        <v>11</v>
      </c>
      <c r="BS23" s="413">
        <v>2</v>
      </c>
      <c r="BT23" s="413">
        <v>1</v>
      </c>
      <c r="BU23" s="413"/>
      <c r="BV23" s="534">
        <f t="shared" si="13"/>
        <v>1</v>
      </c>
      <c r="BW23" s="411"/>
      <c r="BX23" s="413"/>
      <c r="BY23" s="413"/>
      <c r="BZ23" s="413"/>
      <c r="CA23" s="534">
        <f t="shared" si="14"/>
        <v>0</v>
      </c>
      <c r="CB23" s="411"/>
      <c r="CC23" s="413"/>
      <c r="CD23" s="413"/>
      <c r="CE23" s="413"/>
      <c r="CF23" s="534">
        <f t="shared" si="15"/>
        <v>0</v>
      </c>
      <c r="CG23" s="162">
        <f>IF(SEMANA2[[#This Row],[1]]="",0,$B$4)</f>
        <v>14</v>
      </c>
      <c r="CH23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4</v>
      </c>
      <c r="CI23" s="164">
        <f>IF(SEMANA2[[#This Row],[Columna14]]=0,0,(CH23/CG23))</f>
        <v>0.2857142857142857</v>
      </c>
      <c r="CJ23" s="163">
        <f>IF(SEMANA2[[#This Row],[1]]="",0,$B$4)</f>
        <v>14</v>
      </c>
      <c r="CK23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5</v>
      </c>
      <c r="CL23" s="164">
        <f>IF(SEMANA2[[#This Row],[Columna14]]=0,0,(CK23/CJ23))</f>
        <v>0.35714285714285715</v>
      </c>
      <c r="CM23" s="162">
        <f>IF(SEMANA2[[#This Row],[1]]="",0,$B$4)</f>
        <v>14</v>
      </c>
      <c r="CN23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10</v>
      </c>
      <c r="CO23" s="164">
        <f>IF(SEMANA2[[#This Row],[Columna14]]=0,0,(CN23/CM23))</f>
        <v>0.7142857142857143</v>
      </c>
      <c r="CP23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23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Row],[Columna25]],$AX$5,BA23,"SF")+COUNTIFS(SEMANA2[[#This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23" s="164">
        <f>IFERROR(IF(SEMANA2[[#This Row],[Columna14]]=0,0,(CQ23/CP23)),0)</f>
        <v>0.66666666666666663</v>
      </c>
      <c r="CS23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30.5</v>
      </c>
      <c r="CT23" s="93">
        <f>_xlfn.XLOOKUP(SEMANA2[[#This Row],[COD]],BASE01[COD],BASE01[Columna33])</f>
        <v>35</v>
      </c>
      <c r="CU23" s="536">
        <f t="shared" si="16"/>
        <v>65.5</v>
      </c>
      <c r="CV23" s="445">
        <f>IF(SEMANA2[[#This Row],[TIPO]]="PREMIO",$O$3,"0,00")</f>
        <v>1000</v>
      </c>
      <c r="CW23" s="515"/>
      <c r="CY23" s="388">
        <v>16</v>
      </c>
      <c r="CZ23" s="349">
        <f>CC$6</f>
        <v>0</v>
      </c>
      <c r="DB23" s="537" t="str">
        <f>SEMANA2[[#This Row],[COD]]</f>
        <v>COD 16</v>
      </c>
      <c r="DC23" s="390" t="str">
        <f t="array" ref="DC23">IFERROR(IF(AND(INDEX($E$8:$CE$57, MATCH($C23, $C$8:$C$57, 0), (COLUMNS($DC23:DC23)-1)*5 + 1) = INDEX($E$5:$CE$5, 1, (COLUMNS($DC23:DC23)-1)*5 + 1), INDEX($E$8:$CE$57, MATCH($C23, $C$8:$C$57, 0), (COLUMNS($DC23:DC23)-1)*5 + 4) = "F"), INDEX($CZ$8:$CZ$23, COLUMNS($DC23:DC23)), "0"), "")</f>
        <v>0</v>
      </c>
      <c r="DD23" s="390" t="str">
        <f t="array" ref="DD23">IFERROR(IF(AND(INDEX($E$8:$CE$57, MATCH($C23, $C$8:$C$57, 0), (COLUMNS($DC23:DD23)-1)*5 + 1) = INDEX($E$5:$CE$5, 1, (COLUMNS($DC23:DD23)-1)*5 + 1), INDEX($E$8:$CE$57, MATCH($C23, $C$8:$C$57, 0), (COLUMNS($DC23:DD23)-1)*5 + 4) = "F"), INDEX($CZ$8:$CZ$23, COLUMNS($DC23:DD23)), "0"), "")</f>
        <v>0</v>
      </c>
      <c r="DE23" s="390" t="str">
        <f t="array" ref="DE23">IFERROR(IF(AND(INDEX($E$8:$CE$57, MATCH($C23, $C$8:$C$57, 0), (COLUMNS($DC23:DE23)-1)*5 + 1) = INDEX($E$5:$CE$5, 1, (COLUMNS($DC23:DE23)-1)*5 + 1), INDEX($E$8:$CE$57, MATCH($C23, $C$8:$C$57, 0), (COLUMNS($DC23:DE23)-1)*5 + 4) = "F"), INDEX($CZ$8:$CZ$23, COLUMNS($DC23:DE23)), "0"), "")</f>
        <v>0</v>
      </c>
      <c r="DF23" s="390" t="str">
        <f t="array" ref="DF23">IFERROR(IF(AND(INDEX($E$8:$CE$57, MATCH($C23, $C$8:$C$57, 0), (COLUMNS($DC23:DF23)-1)*5 + 1) = INDEX($E$5:$CE$5, 1, (COLUMNS($DC23:DF23)-1)*5 + 1), INDEX($E$8:$CE$57, MATCH($C23, $C$8:$C$57, 0), (COLUMNS($DC23:DF23)-1)*5 + 4) = "F"), INDEX($CZ$8:$CZ$23, COLUMNS($DC23:DF23)), "0"), "")</f>
        <v>0</v>
      </c>
      <c r="DG23" s="390" t="str">
        <f t="array" ref="DG23">IFERROR(IF(AND(INDEX($E$8:$CE$57, MATCH($C23, $C$8:$C$57, 0), (COLUMNS($DC23:DG23)-1)*5 + 1) = INDEX($E$5:$CE$5, 1, (COLUMNS($DC23:DG23)-1)*5 + 1), INDEX($E$8:$CE$57, MATCH($C23, $C$8:$C$57, 0), (COLUMNS($DC23:DG23)-1)*5 + 4) = "F"), INDEX($CZ$8:$CZ$23, COLUMNS($DC23:DG23)), "0"), "")</f>
        <v>0</v>
      </c>
      <c r="DH23" s="390" t="str">
        <f t="array" ref="DH23">IFERROR(IF(AND(INDEX($E$8:$CE$57, MATCH($C23, $C$8:$C$57, 0), (COLUMNS($DC23:DH23)-1)*5 + 1) = INDEX($E$5:$CE$5, 1, (COLUMNS($DC23:DH23)-1)*5 + 1), INDEX($E$8:$CE$57, MATCH($C23, $C$8:$C$57, 0), (COLUMNS($DC23:DH23)-1)*5 + 4) = "F"), INDEX($CZ$8:$CZ$23, COLUMNS($DC23:DH23)), "0"), "")</f>
        <v>0</v>
      </c>
      <c r="DI23" s="390" t="str">
        <f t="array" ref="DI23">IFERROR(IF(AND(INDEX($E$8:$CE$57, MATCH($C23, $C$8:$C$57, 0), (COLUMNS($DC23:DI23)-1)*5 + 1) = INDEX($E$5:$CE$5, 1, (COLUMNS($DC23:DI23)-1)*5 + 1), INDEX($E$8:$CE$57, MATCH($C23, $C$8:$C$57, 0), (COLUMNS($DC23:DI23)-1)*5 + 4) = "F"), INDEX($CZ$8:$CZ$23, COLUMNS($DC23:DI23)), "0"), "")</f>
        <v>0</v>
      </c>
      <c r="DJ23" s="390" t="str">
        <f t="array" ref="DJ23">IFERROR(IF(AND(INDEX($E$8:$CE$57, MATCH($C23, $C$8:$C$57, 0), (COLUMNS($DC23:DJ23)-1)*5 + 1) = INDEX($E$5:$CE$5, 1, (COLUMNS($DC23:DJ23)-1)*5 + 1), INDEX($E$8:$CE$57, MATCH($C23, $C$8:$C$57, 0), (COLUMNS($DC23:DJ23)-1)*5 + 4) = "F"), INDEX($CZ$8:$CZ$23, COLUMNS($DC23:DJ23)), "0"), "")</f>
        <v>0</v>
      </c>
      <c r="DK23" s="390" t="str">
        <f t="array" ref="DK23">IFERROR(IF(AND(INDEX($E$8:$CE$57, MATCH($C23, $C$8:$C$57, 0), (COLUMNS($DC23:DK23)-1)*5 + 1) = INDEX($E$5:$CE$5, 1, (COLUMNS($DC23:DK23)-1)*5 + 1), INDEX($E$8:$CE$57, MATCH($C23, $C$8:$C$57, 0), (COLUMNS($DC23:DK23)-1)*5 + 4) = "F"), INDEX($CZ$8:$CZ$23, COLUMNS($DC23:DK23)), "0"), "")</f>
        <v>0</v>
      </c>
      <c r="DL23" s="390" t="str">
        <f t="array" ref="DL23">IFERROR(IF(AND(INDEX($E$8:$CE$57, MATCH($C23, $C$8:$C$57, 0), (COLUMNS($DC23:DL23)-1)*5 + 1) = INDEX($E$5:$CE$5, 1, (COLUMNS($DC23:DL23)-1)*5 + 1), INDEX($E$8:$CE$57, MATCH($C23, $C$8:$C$57, 0), (COLUMNS($DC23:DL23)-1)*5 + 4) = "F"), INDEX($CZ$8:$CZ$23, COLUMNS($DC23:DL23)), "0"), "")</f>
        <v>0</v>
      </c>
      <c r="DM23" s="390">
        <f t="array" ref="DM23">IFERROR(IF(AND(INDEX($E$8:$CE$57, MATCH($C23, $C$8:$C$57, 0), (COLUMNS($DC23:DM23)-1)*5 + 1) = INDEX($E$5:$CE$5, 1, (COLUMNS($DC23:DM23)-1)*5 + 1), INDEX($E$8:$CE$57, MATCH($C23, $C$8:$C$57, 0), (COLUMNS($DC23:DM23)-1)*5 + 4) = "F"), INDEX($CZ$8:$CZ$23, COLUMNS($DC23:DM23)), "0"), "")</f>
        <v>156.87</v>
      </c>
      <c r="DN23" s="390" t="str">
        <f t="array" ref="DN23">IFERROR(IF(AND(INDEX($E$8:$CE$57, MATCH($C23, $C$8:$C$57, 0), (COLUMNS($DC23:DN23)-1)*5 + 1) = INDEX($E$5:$CE$5, 1, (COLUMNS($DC23:DN23)-1)*5 + 1), INDEX($E$8:$CE$57, MATCH($C23, $C$8:$C$57, 0), (COLUMNS($DC23:DN23)-1)*5 + 4) = "F"), INDEX($CZ$8:$CZ$23, COLUMNS($DC23:DN23)), "0"), "")</f>
        <v>0</v>
      </c>
      <c r="DO23" s="390" t="str">
        <f t="array" ref="DO23">IFERROR(IF(AND(INDEX($E$8:$CE$57, MATCH($C23, $C$8:$C$57, 0), (COLUMNS($DC23:DO23)-1)*5 + 1) = INDEX($E$5:$CE$5, 1, (COLUMNS($DC23:DO23)-1)*5 + 1), INDEX($E$8:$CE$57, MATCH($C23, $C$8:$C$57, 0), (COLUMNS($DC23:DO23)-1)*5 + 4) = "F"), INDEX($CZ$8:$CZ$23, COLUMNS($DC23:DO23)), "0"), "")</f>
        <v>0</v>
      </c>
      <c r="DP23" s="390" t="str">
        <f t="array" ref="DP23">IFERROR(IF(AND(INDEX($E$8:$CE$57, MATCH($C23, $C$8:$C$57, 0), (COLUMNS($DC23:DP23)-1)*5 + 1) = INDEX($E$5:$CE$5, 1, (COLUMNS($DC23:DP23)-1)*5 + 1), INDEX($E$8:$CE$57, MATCH($C23, $C$8:$C$57, 0), (COLUMNS($DC23:DP23)-1)*5 + 4) = "F"), INDEX($CZ$8:$CZ$23, COLUMNS($DC23:DP23)), "0"), "")</f>
        <v>0</v>
      </c>
      <c r="DQ23" s="390" t="str">
        <f t="array" ref="DQ23">IFERROR(IF(AND(INDEX($E$8:$CE$57, MATCH($C23, $C$8:$C$57, 0), (COLUMNS($DC23:DQ23)-1)*5 + 1) = INDEX($E$5:$CE$5, 1, (COLUMNS($DC23:DQ23)-1)*5 + 1), INDEX($E$8:$CE$57, MATCH($C23, $C$8:$C$57, 0), (COLUMNS($DC23:DQ23)-1)*5 + 4) = "F"), INDEX($CZ$8:$CZ$23, COLUMNS($DC23:DQ23)), "0"), "")</f>
        <v>0</v>
      </c>
      <c r="DR23" s="390" t="str">
        <f t="array" ref="DR23">IFERROR(IF(AND(INDEX($E$8:$CE$57, MATCH($C23, $C$8:$C$57, 0), (COLUMNS($DC23:DR23)-1)*5 + 1) = INDEX($E$5:$CE$5, 1, (COLUMNS($DC23:DR23)-1)*5 + 1), INDEX($E$8:$CE$57, MATCH($C23, $C$8:$C$57, 0), (COLUMNS($DC23:DR23)-1)*5 + 4) = "F"), INDEX($CZ$8:$CZ$23, COLUMNS($DC23:DR23)), "0"), "")</f>
        <v>0</v>
      </c>
      <c r="DT23" s="537" t="str">
        <f>SEMANA2[[#This Row],[COD]]</f>
        <v>COD 16</v>
      </c>
      <c r="DU23" s="390" t="str">
        <f t="array" ref="DU23">IFERROR(IF(AND(INDEX($E$8:$CE$57, MATCH($C23, $C$8:$C$57, 0), (COLUMNS($DU23:DU23)-1)*5 + 1) = INDEX($E$5:$CE$5, 1, (COLUMNS($DU23:DU23)-1)*5 + 1), INDEX($E$8:$CE$57, MATCH($C23, $C$8:$C$57, 0), (COLUMNS($DU23:DU23)-1)*5 + 4) = "SF"), INDEX($CZ$8:$CZ$23, COLUMNS($DU23:DU23)), "0"), "")</f>
        <v>0</v>
      </c>
      <c r="DV23" s="390" t="str">
        <f t="array" ref="DV23">IFERROR(IF(AND(INDEX($E$8:$CE$57, MATCH($C23, $C$8:$C$57, 0), (COLUMNS($DU23:DV23)-1)*5 + 1) = INDEX($E$5:$CE$5, 1, (COLUMNS($DU23:DV23)-1)*5 + 1), INDEX($E$8:$CE$57, MATCH($C23, $C$8:$C$57, 0), (COLUMNS($DU23:DV23)-1)*5 + 4) = "SF"), INDEX($CZ$8:$CZ$23, COLUMNS($DU23:DV23)), "0"), "")</f>
        <v>0</v>
      </c>
      <c r="DW23" s="390" t="str">
        <f t="array" ref="DW23">IFERROR(IF(AND(INDEX($E$8:$CE$57, MATCH($C23, $C$8:$C$57, 0), (COLUMNS($DU23:DW23)-1)*5 + 1) = INDEX($E$5:$CE$5, 1, (COLUMNS($DU23:DW23)-1)*5 + 1), INDEX($E$8:$CE$57, MATCH($C23, $C$8:$C$57, 0), (COLUMNS($DU23:DW23)-1)*5 + 4) = "SF"), INDEX($CZ$8:$CZ$23, COLUMNS($DU23:DW23)), "0"), "")</f>
        <v>0</v>
      </c>
      <c r="DX23" s="390" t="str">
        <f t="array" ref="DX23">IFERROR(IF(AND(INDEX($E$8:$CE$57, MATCH($C23, $C$8:$C$57, 0), (COLUMNS($DU23:DX23)-1)*5 + 1) = INDEX($E$5:$CE$5, 1, (COLUMNS($DU23:DX23)-1)*5 + 1), INDEX($E$8:$CE$57, MATCH($C23, $C$8:$C$57, 0), (COLUMNS($DU23:DX23)-1)*5 + 4) = "SF"), INDEX($CZ$8:$CZ$23, COLUMNS($DU23:DX23)), "0"), "")</f>
        <v>0</v>
      </c>
      <c r="DY23" s="390" t="str">
        <f t="array" ref="DY23">IFERROR(IF(AND(INDEX($E$8:$CE$57, MATCH($C23, $C$8:$C$57, 0), (COLUMNS($DU23:DY23)-1)*5 + 1) = INDEX($E$5:$CE$5, 1, (COLUMNS($DU23:DY23)-1)*5 + 1), INDEX($E$8:$CE$57, MATCH($C23, $C$8:$C$57, 0), (COLUMNS($DU23:DY23)-1)*5 + 4) = "SF"), INDEX($CZ$8:$CZ$23, COLUMNS($DU23:DY23)), "0"), "")</f>
        <v>0</v>
      </c>
      <c r="DZ23" s="390" t="str">
        <f t="array" ref="DZ23">IFERROR(IF(AND(INDEX($E$8:$CE$57, MATCH($C23, $C$8:$C$57, 0), (COLUMNS($DU23:DZ23)-1)*5 + 1) = INDEX($E$5:$CE$5, 1, (COLUMNS($DU23:DZ23)-1)*5 + 1), INDEX($E$8:$CE$57, MATCH($C23, $C$8:$C$57, 0), (COLUMNS($DU23:DZ23)-1)*5 + 4) = "SF"), INDEX($CZ$8:$CZ$23, COLUMNS($DU23:DZ23)), "0"), "")</f>
        <v>0</v>
      </c>
      <c r="EA23" s="390" t="str">
        <f t="array" ref="EA23">IFERROR(IF(AND(INDEX($E$8:$CE$57, MATCH($C23, $C$8:$C$57, 0), (COLUMNS($DU23:EA23)-1)*5 + 1) = INDEX($E$5:$CE$5, 1, (COLUMNS($DU23:EA23)-1)*5 + 1), INDEX($E$8:$CE$57, MATCH($C23, $C$8:$C$57, 0), (COLUMNS($DU23:EA23)-1)*5 + 4) = "SF"), INDEX($CZ$8:$CZ$23, COLUMNS($DU23:EA23)), "0"), "")</f>
        <v>0</v>
      </c>
      <c r="EB23" s="390">
        <f t="array" ref="EB23">IFERROR(IF(AND(INDEX($E$8:$CE$57, MATCH($C23, $C$8:$C$57, 0), (COLUMNS($DU23:EB23)-1)*5 + 1) = INDEX($E$5:$CE$5, 1, (COLUMNS($DU23:EB23)-1)*5 + 1), INDEX($E$8:$CE$57, MATCH($C23, $C$8:$C$57, 0), (COLUMNS($DU23:EB23)-1)*5 + 4) = "SF"), INDEX($CZ$8:$CZ$23, COLUMNS($DU23:EB23)), "0"), "")</f>
        <v>128.36000000000001</v>
      </c>
      <c r="EC23" s="390" t="str">
        <f t="array" ref="EC23">IFERROR(IF(AND(INDEX($E$8:$CE$57, MATCH($C23, $C$8:$C$57, 0), (COLUMNS($DU23:EC23)-1)*5 + 1) = INDEX($E$5:$CE$5, 1, (COLUMNS($DU23:EC23)-1)*5 + 1), INDEX($E$8:$CE$57, MATCH($C23, $C$8:$C$57, 0), (COLUMNS($DU23:EC23)-1)*5 + 4) = "SF"), INDEX($CZ$8:$CZ$23, COLUMNS($DU23:EC23)), "0"), "")</f>
        <v>0</v>
      </c>
      <c r="ED23" s="390" t="str">
        <f t="array" ref="ED23">IFERROR(IF(AND(INDEX($E$8:$CE$57, MATCH($C23, $C$8:$C$57, 0), (COLUMNS($DU23:ED23)-1)*5 + 1) = INDEX($E$5:$CE$5, 1, (COLUMNS($DU23:ED23)-1)*5 + 1), INDEX($E$8:$CE$57, MATCH($C23, $C$8:$C$57, 0), (COLUMNS($DU23:ED23)-1)*5 + 4) = "SF"), INDEX($CZ$8:$CZ$23, COLUMNS($DU23:ED23)), "0"), "")</f>
        <v>0</v>
      </c>
      <c r="EE23" s="390" t="str">
        <f t="array" ref="EE23">IFERROR(IF(AND(INDEX($E$8:$CE$57, MATCH($C23, $C$8:$C$57, 0), (COLUMNS($DU23:EE23)-1)*5 + 1) = INDEX($E$5:$CE$5, 1, (COLUMNS($DU23:EE23)-1)*5 + 1), INDEX($E$8:$CE$57, MATCH($C23, $C$8:$C$57, 0), (COLUMNS($DU23:EE23)-1)*5 + 4) = "SF"), INDEX($CZ$8:$CZ$23, COLUMNS($DU23:EE23)), "0"), "")</f>
        <v>0</v>
      </c>
      <c r="EF23" s="390" t="str">
        <f t="array" ref="EF23">IFERROR(IF(AND(INDEX($E$8:$CE$57, MATCH($C23, $C$8:$C$57, 0), (COLUMNS($DU23:EF23)-1)*5 + 1) = INDEX($E$5:$CE$5, 1, (COLUMNS($DU23:EF23)-1)*5 + 1), INDEX($E$8:$CE$57, MATCH($C23, $C$8:$C$57, 0), (COLUMNS($DU23:EF23)-1)*5 + 4) = "SF"), INDEX($CZ$8:$CZ$23, COLUMNS($DU23:EF23)), "0"), "")</f>
        <v>0</v>
      </c>
      <c r="EG23" s="390" t="str">
        <f t="array" ref="EG23">IFERROR(IF(AND(INDEX($E$8:$CE$57, MATCH($C23, $C$8:$C$57, 0), (COLUMNS($DU23:EG23)-1)*5 + 1) = INDEX($E$5:$CE$5, 1, (COLUMNS($DU23:EG23)-1)*5 + 1), INDEX($E$8:$CE$57, MATCH($C23, $C$8:$C$57, 0), (COLUMNS($DU23:EG23)-1)*5 + 4) = "SF"), INDEX($CZ$8:$CZ$23, COLUMNS($DU23:EG23)), "0"), "")</f>
        <v>0</v>
      </c>
      <c r="EH23" s="390" t="str">
        <f t="array" ref="EH23">IFERROR(IF(AND(INDEX($E$8:$CE$57, MATCH($C23, $C$8:$C$57, 0), (COLUMNS($DU23:EH23)-1)*5 + 1) = INDEX($E$5:$CE$5, 1, (COLUMNS($DU23:EH23)-1)*5 + 1), INDEX($E$8:$CE$57, MATCH($C23, $C$8:$C$57, 0), (COLUMNS($DU23:EH23)-1)*5 + 4) = "SF"), INDEX($CZ$8:$CZ$23, COLUMNS($DU23:EH23)), "0"), "")</f>
        <v>0</v>
      </c>
      <c r="EI23" s="390" t="str">
        <f t="array" ref="EI23">IFERROR(IF(AND(INDEX($E$8:$CE$57, MATCH($C23, $C$8:$C$57, 0), (COLUMNS($DU23:EI23)-1)*5 + 1) = INDEX($E$5:$CE$5, 1, (COLUMNS($DU23:EI23)-1)*5 + 1), INDEX($E$8:$CE$57, MATCH($C23, $C$8:$C$57, 0), (COLUMNS($DU23:EI23)-1)*5 + 4) = "SF"), INDEX($CZ$8:$CZ$23, COLUMNS($DU23:EI23)), "0"), "")</f>
        <v>0</v>
      </c>
      <c r="EJ23" s="390" t="str">
        <f t="array" ref="EJ23">IFERROR(IF(AND(INDEX($E$8:$CE$57, MATCH($C23, $C$8:$C$57, 0), (COLUMNS($DU23:EJ23)-1)*5 + 1) = INDEX($E$5:$CE$5, 1, (COLUMNS($DU23:EJ23)-1)*5 + 1), INDEX($E$8:$CE$57, MATCH($C23, $C$8:$C$57, 0), (COLUMNS($DU23:EJ23)-1)*5 + 4) = "SF"), INDEX($CZ$8:$CZ$23, COLUMNS($DU23:EJ23)), "0"), "")</f>
        <v>0</v>
      </c>
    </row>
    <row r="24" spans="1:140" ht="20.100000000000001" customHeight="1" x14ac:dyDescent="0.35">
      <c r="A24" s="515"/>
      <c r="B24" s="444">
        <f>IF(SEMANA2[[#This Row],[COD]]&lt;&gt;"",B23+1,"")</f>
        <v>17</v>
      </c>
      <c r="C24" s="554" t="s">
        <v>64</v>
      </c>
      <c r="D24" s="410" t="str">
        <f t="array" ref="D24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24" s="411">
        <v>6</v>
      </c>
      <c r="F24" s="413">
        <v>9</v>
      </c>
      <c r="G24" s="413">
        <v>4</v>
      </c>
      <c r="H24" s="413"/>
      <c r="I24" s="534">
        <f t="shared" si="0"/>
        <v>6</v>
      </c>
      <c r="J24" s="411">
        <v>1</v>
      </c>
      <c r="K24" s="413"/>
      <c r="L24" s="413"/>
      <c r="M24" s="413" t="s">
        <v>255</v>
      </c>
      <c r="N24" s="534">
        <f t="shared" si="1"/>
        <v>0</v>
      </c>
      <c r="O24" s="411">
        <v>1</v>
      </c>
      <c r="P24" s="413">
        <v>5</v>
      </c>
      <c r="Q24" s="413">
        <v>10</v>
      </c>
      <c r="R24" s="413"/>
      <c r="S24" s="534">
        <f t="shared" si="2"/>
        <v>4</v>
      </c>
      <c r="T24" s="411">
        <v>5</v>
      </c>
      <c r="U24" s="413">
        <v>3</v>
      </c>
      <c r="V24" s="413">
        <v>4</v>
      </c>
      <c r="W24" s="413"/>
      <c r="X24" s="534">
        <f t="shared" si="3"/>
        <v>0</v>
      </c>
      <c r="Y24" s="411">
        <v>1</v>
      </c>
      <c r="Z24" s="413">
        <v>2</v>
      </c>
      <c r="AA24" s="413">
        <v>5</v>
      </c>
      <c r="AB24" s="413"/>
      <c r="AC24" s="534">
        <f t="shared" si="4"/>
        <v>2</v>
      </c>
      <c r="AD24" s="411">
        <v>4</v>
      </c>
      <c r="AE24" s="413">
        <v>5</v>
      </c>
      <c r="AF24" s="413">
        <v>10</v>
      </c>
      <c r="AG24" s="413"/>
      <c r="AH24" s="534">
        <f t="shared" si="5"/>
        <v>0</v>
      </c>
      <c r="AI24" s="411">
        <v>7</v>
      </c>
      <c r="AJ24" s="413">
        <v>6</v>
      </c>
      <c r="AK24" s="413">
        <v>2</v>
      </c>
      <c r="AL24" s="413"/>
      <c r="AM24" s="534">
        <f t="shared" si="6"/>
        <v>0</v>
      </c>
      <c r="AN24" s="411">
        <v>8</v>
      </c>
      <c r="AO24" s="413">
        <v>2</v>
      </c>
      <c r="AP24" s="413">
        <v>1</v>
      </c>
      <c r="AQ24" s="413" t="s">
        <v>254</v>
      </c>
      <c r="AR24" s="534">
        <f t="shared" si="7"/>
        <v>4.5</v>
      </c>
      <c r="AS24" s="411">
        <v>1</v>
      </c>
      <c r="AT24" s="413">
        <v>2</v>
      </c>
      <c r="AU24" s="413">
        <v>5</v>
      </c>
      <c r="AV24" s="413"/>
      <c r="AW24" s="534">
        <f t="shared" si="8"/>
        <v>2</v>
      </c>
      <c r="AX24" s="411">
        <v>6</v>
      </c>
      <c r="AY24" s="413">
        <v>10</v>
      </c>
      <c r="AZ24" s="413">
        <v>1</v>
      </c>
      <c r="BA24" s="413"/>
      <c r="BB24" s="534">
        <f t="shared" si="9"/>
        <v>0</v>
      </c>
      <c r="BC24" s="411">
        <v>7</v>
      </c>
      <c r="BD24" s="413">
        <v>5</v>
      </c>
      <c r="BE24" s="413">
        <v>3</v>
      </c>
      <c r="BF24" s="413" t="s">
        <v>254</v>
      </c>
      <c r="BG24" s="534">
        <f t="shared" si="10"/>
        <v>5</v>
      </c>
      <c r="BH24" s="411">
        <v>1</v>
      </c>
      <c r="BI24" s="413">
        <v>6</v>
      </c>
      <c r="BJ24" s="413">
        <v>2</v>
      </c>
      <c r="BK24" s="413"/>
      <c r="BL24" s="534">
        <f t="shared" si="11"/>
        <v>2</v>
      </c>
      <c r="BM24" s="411">
        <v>1</v>
      </c>
      <c r="BN24" s="413">
        <v>3</v>
      </c>
      <c r="BO24" s="413">
        <v>5</v>
      </c>
      <c r="BP24" s="413"/>
      <c r="BQ24" s="534">
        <f t="shared" si="12"/>
        <v>4</v>
      </c>
      <c r="BR24" s="411">
        <v>10</v>
      </c>
      <c r="BS24" s="413">
        <v>5</v>
      </c>
      <c r="BT24" s="413">
        <v>11</v>
      </c>
      <c r="BU24" s="413"/>
      <c r="BV24" s="534">
        <f t="shared" si="13"/>
        <v>0</v>
      </c>
      <c r="BW24" s="411"/>
      <c r="BX24" s="413"/>
      <c r="BY24" s="413"/>
      <c r="BZ24" s="413"/>
      <c r="CA24" s="534">
        <f t="shared" si="14"/>
        <v>0</v>
      </c>
      <c r="CB24" s="411"/>
      <c r="CC24" s="413"/>
      <c r="CD24" s="413"/>
      <c r="CE24" s="413"/>
      <c r="CF24" s="534">
        <f t="shared" si="15"/>
        <v>0</v>
      </c>
      <c r="CG24" s="162">
        <f>IF(SEMANA2[[#This Row],[1]]="",0,$B$4)</f>
        <v>14</v>
      </c>
      <c r="CH24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4</v>
      </c>
      <c r="CI24" s="164">
        <f>IF(SEMANA2[[#This Row],[Columna14]]=0,0,(CH24/CG24))</f>
        <v>0.2857142857142857</v>
      </c>
      <c r="CJ24" s="163">
        <f>IF(SEMANA2[[#This Row],[1]]="",0,$B$4)</f>
        <v>14</v>
      </c>
      <c r="CK24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7</v>
      </c>
      <c r="CL24" s="164">
        <f>IF(SEMANA2[[#This Row],[Columna14]]=0,0,(CK24/CJ24))</f>
        <v>0.5</v>
      </c>
      <c r="CM24" s="162">
        <f>IF(SEMANA2[[#This Row],[1]]="",0,$B$4)</f>
        <v>14</v>
      </c>
      <c r="CN24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8</v>
      </c>
      <c r="CO24" s="164">
        <f>IF(SEMANA2[[#This Row],[Columna14]]=0,0,(CN24/CM24))</f>
        <v>0.5714285714285714</v>
      </c>
      <c r="CP24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24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Row],[Columna25]],$AX$5,BA24,"SF")+COUNTIFS(SEMANA2[[#This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24" s="164">
        <f>IFERROR(IF(SEMANA2[[#This Row],[Columna14]]=0,0,(CQ24/CP24)),0)</f>
        <v>0.66666666666666663</v>
      </c>
      <c r="CS24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29.5</v>
      </c>
      <c r="CT24" s="93">
        <f>_xlfn.XLOOKUP(SEMANA2[[#This Row],[COD]],BASE01[COD],BASE01[Columna33])</f>
        <v>29</v>
      </c>
      <c r="CU24" s="536">
        <f t="shared" si="16"/>
        <v>58.5</v>
      </c>
      <c r="CV24" s="445">
        <f>IF(SEMANA2[[#This Row],[TIPO]]="PREMIO",$O$3,"0,00")</f>
        <v>1000</v>
      </c>
      <c r="CW24" s="515"/>
      <c r="CY24" s="388" t="s">
        <v>256</v>
      </c>
      <c r="CZ24" s="350">
        <f>MAX(DIV_GAN_SEM_2[DIVIDENDO])</f>
        <v>1046.8399999999999</v>
      </c>
      <c r="DA24" s="389" t="s">
        <v>257</v>
      </c>
      <c r="DB24" s="537" t="str">
        <f>SEMANA2[[#This Row],[COD]]</f>
        <v>COD 17</v>
      </c>
      <c r="DC24" s="390" t="str">
        <f t="array" ref="DC24">IFERROR(IF(AND(INDEX($E$8:$CE$57, MATCH($C24, $C$8:$C$57, 0), (COLUMNS($DC24:DC24)-1)*5 + 1) = INDEX($E$5:$CE$5, 1, (COLUMNS($DC24:DC24)-1)*5 + 1), INDEX($E$8:$CE$57, MATCH($C24, $C$8:$C$57, 0), (COLUMNS($DC24:DC24)-1)*5 + 4) = "F"), INDEX($CZ$8:$CZ$23, COLUMNS($DC24:DC24)), "0"), "")</f>
        <v>0</v>
      </c>
      <c r="DD24" s="390" t="str">
        <f t="array" ref="DD24">IFERROR(IF(AND(INDEX($E$8:$CE$57, MATCH($C24, $C$8:$C$57, 0), (COLUMNS($DC24:DD24)-1)*5 + 1) = INDEX($E$5:$CE$5, 1, (COLUMNS($DC24:DD24)-1)*5 + 1), INDEX($E$8:$CE$57, MATCH($C24, $C$8:$C$57, 0), (COLUMNS($DC24:DD24)-1)*5 + 4) = "F"), INDEX($CZ$8:$CZ$23, COLUMNS($DC24:DD24)), "0"), "")</f>
        <v>0</v>
      </c>
      <c r="DE24" s="390" t="str">
        <f t="array" ref="DE24">IFERROR(IF(AND(INDEX($E$8:$CE$57, MATCH($C24, $C$8:$C$57, 0), (COLUMNS($DC24:DE24)-1)*5 + 1) = INDEX($E$5:$CE$5, 1, (COLUMNS($DC24:DE24)-1)*5 + 1), INDEX($E$8:$CE$57, MATCH($C24, $C$8:$C$57, 0), (COLUMNS($DC24:DE24)-1)*5 + 4) = "F"), INDEX($CZ$8:$CZ$23, COLUMNS($DC24:DE24)), "0"), "")</f>
        <v>0</v>
      </c>
      <c r="DF24" s="390" t="str">
        <f t="array" ref="DF24">IFERROR(IF(AND(INDEX($E$8:$CE$57, MATCH($C24, $C$8:$C$57, 0), (COLUMNS($DC24:DF24)-1)*5 + 1) = INDEX($E$5:$CE$5, 1, (COLUMNS($DC24:DF24)-1)*5 + 1), INDEX($E$8:$CE$57, MATCH($C24, $C$8:$C$57, 0), (COLUMNS($DC24:DF24)-1)*5 + 4) = "F"), INDEX($CZ$8:$CZ$23, COLUMNS($DC24:DF24)), "0"), "")</f>
        <v>0</v>
      </c>
      <c r="DG24" s="390" t="str">
        <f t="array" ref="DG24">IFERROR(IF(AND(INDEX($E$8:$CE$57, MATCH($C24, $C$8:$C$57, 0), (COLUMNS($DC24:DG24)-1)*5 + 1) = INDEX($E$5:$CE$5, 1, (COLUMNS($DC24:DG24)-1)*5 + 1), INDEX($E$8:$CE$57, MATCH($C24, $C$8:$C$57, 0), (COLUMNS($DC24:DG24)-1)*5 + 4) = "F"), INDEX($CZ$8:$CZ$23, COLUMNS($DC24:DG24)), "0"), "")</f>
        <v>0</v>
      </c>
      <c r="DH24" s="390" t="str">
        <f t="array" ref="DH24">IFERROR(IF(AND(INDEX($E$8:$CE$57, MATCH($C24, $C$8:$C$57, 0), (COLUMNS($DC24:DH24)-1)*5 + 1) = INDEX($E$5:$CE$5, 1, (COLUMNS($DC24:DH24)-1)*5 + 1), INDEX($E$8:$CE$57, MATCH($C24, $C$8:$C$57, 0), (COLUMNS($DC24:DH24)-1)*5 + 4) = "F"), INDEX($CZ$8:$CZ$23, COLUMNS($DC24:DH24)), "0"), "")</f>
        <v>0</v>
      </c>
      <c r="DI24" s="390" t="str">
        <f t="array" ref="DI24">IFERROR(IF(AND(INDEX($E$8:$CE$57, MATCH($C24, $C$8:$C$57, 0), (COLUMNS($DC24:DI24)-1)*5 + 1) = INDEX($E$5:$CE$5, 1, (COLUMNS($DC24:DI24)-1)*5 + 1), INDEX($E$8:$CE$57, MATCH($C24, $C$8:$C$57, 0), (COLUMNS($DC24:DI24)-1)*5 + 4) = "F"), INDEX($CZ$8:$CZ$23, COLUMNS($DC24:DI24)), "0"), "")</f>
        <v>0</v>
      </c>
      <c r="DJ24" s="390">
        <f t="array" ref="DJ24">IFERROR(IF(AND(INDEX($E$8:$CE$57, MATCH($C24, $C$8:$C$57, 0), (COLUMNS($DC24:DJ24)-1)*5 + 1) = INDEX($E$5:$CE$5, 1, (COLUMNS($DC24:DJ24)-1)*5 + 1), INDEX($E$8:$CE$57, MATCH($C24, $C$8:$C$57, 0), (COLUMNS($DC24:DJ24)-1)*5 + 4) = "F"), INDEX($CZ$8:$CZ$23, COLUMNS($DC24:DJ24)), "0"), "")</f>
        <v>128.36000000000001</v>
      </c>
      <c r="DK24" s="390" t="str">
        <f t="array" ref="DK24">IFERROR(IF(AND(INDEX($E$8:$CE$57, MATCH($C24, $C$8:$C$57, 0), (COLUMNS($DC24:DK24)-1)*5 + 1) = INDEX($E$5:$CE$5, 1, (COLUMNS($DC24:DK24)-1)*5 + 1), INDEX($E$8:$CE$57, MATCH($C24, $C$8:$C$57, 0), (COLUMNS($DC24:DK24)-1)*5 + 4) = "F"), INDEX($CZ$8:$CZ$23, COLUMNS($DC24:DK24)), "0"), "")</f>
        <v>0</v>
      </c>
      <c r="DL24" s="390" t="str">
        <f t="array" ref="DL24">IFERROR(IF(AND(INDEX($E$8:$CE$57, MATCH($C24, $C$8:$C$57, 0), (COLUMNS($DC24:DL24)-1)*5 + 1) = INDEX($E$5:$CE$5, 1, (COLUMNS($DC24:DL24)-1)*5 + 1), INDEX($E$8:$CE$57, MATCH($C24, $C$8:$C$57, 0), (COLUMNS($DC24:DL24)-1)*5 + 4) = "F"), INDEX($CZ$8:$CZ$23, COLUMNS($DC24:DL24)), "0"), "")</f>
        <v>0</v>
      </c>
      <c r="DM24" s="390">
        <f t="array" ref="DM24">IFERROR(IF(AND(INDEX($E$8:$CE$57, MATCH($C24, $C$8:$C$57, 0), (COLUMNS($DC24:DM24)-1)*5 + 1) = INDEX($E$5:$CE$5, 1, (COLUMNS($DC24:DM24)-1)*5 + 1), INDEX($E$8:$CE$57, MATCH($C24, $C$8:$C$57, 0), (COLUMNS($DC24:DM24)-1)*5 + 4) = "F"), INDEX($CZ$8:$CZ$23, COLUMNS($DC24:DM24)), "0"), "")</f>
        <v>156.87</v>
      </c>
      <c r="DN24" s="390" t="str">
        <f t="array" ref="DN24">IFERROR(IF(AND(INDEX($E$8:$CE$57, MATCH($C24, $C$8:$C$57, 0), (COLUMNS($DC24:DN24)-1)*5 + 1) = INDEX($E$5:$CE$5, 1, (COLUMNS($DC24:DN24)-1)*5 + 1), INDEX($E$8:$CE$57, MATCH($C24, $C$8:$C$57, 0), (COLUMNS($DC24:DN24)-1)*5 + 4) = "F"), INDEX($CZ$8:$CZ$23, COLUMNS($DC24:DN24)), "0"), "")</f>
        <v>0</v>
      </c>
      <c r="DO24" s="390" t="str">
        <f t="array" ref="DO24">IFERROR(IF(AND(INDEX($E$8:$CE$57, MATCH($C24, $C$8:$C$57, 0), (COLUMNS($DC24:DO24)-1)*5 + 1) = INDEX($E$5:$CE$5, 1, (COLUMNS($DC24:DO24)-1)*5 + 1), INDEX($E$8:$CE$57, MATCH($C24, $C$8:$C$57, 0), (COLUMNS($DC24:DO24)-1)*5 + 4) = "F"), INDEX($CZ$8:$CZ$23, COLUMNS($DC24:DO24)), "0"), "")</f>
        <v>0</v>
      </c>
      <c r="DP24" s="390" t="str">
        <f t="array" ref="DP24">IFERROR(IF(AND(INDEX($E$8:$CE$57, MATCH($C24, $C$8:$C$57, 0), (COLUMNS($DC24:DP24)-1)*5 + 1) = INDEX($E$5:$CE$5, 1, (COLUMNS($DC24:DP24)-1)*5 + 1), INDEX($E$8:$CE$57, MATCH($C24, $C$8:$C$57, 0), (COLUMNS($DC24:DP24)-1)*5 + 4) = "F"), INDEX($CZ$8:$CZ$23, COLUMNS($DC24:DP24)), "0"), "")</f>
        <v>0</v>
      </c>
      <c r="DQ24" s="390" t="str">
        <f t="array" ref="DQ24">IFERROR(IF(AND(INDEX($E$8:$CE$57, MATCH($C24, $C$8:$C$57, 0), (COLUMNS($DC24:DQ24)-1)*5 + 1) = INDEX($E$5:$CE$5, 1, (COLUMNS($DC24:DQ24)-1)*5 + 1), INDEX($E$8:$CE$57, MATCH($C24, $C$8:$C$57, 0), (COLUMNS($DC24:DQ24)-1)*5 + 4) = "F"), INDEX($CZ$8:$CZ$23, COLUMNS($DC24:DQ24)), "0"), "")</f>
        <v>0</v>
      </c>
      <c r="DR24" s="390" t="str">
        <f t="array" ref="DR24">IFERROR(IF(AND(INDEX($E$8:$CE$57, MATCH($C24, $C$8:$C$57, 0), (COLUMNS($DC24:DR24)-1)*5 + 1) = INDEX($E$5:$CE$5, 1, (COLUMNS($DC24:DR24)-1)*5 + 1), INDEX($E$8:$CE$57, MATCH($C24, $C$8:$C$57, 0), (COLUMNS($DC24:DR24)-1)*5 + 4) = "F"), INDEX($CZ$8:$CZ$23, COLUMNS($DC24:DR24)), "0"), "")</f>
        <v>0</v>
      </c>
      <c r="DT24" s="537" t="str">
        <f>SEMANA2[[#This Row],[COD]]</f>
        <v>COD 17</v>
      </c>
      <c r="DU24" s="390" t="str">
        <f t="array" ref="DU24">IFERROR(IF(AND(INDEX($E$8:$CE$57, MATCH($C24, $C$8:$C$57, 0), (COLUMNS($DU24:DU24)-1)*5 + 1) = INDEX($E$5:$CE$5, 1, (COLUMNS($DU24:DU24)-1)*5 + 1), INDEX($E$8:$CE$57, MATCH($C24, $C$8:$C$57, 0), (COLUMNS($DU24:DU24)-1)*5 + 4) = "SF"), INDEX($CZ$8:$CZ$23, COLUMNS($DU24:DU24)), "0"), "")</f>
        <v>0</v>
      </c>
      <c r="DV24" s="390" t="str">
        <f t="array" ref="DV24">IFERROR(IF(AND(INDEX($E$8:$CE$57, MATCH($C24, $C$8:$C$57, 0), (COLUMNS($DU24:DV24)-1)*5 + 1) = INDEX($E$5:$CE$5, 1, (COLUMNS($DU24:DV24)-1)*5 + 1), INDEX($E$8:$CE$57, MATCH($C24, $C$8:$C$57, 0), (COLUMNS($DU24:DV24)-1)*5 + 4) = "SF"), INDEX($CZ$8:$CZ$23, COLUMNS($DU24:DV24)), "0"), "")</f>
        <v>0</v>
      </c>
      <c r="DW24" s="390" t="str">
        <f t="array" ref="DW24">IFERROR(IF(AND(INDEX($E$8:$CE$57, MATCH($C24, $C$8:$C$57, 0), (COLUMNS($DU24:DW24)-1)*5 + 1) = INDEX($E$5:$CE$5, 1, (COLUMNS($DU24:DW24)-1)*5 + 1), INDEX($E$8:$CE$57, MATCH($C24, $C$8:$C$57, 0), (COLUMNS($DU24:DW24)-1)*5 + 4) = "SF"), INDEX($CZ$8:$CZ$23, COLUMNS($DU24:DW24)), "0"), "")</f>
        <v>0</v>
      </c>
      <c r="DX24" s="390" t="str">
        <f t="array" ref="DX24">IFERROR(IF(AND(INDEX($E$8:$CE$57, MATCH($C24, $C$8:$C$57, 0), (COLUMNS($DU24:DX24)-1)*5 + 1) = INDEX($E$5:$CE$5, 1, (COLUMNS($DU24:DX24)-1)*5 + 1), INDEX($E$8:$CE$57, MATCH($C24, $C$8:$C$57, 0), (COLUMNS($DU24:DX24)-1)*5 + 4) = "SF"), INDEX($CZ$8:$CZ$23, COLUMNS($DU24:DX24)), "0"), "")</f>
        <v>0</v>
      </c>
      <c r="DY24" s="390" t="str">
        <f t="array" ref="DY24">IFERROR(IF(AND(INDEX($E$8:$CE$57, MATCH($C24, $C$8:$C$57, 0), (COLUMNS($DU24:DY24)-1)*5 + 1) = INDEX($E$5:$CE$5, 1, (COLUMNS($DU24:DY24)-1)*5 + 1), INDEX($E$8:$CE$57, MATCH($C24, $C$8:$C$57, 0), (COLUMNS($DU24:DY24)-1)*5 + 4) = "SF"), INDEX($CZ$8:$CZ$23, COLUMNS($DU24:DY24)), "0"), "")</f>
        <v>0</v>
      </c>
      <c r="DZ24" s="390" t="str">
        <f t="array" ref="DZ24">IFERROR(IF(AND(INDEX($E$8:$CE$57, MATCH($C24, $C$8:$C$57, 0), (COLUMNS($DU24:DZ24)-1)*5 + 1) = INDEX($E$5:$CE$5, 1, (COLUMNS($DU24:DZ24)-1)*5 + 1), INDEX($E$8:$CE$57, MATCH($C24, $C$8:$C$57, 0), (COLUMNS($DU24:DZ24)-1)*5 + 4) = "SF"), INDEX($CZ$8:$CZ$23, COLUMNS($DU24:DZ24)), "0"), "")</f>
        <v>0</v>
      </c>
      <c r="EA24" s="390" t="str">
        <f t="array" ref="EA24">IFERROR(IF(AND(INDEX($E$8:$CE$57, MATCH($C24, $C$8:$C$57, 0), (COLUMNS($DU24:EA24)-1)*5 + 1) = INDEX($E$5:$CE$5, 1, (COLUMNS($DU24:EA24)-1)*5 + 1), INDEX($E$8:$CE$57, MATCH($C24, $C$8:$C$57, 0), (COLUMNS($DU24:EA24)-1)*5 + 4) = "SF"), INDEX($CZ$8:$CZ$23, COLUMNS($DU24:EA24)), "0"), "")</f>
        <v>0</v>
      </c>
      <c r="EB24" s="390" t="str">
        <f t="array" ref="EB24">IFERROR(IF(AND(INDEX($E$8:$CE$57, MATCH($C24, $C$8:$C$57, 0), (COLUMNS($DU24:EB24)-1)*5 + 1) = INDEX($E$5:$CE$5, 1, (COLUMNS($DU24:EB24)-1)*5 + 1), INDEX($E$8:$CE$57, MATCH($C24, $C$8:$C$57, 0), (COLUMNS($DU24:EB24)-1)*5 + 4) = "SF"), INDEX($CZ$8:$CZ$23, COLUMNS($DU24:EB24)), "0"), "")</f>
        <v>0</v>
      </c>
      <c r="EC24" s="390" t="str">
        <f t="array" ref="EC24">IFERROR(IF(AND(INDEX($E$8:$CE$57, MATCH($C24, $C$8:$C$57, 0), (COLUMNS($DU24:EC24)-1)*5 + 1) = INDEX($E$5:$CE$5, 1, (COLUMNS($DU24:EC24)-1)*5 + 1), INDEX($E$8:$CE$57, MATCH($C24, $C$8:$C$57, 0), (COLUMNS($DU24:EC24)-1)*5 + 4) = "SF"), INDEX($CZ$8:$CZ$23, COLUMNS($DU24:EC24)), "0"), "")</f>
        <v>0</v>
      </c>
      <c r="ED24" s="390" t="str">
        <f t="array" ref="ED24">IFERROR(IF(AND(INDEX($E$8:$CE$57, MATCH($C24, $C$8:$C$57, 0), (COLUMNS($DU24:ED24)-1)*5 + 1) = INDEX($E$5:$CE$5, 1, (COLUMNS($DU24:ED24)-1)*5 + 1), INDEX($E$8:$CE$57, MATCH($C24, $C$8:$C$57, 0), (COLUMNS($DU24:ED24)-1)*5 + 4) = "SF"), INDEX($CZ$8:$CZ$23, COLUMNS($DU24:ED24)), "0"), "")</f>
        <v>0</v>
      </c>
      <c r="EE24" s="390" t="str">
        <f t="array" ref="EE24">IFERROR(IF(AND(INDEX($E$8:$CE$57, MATCH($C24, $C$8:$C$57, 0), (COLUMNS($DU24:EE24)-1)*5 + 1) = INDEX($E$5:$CE$5, 1, (COLUMNS($DU24:EE24)-1)*5 + 1), INDEX($E$8:$CE$57, MATCH($C24, $C$8:$C$57, 0), (COLUMNS($DU24:EE24)-1)*5 + 4) = "SF"), INDEX($CZ$8:$CZ$23, COLUMNS($DU24:EE24)), "0"), "")</f>
        <v>0</v>
      </c>
      <c r="EF24" s="390" t="str">
        <f t="array" ref="EF24">IFERROR(IF(AND(INDEX($E$8:$CE$57, MATCH($C24, $C$8:$C$57, 0), (COLUMNS($DU24:EF24)-1)*5 + 1) = INDEX($E$5:$CE$5, 1, (COLUMNS($DU24:EF24)-1)*5 + 1), INDEX($E$8:$CE$57, MATCH($C24, $C$8:$C$57, 0), (COLUMNS($DU24:EF24)-1)*5 + 4) = "SF"), INDEX($CZ$8:$CZ$23, COLUMNS($DU24:EF24)), "0"), "")</f>
        <v>0</v>
      </c>
      <c r="EG24" s="390" t="str">
        <f t="array" ref="EG24">IFERROR(IF(AND(INDEX($E$8:$CE$57, MATCH($C24, $C$8:$C$57, 0), (COLUMNS($DU24:EG24)-1)*5 + 1) = INDEX($E$5:$CE$5, 1, (COLUMNS($DU24:EG24)-1)*5 + 1), INDEX($E$8:$CE$57, MATCH($C24, $C$8:$C$57, 0), (COLUMNS($DU24:EG24)-1)*5 + 4) = "SF"), INDEX($CZ$8:$CZ$23, COLUMNS($DU24:EG24)), "0"), "")</f>
        <v>0</v>
      </c>
      <c r="EH24" s="390" t="str">
        <f t="array" ref="EH24">IFERROR(IF(AND(INDEX($E$8:$CE$57, MATCH($C24, $C$8:$C$57, 0), (COLUMNS($DU24:EH24)-1)*5 + 1) = INDEX($E$5:$CE$5, 1, (COLUMNS($DU24:EH24)-1)*5 + 1), INDEX($E$8:$CE$57, MATCH($C24, $C$8:$C$57, 0), (COLUMNS($DU24:EH24)-1)*5 + 4) = "SF"), INDEX($CZ$8:$CZ$23, COLUMNS($DU24:EH24)), "0"), "")</f>
        <v>0</v>
      </c>
      <c r="EI24" s="390" t="str">
        <f t="array" ref="EI24">IFERROR(IF(AND(INDEX($E$8:$CE$57, MATCH($C24, $C$8:$C$57, 0), (COLUMNS($DU24:EI24)-1)*5 + 1) = INDEX($E$5:$CE$5, 1, (COLUMNS($DU24:EI24)-1)*5 + 1), INDEX($E$8:$CE$57, MATCH($C24, $C$8:$C$57, 0), (COLUMNS($DU24:EI24)-1)*5 + 4) = "SF"), INDEX($CZ$8:$CZ$23, COLUMNS($DU24:EI24)), "0"), "")</f>
        <v>0</v>
      </c>
      <c r="EJ24" s="390" t="str">
        <f t="array" ref="EJ24">IFERROR(IF(AND(INDEX($E$8:$CE$57, MATCH($C24, $C$8:$C$57, 0), (COLUMNS($DU24:EJ24)-1)*5 + 1) = INDEX($E$5:$CE$5, 1, (COLUMNS($DU24:EJ24)-1)*5 + 1), INDEX($E$8:$CE$57, MATCH($C24, $C$8:$C$57, 0), (COLUMNS($DU24:EJ24)-1)*5 + 4) = "SF"), INDEX($CZ$8:$CZ$23, COLUMNS($DU24:EJ24)), "0"), "")</f>
        <v>0</v>
      </c>
    </row>
    <row r="25" spans="1:140" ht="20.100000000000001" customHeight="1" x14ac:dyDescent="0.35">
      <c r="A25" s="515"/>
      <c r="B25" s="444">
        <f>IF(SEMANA2[[#This Row],[COD]]&lt;&gt;"",B24+1,"")</f>
        <v>18</v>
      </c>
      <c r="C25" s="554" t="s">
        <v>66</v>
      </c>
      <c r="D25" s="410" t="str">
        <f t="array" ref="D25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PAGO PENDIENTE</v>
      </c>
      <c r="E25" s="411">
        <v>9</v>
      </c>
      <c r="F25" s="413">
        <v>2</v>
      </c>
      <c r="G25" s="413">
        <v>4</v>
      </c>
      <c r="H25" s="413"/>
      <c r="I25" s="534">
        <f t="shared" si="0"/>
        <v>0</v>
      </c>
      <c r="J25" s="411">
        <v>1</v>
      </c>
      <c r="K25" s="413">
        <v>4</v>
      </c>
      <c r="L25" s="413">
        <v>7</v>
      </c>
      <c r="M25" s="413"/>
      <c r="N25" s="534">
        <f t="shared" si="1"/>
        <v>1</v>
      </c>
      <c r="O25" s="411">
        <v>5</v>
      </c>
      <c r="P25" s="413">
        <v>1</v>
      </c>
      <c r="Q25" s="413">
        <v>3</v>
      </c>
      <c r="R25" s="413"/>
      <c r="S25" s="534">
        <f t="shared" si="2"/>
        <v>2</v>
      </c>
      <c r="T25" s="411">
        <v>5</v>
      </c>
      <c r="U25" s="413">
        <v>3</v>
      </c>
      <c r="V25" s="413">
        <v>4</v>
      </c>
      <c r="W25" s="413"/>
      <c r="X25" s="534">
        <f t="shared" si="3"/>
        <v>0</v>
      </c>
      <c r="Y25" s="411">
        <v>2</v>
      </c>
      <c r="Z25" s="413">
        <v>7</v>
      </c>
      <c r="AA25" s="413">
        <v>1</v>
      </c>
      <c r="AB25" s="413"/>
      <c r="AC25" s="534">
        <f t="shared" si="4"/>
        <v>4</v>
      </c>
      <c r="AD25" s="411">
        <v>5</v>
      </c>
      <c r="AE25" s="413">
        <v>10</v>
      </c>
      <c r="AF25" s="413">
        <v>7</v>
      </c>
      <c r="AG25" s="413"/>
      <c r="AH25" s="534">
        <f t="shared" si="5"/>
        <v>2</v>
      </c>
      <c r="AI25" s="411">
        <v>7</v>
      </c>
      <c r="AJ25" s="413">
        <v>6</v>
      </c>
      <c r="AK25" s="413">
        <v>4</v>
      </c>
      <c r="AL25" s="413" t="s">
        <v>254</v>
      </c>
      <c r="AM25" s="534">
        <f t="shared" si="6"/>
        <v>0</v>
      </c>
      <c r="AN25" s="411">
        <v>8</v>
      </c>
      <c r="AO25" s="413"/>
      <c r="AP25" s="413"/>
      <c r="AQ25" s="413" t="s">
        <v>255</v>
      </c>
      <c r="AR25" s="534">
        <f t="shared" si="7"/>
        <v>7.5</v>
      </c>
      <c r="AS25" s="411">
        <v>10</v>
      </c>
      <c r="AT25" s="413">
        <v>2</v>
      </c>
      <c r="AU25" s="413">
        <v>1</v>
      </c>
      <c r="AV25" s="413"/>
      <c r="AW25" s="534">
        <f t="shared" si="8"/>
        <v>2</v>
      </c>
      <c r="AX25" s="411">
        <v>10</v>
      </c>
      <c r="AY25" s="413">
        <v>1</v>
      </c>
      <c r="AZ25" s="413">
        <v>6</v>
      </c>
      <c r="BA25" s="413"/>
      <c r="BB25" s="534">
        <f t="shared" si="9"/>
        <v>0</v>
      </c>
      <c r="BC25" s="411">
        <v>7</v>
      </c>
      <c r="BD25" s="413">
        <v>3</v>
      </c>
      <c r="BE25" s="413">
        <v>6</v>
      </c>
      <c r="BF25" s="413"/>
      <c r="BG25" s="534">
        <f t="shared" si="10"/>
        <v>4</v>
      </c>
      <c r="BH25" s="411">
        <v>6</v>
      </c>
      <c r="BI25" s="413">
        <v>7</v>
      </c>
      <c r="BJ25" s="413">
        <v>8</v>
      </c>
      <c r="BK25" s="413" t="s">
        <v>254</v>
      </c>
      <c r="BL25" s="534">
        <f t="shared" si="11"/>
        <v>5</v>
      </c>
      <c r="BM25" s="411">
        <v>9</v>
      </c>
      <c r="BN25" s="413">
        <v>4</v>
      </c>
      <c r="BO25" s="413">
        <v>5</v>
      </c>
      <c r="BP25" s="413"/>
      <c r="BQ25" s="534">
        <f t="shared" si="12"/>
        <v>2</v>
      </c>
      <c r="BR25" s="411">
        <v>9</v>
      </c>
      <c r="BS25" s="413">
        <v>5</v>
      </c>
      <c r="BT25" s="413">
        <v>11</v>
      </c>
      <c r="BU25" s="413"/>
      <c r="BV25" s="534">
        <f t="shared" si="13"/>
        <v>0</v>
      </c>
      <c r="BW25" s="411"/>
      <c r="BX25" s="413"/>
      <c r="BY25" s="413"/>
      <c r="BZ25" s="413"/>
      <c r="CA25" s="534">
        <f t="shared" si="14"/>
        <v>0</v>
      </c>
      <c r="CB25" s="411"/>
      <c r="CC25" s="413"/>
      <c r="CD25" s="413"/>
      <c r="CE25" s="413"/>
      <c r="CF25" s="534">
        <f t="shared" si="15"/>
        <v>0</v>
      </c>
      <c r="CG25" s="162">
        <f>IF(SEMANA2[[#This Row],[1]]="",0,$B$4)</f>
        <v>14</v>
      </c>
      <c r="CH25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4</v>
      </c>
      <c r="CI25" s="164">
        <f>IF(SEMANA2[[#This Row],[Columna14]]=0,0,(CH25/CG25))</f>
        <v>0.2857142857142857</v>
      </c>
      <c r="CJ25" s="163">
        <f>IF(SEMANA2[[#This Row],[1]]="",0,$B$4)</f>
        <v>14</v>
      </c>
      <c r="CK25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25" s="164">
        <f>IF(SEMANA2[[#This Row],[Columna14]]=0,0,(CK25/CJ25))</f>
        <v>0.42857142857142855</v>
      </c>
      <c r="CM25" s="162">
        <f>IF(SEMANA2[[#This Row],[1]]="",0,$B$4)</f>
        <v>14</v>
      </c>
      <c r="CN25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9</v>
      </c>
      <c r="CO25" s="164">
        <f>IF(SEMANA2[[#This Row],[Columna14]]=0,0,(CN25/CM25))</f>
        <v>0.6428571428571429</v>
      </c>
      <c r="CP25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25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Row],[Columna25]],$AX$5,BA25,"SF")+COUNTIFS(SEMANA2[[#This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25" s="164">
        <f>IFERROR(IF(SEMANA2[[#This Row],[Columna14]]=0,0,(CQ25/CP25)),0)</f>
        <v>0.66666666666666663</v>
      </c>
      <c r="CS25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29.5</v>
      </c>
      <c r="CT25" s="93">
        <f>_xlfn.XLOOKUP(SEMANA2[[#This Row],[COD]],BASE01[COD],BASE01[Columna33])</f>
        <v>29</v>
      </c>
      <c r="CU25" s="536">
        <f t="shared" si="16"/>
        <v>58.5</v>
      </c>
      <c r="CV25" s="445" t="str">
        <f>IF(SEMANA2[[#This Row],[TIPO]]="PREMIO",$O$3,"0,00")</f>
        <v>0,00</v>
      </c>
      <c r="CW25" s="515"/>
      <c r="CY25" s="388" t="s">
        <v>252</v>
      </c>
      <c r="CZ25" s="388">
        <f>_xlfn.XLOOKUP(CZ24,DIV_GAN_SEM_2[DIVIDENDO],DIV_GAN_SEM_2[CARRERA],"")</f>
        <v>7</v>
      </c>
      <c r="DA25" s="387">
        <f t="array" ref="DA25">INDEX(E5:CB5, 1, ($CZ$25-1)*5 + 1)</f>
        <v>9</v>
      </c>
      <c r="DB25" s="537" t="str">
        <f>SEMANA2[[#This Row],[COD]]</f>
        <v>COD 18</v>
      </c>
      <c r="DC25" s="390" t="str">
        <f t="array" ref="DC25">IFERROR(IF(AND(INDEX($E$8:$CE$57, MATCH($C25, $C$8:$C$57, 0), (COLUMNS($DC25:DC25)-1)*5 + 1) = INDEX($E$5:$CE$5, 1, (COLUMNS($DC25:DC25)-1)*5 + 1), INDEX($E$8:$CE$57, MATCH($C25, $C$8:$C$57, 0), (COLUMNS($DC25:DC25)-1)*5 + 4) = "F"), INDEX($CZ$8:$CZ$23, COLUMNS($DC25:DC25)), "0"), "")</f>
        <v>0</v>
      </c>
      <c r="DD25" s="390" t="str">
        <f t="array" ref="DD25">IFERROR(IF(AND(INDEX($E$8:$CE$57, MATCH($C25, $C$8:$C$57, 0), (COLUMNS($DC25:DD25)-1)*5 + 1) = INDEX($E$5:$CE$5, 1, (COLUMNS($DC25:DD25)-1)*5 + 1), INDEX($E$8:$CE$57, MATCH($C25, $C$8:$C$57, 0), (COLUMNS($DC25:DD25)-1)*5 + 4) = "F"), INDEX($CZ$8:$CZ$23, COLUMNS($DC25:DD25)), "0"), "")</f>
        <v>0</v>
      </c>
      <c r="DE25" s="390" t="str">
        <f t="array" ref="DE25">IFERROR(IF(AND(INDEX($E$8:$CE$57, MATCH($C25, $C$8:$C$57, 0), (COLUMNS($DC25:DE25)-1)*5 + 1) = INDEX($E$5:$CE$5, 1, (COLUMNS($DC25:DE25)-1)*5 + 1), INDEX($E$8:$CE$57, MATCH($C25, $C$8:$C$57, 0), (COLUMNS($DC25:DE25)-1)*5 + 4) = "F"), INDEX($CZ$8:$CZ$23, COLUMNS($DC25:DE25)), "0"), "")</f>
        <v>0</v>
      </c>
      <c r="DF25" s="390" t="str">
        <f t="array" ref="DF25">IFERROR(IF(AND(INDEX($E$8:$CE$57, MATCH($C25, $C$8:$C$57, 0), (COLUMNS($DC25:DF25)-1)*5 + 1) = INDEX($E$5:$CE$5, 1, (COLUMNS($DC25:DF25)-1)*5 + 1), INDEX($E$8:$CE$57, MATCH($C25, $C$8:$C$57, 0), (COLUMNS($DC25:DF25)-1)*5 + 4) = "F"), INDEX($CZ$8:$CZ$23, COLUMNS($DC25:DF25)), "0"), "")</f>
        <v>0</v>
      </c>
      <c r="DG25" s="390" t="str">
        <f t="array" ref="DG25">IFERROR(IF(AND(INDEX($E$8:$CE$57, MATCH($C25, $C$8:$C$57, 0), (COLUMNS($DC25:DG25)-1)*5 + 1) = INDEX($E$5:$CE$5, 1, (COLUMNS($DC25:DG25)-1)*5 + 1), INDEX($E$8:$CE$57, MATCH($C25, $C$8:$C$57, 0), (COLUMNS($DC25:DG25)-1)*5 + 4) = "F"), INDEX($CZ$8:$CZ$23, COLUMNS($DC25:DG25)), "0"), "")</f>
        <v>0</v>
      </c>
      <c r="DH25" s="390" t="str">
        <f t="array" ref="DH25">IFERROR(IF(AND(INDEX($E$8:$CE$57, MATCH($C25, $C$8:$C$57, 0), (COLUMNS($DC25:DH25)-1)*5 + 1) = INDEX($E$5:$CE$5, 1, (COLUMNS($DC25:DH25)-1)*5 + 1), INDEX($E$8:$CE$57, MATCH($C25, $C$8:$C$57, 0), (COLUMNS($DC25:DH25)-1)*5 + 4) = "F"), INDEX($CZ$8:$CZ$23, COLUMNS($DC25:DH25)), "0"), "")</f>
        <v>0</v>
      </c>
      <c r="DI25" s="390" t="str">
        <f t="array" ref="DI25">IFERROR(IF(AND(INDEX($E$8:$CE$57, MATCH($C25, $C$8:$C$57, 0), (COLUMNS($DC25:DI25)-1)*5 + 1) = INDEX($E$5:$CE$5, 1, (COLUMNS($DC25:DI25)-1)*5 + 1), INDEX($E$8:$CE$57, MATCH($C25, $C$8:$C$57, 0), (COLUMNS($DC25:DI25)-1)*5 + 4) = "F"), INDEX($CZ$8:$CZ$23, COLUMNS($DC25:DI25)), "0"), "")</f>
        <v>0</v>
      </c>
      <c r="DJ25" s="390" t="str">
        <f t="array" ref="DJ25">IFERROR(IF(AND(INDEX($E$8:$CE$57, MATCH($C25, $C$8:$C$57, 0), (COLUMNS($DC25:DJ25)-1)*5 + 1) = INDEX($E$5:$CE$5, 1, (COLUMNS($DC25:DJ25)-1)*5 + 1), INDEX($E$8:$CE$57, MATCH($C25, $C$8:$C$57, 0), (COLUMNS($DC25:DJ25)-1)*5 + 4) = "F"), INDEX($CZ$8:$CZ$23, COLUMNS($DC25:DJ25)), "0"), "")</f>
        <v>0</v>
      </c>
      <c r="DK25" s="390" t="str">
        <f t="array" ref="DK25">IFERROR(IF(AND(INDEX($E$8:$CE$57, MATCH($C25, $C$8:$C$57, 0), (COLUMNS($DC25:DK25)-1)*5 + 1) = INDEX($E$5:$CE$5, 1, (COLUMNS($DC25:DK25)-1)*5 + 1), INDEX($E$8:$CE$57, MATCH($C25, $C$8:$C$57, 0), (COLUMNS($DC25:DK25)-1)*5 + 4) = "F"), INDEX($CZ$8:$CZ$23, COLUMNS($DC25:DK25)), "0"), "")</f>
        <v>0</v>
      </c>
      <c r="DL25" s="390" t="str">
        <f t="array" ref="DL25">IFERROR(IF(AND(INDEX($E$8:$CE$57, MATCH($C25, $C$8:$C$57, 0), (COLUMNS($DC25:DL25)-1)*5 + 1) = INDEX($E$5:$CE$5, 1, (COLUMNS($DC25:DL25)-1)*5 + 1), INDEX($E$8:$CE$57, MATCH($C25, $C$8:$C$57, 0), (COLUMNS($DC25:DL25)-1)*5 + 4) = "F"), INDEX($CZ$8:$CZ$23, COLUMNS($DC25:DL25)), "0"), "")</f>
        <v>0</v>
      </c>
      <c r="DM25" s="390" t="str">
        <f t="array" ref="DM25">IFERROR(IF(AND(INDEX($E$8:$CE$57, MATCH($C25, $C$8:$C$57, 0), (COLUMNS($DC25:DM25)-1)*5 + 1) = INDEX($E$5:$CE$5, 1, (COLUMNS($DC25:DM25)-1)*5 + 1), INDEX($E$8:$CE$57, MATCH($C25, $C$8:$C$57, 0), (COLUMNS($DC25:DM25)-1)*5 + 4) = "F"), INDEX($CZ$8:$CZ$23, COLUMNS($DC25:DM25)), "0"), "")</f>
        <v>0</v>
      </c>
      <c r="DN25" s="390">
        <f t="array" ref="DN25">IFERROR(IF(AND(INDEX($E$8:$CE$57, MATCH($C25, $C$8:$C$57, 0), (COLUMNS($DC25:DN25)-1)*5 + 1) = INDEX($E$5:$CE$5, 1, (COLUMNS($DC25:DN25)-1)*5 + 1), INDEX($E$8:$CE$57, MATCH($C25, $C$8:$C$57, 0), (COLUMNS($DC25:DN25)-1)*5 + 4) = "F"), INDEX($CZ$8:$CZ$23, COLUMNS($DC25:DN25)), "0"), "")</f>
        <v>177.86</v>
      </c>
      <c r="DO25" s="390" t="str">
        <f t="array" ref="DO25">IFERROR(IF(AND(INDEX($E$8:$CE$57, MATCH($C25, $C$8:$C$57, 0), (COLUMNS($DC25:DO25)-1)*5 + 1) = INDEX($E$5:$CE$5, 1, (COLUMNS($DC25:DO25)-1)*5 + 1), INDEX($E$8:$CE$57, MATCH($C25, $C$8:$C$57, 0), (COLUMNS($DC25:DO25)-1)*5 + 4) = "F"), INDEX($CZ$8:$CZ$23, COLUMNS($DC25:DO25)), "0"), "")</f>
        <v>0</v>
      </c>
      <c r="DP25" s="390" t="str">
        <f t="array" ref="DP25">IFERROR(IF(AND(INDEX($E$8:$CE$57, MATCH($C25, $C$8:$C$57, 0), (COLUMNS($DC25:DP25)-1)*5 + 1) = INDEX($E$5:$CE$5, 1, (COLUMNS($DC25:DP25)-1)*5 + 1), INDEX($E$8:$CE$57, MATCH($C25, $C$8:$C$57, 0), (COLUMNS($DC25:DP25)-1)*5 + 4) = "F"), INDEX($CZ$8:$CZ$23, COLUMNS($DC25:DP25)), "0"), "")</f>
        <v>0</v>
      </c>
      <c r="DQ25" s="390" t="str">
        <f t="array" ref="DQ25">IFERROR(IF(AND(INDEX($E$8:$CE$57, MATCH($C25, $C$8:$C$57, 0), (COLUMNS($DC25:DQ25)-1)*5 + 1) = INDEX($E$5:$CE$5, 1, (COLUMNS($DC25:DQ25)-1)*5 + 1), INDEX($E$8:$CE$57, MATCH($C25, $C$8:$C$57, 0), (COLUMNS($DC25:DQ25)-1)*5 + 4) = "F"), INDEX($CZ$8:$CZ$23, COLUMNS($DC25:DQ25)), "0"), "")</f>
        <v>0</v>
      </c>
      <c r="DR25" s="390" t="str">
        <f t="array" ref="DR25">IFERROR(IF(AND(INDEX($E$8:$CE$57, MATCH($C25, $C$8:$C$57, 0), (COLUMNS($DC25:DR25)-1)*5 + 1) = INDEX($E$5:$CE$5, 1, (COLUMNS($DC25:DR25)-1)*5 + 1), INDEX($E$8:$CE$57, MATCH($C25, $C$8:$C$57, 0), (COLUMNS($DC25:DR25)-1)*5 + 4) = "F"), INDEX($CZ$8:$CZ$23, COLUMNS($DC25:DR25)), "0"), "")</f>
        <v>0</v>
      </c>
      <c r="DT25" s="537" t="str">
        <f>SEMANA2[[#This Row],[COD]]</f>
        <v>COD 18</v>
      </c>
      <c r="DU25" s="390" t="str">
        <f t="array" ref="DU25">IFERROR(IF(AND(INDEX($E$8:$CE$57, MATCH($C25, $C$8:$C$57, 0), (COLUMNS($DU25:DU25)-1)*5 + 1) = INDEX($E$5:$CE$5, 1, (COLUMNS($DU25:DU25)-1)*5 + 1), INDEX($E$8:$CE$57, MATCH($C25, $C$8:$C$57, 0), (COLUMNS($DU25:DU25)-1)*5 + 4) = "SF"), INDEX($CZ$8:$CZ$23, COLUMNS($DU25:DU25)), "0"), "")</f>
        <v>0</v>
      </c>
      <c r="DV25" s="390" t="str">
        <f t="array" ref="DV25">IFERROR(IF(AND(INDEX($E$8:$CE$57, MATCH($C25, $C$8:$C$57, 0), (COLUMNS($DU25:DV25)-1)*5 + 1) = INDEX($E$5:$CE$5, 1, (COLUMNS($DU25:DV25)-1)*5 + 1), INDEX($E$8:$CE$57, MATCH($C25, $C$8:$C$57, 0), (COLUMNS($DU25:DV25)-1)*5 + 4) = "SF"), INDEX($CZ$8:$CZ$23, COLUMNS($DU25:DV25)), "0"), "")</f>
        <v>0</v>
      </c>
      <c r="DW25" s="390" t="str">
        <f t="array" ref="DW25">IFERROR(IF(AND(INDEX($E$8:$CE$57, MATCH($C25, $C$8:$C$57, 0), (COLUMNS($DU25:DW25)-1)*5 + 1) = INDEX($E$5:$CE$5, 1, (COLUMNS($DU25:DW25)-1)*5 + 1), INDEX($E$8:$CE$57, MATCH($C25, $C$8:$C$57, 0), (COLUMNS($DU25:DW25)-1)*5 + 4) = "SF"), INDEX($CZ$8:$CZ$23, COLUMNS($DU25:DW25)), "0"), "")</f>
        <v>0</v>
      </c>
      <c r="DX25" s="390" t="str">
        <f t="array" ref="DX25">IFERROR(IF(AND(INDEX($E$8:$CE$57, MATCH($C25, $C$8:$C$57, 0), (COLUMNS($DU25:DX25)-1)*5 + 1) = INDEX($E$5:$CE$5, 1, (COLUMNS($DU25:DX25)-1)*5 + 1), INDEX($E$8:$CE$57, MATCH($C25, $C$8:$C$57, 0), (COLUMNS($DU25:DX25)-1)*5 + 4) = "SF"), INDEX($CZ$8:$CZ$23, COLUMNS($DU25:DX25)), "0"), "")</f>
        <v>0</v>
      </c>
      <c r="DY25" s="390" t="str">
        <f t="array" ref="DY25">IFERROR(IF(AND(INDEX($E$8:$CE$57, MATCH($C25, $C$8:$C$57, 0), (COLUMNS($DU25:DY25)-1)*5 + 1) = INDEX($E$5:$CE$5, 1, (COLUMNS($DU25:DY25)-1)*5 + 1), INDEX($E$8:$CE$57, MATCH($C25, $C$8:$C$57, 0), (COLUMNS($DU25:DY25)-1)*5 + 4) = "SF"), INDEX($CZ$8:$CZ$23, COLUMNS($DU25:DY25)), "0"), "")</f>
        <v>0</v>
      </c>
      <c r="DZ25" s="390" t="str">
        <f t="array" ref="DZ25">IFERROR(IF(AND(INDEX($E$8:$CE$57, MATCH($C25, $C$8:$C$57, 0), (COLUMNS($DU25:DZ25)-1)*5 + 1) = INDEX($E$5:$CE$5, 1, (COLUMNS($DU25:DZ25)-1)*5 + 1), INDEX($E$8:$CE$57, MATCH($C25, $C$8:$C$57, 0), (COLUMNS($DU25:DZ25)-1)*5 + 4) = "SF"), INDEX($CZ$8:$CZ$23, COLUMNS($DU25:DZ25)), "0"), "")</f>
        <v>0</v>
      </c>
      <c r="EA25" s="390" t="str">
        <f t="array" ref="EA25">IFERROR(IF(AND(INDEX($E$8:$CE$57, MATCH($C25, $C$8:$C$57, 0), (COLUMNS($DU25:EA25)-1)*5 + 1) = INDEX($E$5:$CE$5, 1, (COLUMNS($DU25:EA25)-1)*5 + 1), INDEX($E$8:$CE$57, MATCH($C25, $C$8:$C$57, 0), (COLUMNS($DU25:EA25)-1)*5 + 4) = "SF"), INDEX($CZ$8:$CZ$23, COLUMNS($DU25:EA25)), "0"), "")</f>
        <v>0</v>
      </c>
      <c r="EB25" s="390">
        <f t="array" ref="EB25">IFERROR(IF(AND(INDEX($E$8:$CE$57, MATCH($C25, $C$8:$C$57, 0), (COLUMNS($DU25:EB25)-1)*5 + 1) = INDEX($E$5:$CE$5, 1, (COLUMNS($DU25:EB25)-1)*5 + 1), INDEX($E$8:$CE$57, MATCH($C25, $C$8:$C$57, 0), (COLUMNS($DU25:EB25)-1)*5 + 4) = "SF"), INDEX($CZ$8:$CZ$23, COLUMNS($DU25:EB25)), "0"), "")</f>
        <v>128.36000000000001</v>
      </c>
      <c r="EC25" s="390" t="str">
        <f t="array" ref="EC25">IFERROR(IF(AND(INDEX($E$8:$CE$57, MATCH($C25, $C$8:$C$57, 0), (COLUMNS($DU25:EC25)-1)*5 + 1) = INDEX($E$5:$CE$5, 1, (COLUMNS($DU25:EC25)-1)*5 + 1), INDEX($E$8:$CE$57, MATCH($C25, $C$8:$C$57, 0), (COLUMNS($DU25:EC25)-1)*5 + 4) = "SF"), INDEX($CZ$8:$CZ$23, COLUMNS($DU25:EC25)), "0"), "")</f>
        <v>0</v>
      </c>
      <c r="ED25" s="390" t="str">
        <f t="array" ref="ED25">IFERROR(IF(AND(INDEX($E$8:$CE$57, MATCH($C25, $C$8:$C$57, 0), (COLUMNS($DU25:ED25)-1)*5 + 1) = INDEX($E$5:$CE$5, 1, (COLUMNS($DU25:ED25)-1)*5 + 1), INDEX($E$8:$CE$57, MATCH($C25, $C$8:$C$57, 0), (COLUMNS($DU25:ED25)-1)*5 + 4) = "SF"), INDEX($CZ$8:$CZ$23, COLUMNS($DU25:ED25)), "0"), "")</f>
        <v>0</v>
      </c>
      <c r="EE25" s="390" t="str">
        <f t="array" ref="EE25">IFERROR(IF(AND(INDEX($E$8:$CE$57, MATCH($C25, $C$8:$C$57, 0), (COLUMNS($DU25:EE25)-1)*5 + 1) = INDEX($E$5:$CE$5, 1, (COLUMNS($DU25:EE25)-1)*5 + 1), INDEX($E$8:$CE$57, MATCH($C25, $C$8:$C$57, 0), (COLUMNS($DU25:EE25)-1)*5 + 4) = "SF"), INDEX($CZ$8:$CZ$23, COLUMNS($DU25:EE25)), "0"), "")</f>
        <v>0</v>
      </c>
      <c r="EF25" s="390" t="str">
        <f t="array" ref="EF25">IFERROR(IF(AND(INDEX($E$8:$CE$57, MATCH($C25, $C$8:$C$57, 0), (COLUMNS($DU25:EF25)-1)*5 + 1) = INDEX($E$5:$CE$5, 1, (COLUMNS($DU25:EF25)-1)*5 + 1), INDEX($E$8:$CE$57, MATCH($C25, $C$8:$C$57, 0), (COLUMNS($DU25:EF25)-1)*5 + 4) = "SF"), INDEX($CZ$8:$CZ$23, COLUMNS($DU25:EF25)), "0"), "")</f>
        <v>0</v>
      </c>
      <c r="EG25" s="390" t="str">
        <f t="array" ref="EG25">IFERROR(IF(AND(INDEX($E$8:$CE$57, MATCH($C25, $C$8:$C$57, 0), (COLUMNS($DU25:EG25)-1)*5 + 1) = INDEX($E$5:$CE$5, 1, (COLUMNS($DU25:EG25)-1)*5 + 1), INDEX($E$8:$CE$57, MATCH($C25, $C$8:$C$57, 0), (COLUMNS($DU25:EG25)-1)*5 + 4) = "SF"), INDEX($CZ$8:$CZ$23, COLUMNS($DU25:EG25)), "0"), "")</f>
        <v>0</v>
      </c>
      <c r="EH25" s="390" t="str">
        <f t="array" ref="EH25">IFERROR(IF(AND(INDEX($E$8:$CE$57, MATCH($C25, $C$8:$C$57, 0), (COLUMNS($DU25:EH25)-1)*5 + 1) = INDEX($E$5:$CE$5, 1, (COLUMNS($DU25:EH25)-1)*5 + 1), INDEX($E$8:$CE$57, MATCH($C25, $C$8:$C$57, 0), (COLUMNS($DU25:EH25)-1)*5 + 4) = "SF"), INDEX($CZ$8:$CZ$23, COLUMNS($DU25:EH25)), "0"), "")</f>
        <v>0</v>
      </c>
      <c r="EI25" s="390" t="str">
        <f t="array" ref="EI25">IFERROR(IF(AND(INDEX($E$8:$CE$57, MATCH($C25, $C$8:$C$57, 0), (COLUMNS($DU25:EI25)-1)*5 + 1) = INDEX($E$5:$CE$5, 1, (COLUMNS($DU25:EI25)-1)*5 + 1), INDEX($E$8:$CE$57, MATCH($C25, $C$8:$C$57, 0), (COLUMNS($DU25:EI25)-1)*5 + 4) = "SF"), INDEX($CZ$8:$CZ$23, COLUMNS($DU25:EI25)), "0"), "")</f>
        <v>0</v>
      </c>
      <c r="EJ25" s="390" t="str">
        <f t="array" ref="EJ25">IFERROR(IF(AND(INDEX($E$8:$CE$57, MATCH($C25, $C$8:$C$57, 0), (COLUMNS($DU25:EJ25)-1)*5 + 1) = INDEX($E$5:$CE$5, 1, (COLUMNS($DU25:EJ25)-1)*5 + 1), INDEX($E$8:$CE$57, MATCH($C25, $C$8:$C$57, 0), (COLUMNS($DU25:EJ25)-1)*5 + 4) = "SF"), INDEX($CZ$8:$CZ$23, COLUMNS($DU25:EJ25)), "0"), "")</f>
        <v>0</v>
      </c>
    </row>
    <row r="26" spans="1:140" ht="20.100000000000001" customHeight="1" x14ac:dyDescent="0.35">
      <c r="A26" s="515"/>
      <c r="B26" s="444">
        <f>IF(SEMANA2[[#This Row],[COD]]&lt;&gt;"",B25+1,"")</f>
        <v>19</v>
      </c>
      <c r="C26" s="554" t="s">
        <v>69</v>
      </c>
      <c r="D26" s="410" t="str">
        <f t="array" ref="D26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26" s="411">
        <v>9</v>
      </c>
      <c r="F26" s="413">
        <v>6</v>
      </c>
      <c r="G26" s="413">
        <v>4</v>
      </c>
      <c r="H26" s="413"/>
      <c r="I26" s="534">
        <f t="shared" si="0"/>
        <v>4</v>
      </c>
      <c r="J26" s="411">
        <v>1</v>
      </c>
      <c r="K26" s="413">
        <v>6</v>
      </c>
      <c r="L26" s="413">
        <v>10</v>
      </c>
      <c r="M26" s="413" t="s">
        <v>254</v>
      </c>
      <c r="N26" s="534">
        <f t="shared" si="1"/>
        <v>0</v>
      </c>
      <c r="O26" s="411">
        <v>5</v>
      </c>
      <c r="P26" s="413">
        <v>3</v>
      </c>
      <c r="Q26" s="413">
        <v>1</v>
      </c>
      <c r="R26" s="413"/>
      <c r="S26" s="534">
        <f t="shared" si="2"/>
        <v>1</v>
      </c>
      <c r="T26" s="411">
        <v>1</v>
      </c>
      <c r="U26" s="413">
        <v>4</v>
      </c>
      <c r="V26" s="413">
        <v>3</v>
      </c>
      <c r="W26" s="413"/>
      <c r="X26" s="534">
        <f t="shared" si="3"/>
        <v>7</v>
      </c>
      <c r="Y26" s="411">
        <v>7</v>
      </c>
      <c r="Z26" s="413">
        <v>4</v>
      </c>
      <c r="AA26" s="413">
        <v>1</v>
      </c>
      <c r="AB26" s="413"/>
      <c r="AC26" s="534">
        <f t="shared" si="4"/>
        <v>0</v>
      </c>
      <c r="AD26" s="411">
        <v>7</v>
      </c>
      <c r="AE26" s="413">
        <v>2</v>
      </c>
      <c r="AF26" s="413">
        <v>3</v>
      </c>
      <c r="AG26" s="413"/>
      <c r="AH26" s="534">
        <f t="shared" si="5"/>
        <v>5</v>
      </c>
      <c r="AI26" s="411">
        <v>8</v>
      </c>
      <c r="AJ26" s="413">
        <v>6</v>
      </c>
      <c r="AK26" s="413">
        <v>7</v>
      </c>
      <c r="AL26" s="413"/>
      <c r="AM26" s="534">
        <f t="shared" si="6"/>
        <v>0</v>
      </c>
      <c r="AN26" s="411">
        <v>8</v>
      </c>
      <c r="AO26" s="413">
        <v>7</v>
      </c>
      <c r="AP26" s="413">
        <v>1</v>
      </c>
      <c r="AQ26" s="413"/>
      <c r="AR26" s="534">
        <f t="shared" si="7"/>
        <v>3.5</v>
      </c>
      <c r="AS26" s="411">
        <v>11</v>
      </c>
      <c r="AT26" s="413">
        <v>1</v>
      </c>
      <c r="AU26" s="413">
        <v>2</v>
      </c>
      <c r="AV26" s="413" t="s">
        <v>254</v>
      </c>
      <c r="AW26" s="534">
        <f t="shared" si="8"/>
        <v>1</v>
      </c>
      <c r="AX26" s="411">
        <v>10</v>
      </c>
      <c r="AY26" s="413">
        <v>1</v>
      </c>
      <c r="AZ26" s="413">
        <v>6</v>
      </c>
      <c r="BA26" s="413"/>
      <c r="BB26" s="534">
        <f t="shared" si="9"/>
        <v>0</v>
      </c>
      <c r="BC26" s="411">
        <v>7</v>
      </c>
      <c r="BD26" s="413">
        <v>3</v>
      </c>
      <c r="BE26" s="413">
        <v>6</v>
      </c>
      <c r="BF26" s="413"/>
      <c r="BG26" s="534">
        <f t="shared" si="10"/>
        <v>4</v>
      </c>
      <c r="BH26" s="411">
        <v>2</v>
      </c>
      <c r="BI26" s="413">
        <v>6</v>
      </c>
      <c r="BJ26" s="413">
        <v>8</v>
      </c>
      <c r="BK26" s="413"/>
      <c r="BL26" s="534">
        <f t="shared" si="11"/>
        <v>2</v>
      </c>
      <c r="BM26" s="411">
        <v>4</v>
      </c>
      <c r="BN26" s="413"/>
      <c r="BO26" s="413"/>
      <c r="BP26" s="413" t="s">
        <v>255</v>
      </c>
      <c r="BQ26" s="534">
        <f t="shared" si="12"/>
        <v>0</v>
      </c>
      <c r="BR26" s="411">
        <v>5</v>
      </c>
      <c r="BS26" s="413">
        <v>9</v>
      </c>
      <c r="BT26" s="413">
        <v>1</v>
      </c>
      <c r="BU26" s="413"/>
      <c r="BV26" s="534">
        <f t="shared" si="13"/>
        <v>1</v>
      </c>
      <c r="BW26" s="411"/>
      <c r="BX26" s="413"/>
      <c r="BY26" s="413"/>
      <c r="BZ26" s="413"/>
      <c r="CA26" s="534">
        <f t="shared" si="14"/>
        <v>0</v>
      </c>
      <c r="CB26" s="411"/>
      <c r="CC26" s="413"/>
      <c r="CD26" s="413"/>
      <c r="CE26" s="413"/>
      <c r="CF26" s="534">
        <f t="shared" si="15"/>
        <v>0</v>
      </c>
      <c r="CG26" s="162">
        <f>IF(SEMANA2[[#This Row],[1]]="",0,$B$4)</f>
        <v>14</v>
      </c>
      <c r="CH26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4</v>
      </c>
      <c r="CI26" s="164">
        <f>IF(SEMANA2[[#This Row],[Columna14]]=0,0,(CH26/CG26))</f>
        <v>0.2857142857142857</v>
      </c>
      <c r="CJ26" s="163">
        <f>IF(SEMANA2[[#This Row],[1]]="",0,$B$4)</f>
        <v>14</v>
      </c>
      <c r="CK26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26" s="164">
        <f>IF(SEMANA2[[#This Row],[Columna14]]=0,0,(CK26/CJ26))</f>
        <v>0.42857142857142855</v>
      </c>
      <c r="CM26" s="162">
        <f>IF(SEMANA2[[#This Row],[1]]="",0,$B$4)</f>
        <v>14</v>
      </c>
      <c r="CN26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9</v>
      </c>
      <c r="CO26" s="164">
        <f>IF(SEMANA2[[#This Row],[Columna14]]=0,0,(CN26/CM26))</f>
        <v>0.6428571428571429</v>
      </c>
      <c r="CP26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26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Row],[Columna25]],$AX$5,BA26,"SF")+COUNTIFS(SEMANA2[[#This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0</v>
      </c>
      <c r="CR26" s="164">
        <f>IFERROR(IF(SEMANA2[[#This Row],[Columna14]]=0,0,(CQ26/CP26)),0)</f>
        <v>0</v>
      </c>
      <c r="CS26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28.5</v>
      </c>
      <c r="CT26" s="93">
        <f>_xlfn.XLOOKUP(SEMANA2[[#This Row],[COD]],BASE01[COD],BASE01[Columna33])</f>
        <v>35</v>
      </c>
      <c r="CU26" s="536">
        <f t="shared" si="16"/>
        <v>63.5</v>
      </c>
      <c r="CV26" s="445">
        <f>IF(SEMANA2[[#This Row],[TIPO]]="PREMIO",$O$3,"0,00")</f>
        <v>1000</v>
      </c>
      <c r="CW26" s="515"/>
      <c r="CY26" s="387" t="s">
        <v>252</v>
      </c>
      <c r="CZ26" s="387" t="s">
        <v>9</v>
      </c>
      <c r="DA26" s="387" t="s">
        <v>258</v>
      </c>
      <c r="DB26" s="537" t="str">
        <f>SEMANA2[[#This Row],[COD]]</f>
        <v>COD 19</v>
      </c>
      <c r="DC26" s="390" t="str">
        <f t="array" ref="DC26">IFERROR(IF(AND(INDEX($E$8:$CE$57, MATCH($C26, $C$8:$C$57, 0), (COLUMNS($DC26:DC26)-1)*5 + 1) = INDEX($E$5:$CE$5, 1, (COLUMNS($DC26:DC26)-1)*5 + 1), INDEX($E$8:$CE$57, MATCH($C26, $C$8:$C$57, 0), (COLUMNS($DC26:DC26)-1)*5 + 4) = "F"), INDEX($CZ$8:$CZ$23, COLUMNS($DC26:DC26)), "0"), "")</f>
        <v>0</v>
      </c>
      <c r="DD26" s="390" t="str">
        <f t="array" ref="DD26">IFERROR(IF(AND(INDEX($E$8:$CE$57, MATCH($C26, $C$8:$C$57, 0), (COLUMNS($DC26:DD26)-1)*5 + 1) = INDEX($E$5:$CE$5, 1, (COLUMNS($DC26:DD26)-1)*5 + 1), INDEX($E$8:$CE$57, MATCH($C26, $C$8:$C$57, 0), (COLUMNS($DC26:DD26)-1)*5 + 4) = "F"), INDEX($CZ$8:$CZ$23, COLUMNS($DC26:DD26)), "0"), "")</f>
        <v>0</v>
      </c>
      <c r="DE26" s="390" t="str">
        <f t="array" ref="DE26">IFERROR(IF(AND(INDEX($E$8:$CE$57, MATCH($C26, $C$8:$C$57, 0), (COLUMNS($DC26:DE26)-1)*5 + 1) = INDEX($E$5:$CE$5, 1, (COLUMNS($DC26:DE26)-1)*5 + 1), INDEX($E$8:$CE$57, MATCH($C26, $C$8:$C$57, 0), (COLUMNS($DC26:DE26)-1)*5 + 4) = "F"), INDEX($CZ$8:$CZ$23, COLUMNS($DC26:DE26)), "0"), "")</f>
        <v>0</v>
      </c>
      <c r="DF26" s="390" t="str">
        <f t="array" ref="DF26">IFERROR(IF(AND(INDEX($E$8:$CE$57, MATCH($C26, $C$8:$C$57, 0), (COLUMNS($DC26:DF26)-1)*5 + 1) = INDEX($E$5:$CE$5, 1, (COLUMNS($DC26:DF26)-1)*5 + 1), INDEX($E$8:$CE$57, MATCH($C26, $C$8:$C$57, 0), (COLUMNS($DC26:DF26)-1)*5 + 4) = "F"), INDEX($CZ$8:$CZ$23, COLUMNS($DC26:DF26)), "0"), "")</f>
        <v>0</v>
      </c>
      <c r="DG26" s="390" t="str">
        <f t="array" ref="DG26">IFERROR(IF(AND(INDEX($E$8:$CE$57, MATCH($C26, $C$8:$C$57, 0), (COLUMNS($DC26:DG26)-1)*5 + 1) = INDEX($E$5:$CE$5, 1, (COLUMNS($DC26:DG26)-1)*5 + 1), INDEX($E$8:$CE$57, MATCH($C26, $C$8:$C$57, 0), (COLUMNS($DC26:DG26)-1)*5 + 4) = "F"), INDEX($CZ$8:$CZ$23, COLUMNS($DC26:DG26)), "0"), "")</f>
        <v>0</v>
      </c>
      <c r="DH26" s="390" t="str">
        <f t="array" ref="DH26">IFERROR(IF(AND(INDEX($E$8:$CE$57, MATCH($C26, $C$8:$C$57, 0), (COLUMNS($DC26:DH26)-1)*5 + 1) = INDEX($E$5:$CE$5, 1, (COLUMNS($DC26:DH26)-1)*5 + 1), INDEX($E$8:$CE$57, MATCH($C26, $C$8:$C$57, 0), (COLUMNS($DC26:DH26)-1)*5 + 4) = "F"), INDEX($CZ$8:$CZ$23, COLUMNS($DC26:DH26)), "0"), "")</f>
        <v>0</v>
      </c>
      <c r="DI26" s="390" t="str">
        <f t="array" ref="DI26">IFERROR(IF(AND(INDEX($E$8:$CE$57, MATCH($C26, $C$8:$C$57, 0), (COLUMNS($DC26:DI26)-1)*5 + 1) = INDEX($E$5:$CE$5, 1, (COLUMNS($DC26:DI26)-1)*5 + 1), INDEX($E$8:$CE$57, MATCH($C26, $C$8:$C$57, 0), (COLUMNS($DC26:DI26)-1)*5 + 4) = "F"), INDEX($CZ$8:$CZ$23, COLUMNS($DC26:DI26)), "0"), "")</f>
        <v>0</v>
      </c>
      <c r="DJ26" s="390" t="str">
        <f t="array" ref="DJ26">IFERROR(IF(AND(INDEX($E$8:$CE$57, MATCH($C26, $C$8:$C$57, 0), (COLUMNS($DC26:DJ26)-1)*5 + 1) = INDEX($E$5:$CE$5, 1, (COLUMNS($DC26:DJ26)-1)*5 + 1), INDEX($E$8:$CE$57, MATCH($C26, $C$8:$C$57, 0), (COLUMNS($DC26:DJ26)-1)*5 + 4) = "F"), INDEX($CZ$8:$CZ$23, COLUMNS($DC26:DJ26)), "0"), "")</f>
        <v>0</v>
      </c>
      <c r="DK26" s="390" t="str">
        <f t="array" ref="DK26">IFERROR(IF(AND(INDEX($E$8:$CE$57, MATCH($C26, $C$8:$C$57, 0), (COLUMNS($DC26:DK26)-1)*5 + 1) = INDEX($E$5:$CE$5, 1, (COLUMNS($DC26:DK26)-1)*5 + 1), INDEX($E$8:$CE$57, MATCH($C26, $C$8:$C$57, 0), (COLUMNS($DC26:DK26)-1)*5 + 4) = "F"), INDEX($CZ$8:$CZ$23, COLUMNS($DC26:DK26)), "0"), "")</f>
        <v>0</v>
      </c>
      <c r="DL26" s="390" t="str">
        <f t="array" ref="DL26">IFERROR(IF(AND(INDEX($E$8:$CE$57, MATCH($C26, $C$8:$C$57, 0), (COLUMNS($DC26:DL26)-1)*5 + 1) = INDEX($E$5:$CE$5, 1, (COLUMNS($DC26:DL26)-1)*5 + 1), INDEX($E$8:$CE$57, MATCH($C26, $C$8:$C$57, 0), (COLUMNS($DC26:DL26)-1)*5 + 4) = "F"), INDEX($CZ$8:$CZ$23, COLUMNS($DC26:DL26)), "0"), "")</f>
        <v>0</v>
      </c>
      <c r="DM26" s="390" t="str">
        <f t="array" ref="DM26">IFERROR(IF(AND(INDEX($E$8:$CE$57, MATCH($C26, $C$8:$C$57, 0), (COLUMNS($DC26:DM26)-1)*5 + 1) = INDEX($E$5:$CE$5, 1, (COLUMNS($DC26:DM26)-1)*5 + 1), INDEX($E$8:$CE$57, MATCH($C26, $C$8:$C$57, 0), (COLUMNS($DC26:DM26)-1)*5 + 4) = "F"), INDEX($CZ$8:$CZ$23, COLUMNS($DC26:DM26)), "0"), "")</f>
        <v>0</v>
      </c>
      <c r="DN26" s="390" t="str">
        <f t="array" ref="DN26">IFERROR(IF(AND(INDEX($E$8:$CE$57, MATCH($C26, $C$8:$C$57, 0), (COLUMNS($DC26:DN26)-1)*5 + 1) = INDEX($E$5:$CE$5, 1, (COLUMNS($DC26:DN26)-1)*5 + 1), INDEX($E$8:$CE$57, MATCH($C26, $C$8:$C$57, 0), (COLUMNS($DC26:DN26)-1)*5 + 4) = "F"), INDEX($CZ$8:$CZ$23, COLUMNS($DC26:DN26)), "0"), "")</f>
        <v>0</v>
      </c>
      <c r="DO26" s="390" t="str">
        <f t="array" ref="DO26">IFERROR(IF(AND(INDEX($E$8:$CE$57, MATCH($C26, $C$8:$C$57, 0), (COLUMNS($DC26:DO26)-1)*5 + 1) = INDEX($E$5:$CE$5, 1, (COLUMNS($DC26:DO26)-1)*5 + 1), INDEX($E$8:$CE$57, MATCH($C26, $C$8:$C$57, 0), (COLUMNS($DC26:DO26)-1)*5 + 4) = "F"), INDEX($CZ$8:$CZ$23, COLUMNS($DC26:DO26)), "0"), "")</f>
        <v>0</v>
      </c>
      <c r="DP26" s="390" t="str">
        <f t="array" ref="DP26">IFERROR(IF(AND(INDEX($E$8:$CE$57, MATCH($C26, $C$8:$C$57, 0), (COLUMNS($DC26:DP26)-1)*5 + 1) = INDEX($E$5:$CE$5, 1, (COLUMNS($DC26:DP26)-1)*5 + 1), INDEX($E$8:$CE$57, MATCH($C26, $C$8:$C$57, 0), (COLUMNS($DC26:DP26)-1)*5 + 4) = "F"), INDEX($CZ$8:$CZ$23, COLUMNS($DC26:DP26)), "0"), "")</f>
        <v>0</v>
      </c>
      <c r="DQ26" s="390" t="str">
        <f t="array" ref="DQ26">IFERROR(IF(AND(INDEX($E$8:$CE$57, MATCH($C26, $C$8:$C$57, 0), (COLUMNS($DC26:DQ26)-1)*5 + 1) = INDEX($E$5:$CE$5, 1, (COLUMNS($DC26:DQ26)-1)*5 + 1), INDEX($E$8:$CE$57, MATCH($C26, $C$8:$C$57, 0), (COLUMNS($DC26:DQ26)-1)*5 + 4) = "F"), INDEX($CZ$8:$CZ$23, COLUMNS($DC26:DQ26)), "0"), "")</f>
        <v>0</v>
      </c>
      <c r="DR26" s="390" t="str">
        <f t="array" ref="DR26">IFERROR(IF(AND(INDEX($E$8:$CE$57, MATCH($C26, $C$8:$C$57, 0), (COLUMNS($DC26:DR26)-1)*5 + 1) = INDEX($E$5:$CE$5, 1, (COLUMNS($DC26:DR26)-1)*5 + 1), INDEX($E$8:$CE$57, MATCH($C26, $C$8:$C$57, 0), (COLUMNS($DC26:DR26)-1)*5 + 4) = "F"), INDEX($CZ$8:$CZ$23, COLUMNS($DC26:DR26)), "0"), "")</f>
        <v>0</v>
      </c>
      <c r="DT26" s="537" t="str">
        <f>SEMANA2[[#This Row],[COD]]</f>
        <v>COD 19</v>
      </c>
      <c r="DU26" s="390" t="str">
        <f t="array" ref="DU26">IFERROR(IF(AND(INDEX($E$8:$CE$57, MATCH($C26, $C$8:$C$57, 0), (COLUMNS($DU26:DU26)-1)*5 + 1) = INDEX($E$5:$CE$5, 1, (COLUMNS($DU26:DU26)-1)*5 + 1), INDEX($E$8:$CE$57, MATCH($C26, $C$8:$C$57, 0), (COLUMNS($DU26:DU26)-1)*5 + 4) = "SF"), INDEX($CZ$8:$CZ$23, COLUMNS($DU26:DU26)), "0"), "")</f>
        <v>0</v>
      </c>
      <c r="DV26" s="390" t="str">
        <f t="array" ref="DV26">IFERROR(IF(AND(INDEX($E$8:$CE$57, MATCH($C26, $C$8:$C$57, 0), (COLUMNS($DU26:DV26)-1)*5 + 1) = INDEX($E$5:$CE$5, 1, (COLUMNS($DU26:DV26)-1)*5 + 1), INDEX($E$8:$CE$57, MATCH($C26, $C$8:$C$57, 0), (COLUMNS($DU26:DV26)-1)*5 + 4) = "SF"), INDEX($CZ$8:$CZ$23, COLUMNS($DU26:DV26)), "0"), "")</f>
        <v>0</v>
      </c>
      <c r="DW26" s="390" t="str">
        <f t="array" ref="DW26">IFERROR(IF(AND(INDEX($E$8:$CE$57, MATCH($C26, $C$8:$C$57, 0), (COLUMNS($DU26:DW26)-1)*5 + 1) = INDEX($E$5:$CE$5, 1, (COLUMNS($DU26:DW26)-1)*5 + 1), INDEX($E$8:$CE$57, MATCH($C26, $C$8:$C$57, 0), (COLUMNS($DU26:DW26)-1)*5 + 4) = "SF"), INDEX($CZ$8:$CZ$23, COLUMNS($DU26:DW26)), "0"), "")</f>
        <v>0</v>
      </c>
      <c r="DX26" s="390" t="str">
        <f t="array" ref="DX26">IFERROR(IF(AND(INDEX($E$8:$CE$57, MATCH($C26, $C$8:$C$57, 0), (COLUMNS($DU26:DX26)-1)*5 + 1) = INDEX($E$5:$CE$5, 1, (COLUMNS($DU26:DX26)-1)*5 + 1), INDEX($E$8:$CE$57, MATCH($C26, $C$8:$C$57, 0), (COLUMNS($DU26:DX26)-1)*5 + 4) = "SF"), INDEX($CZ$8:$CZ$23, COLUMNS($DU26:DX26)), "0"), "")</f>
        <v>0</v>
      </c>
      <c r="DY26" s="390" t="str">
        <f t="array" ref="DY26">IFERROR(IF(AND(INDEX($E$8:$CE$57, MATCH($C26, $C$8:$C$57, 0), (COLUMNS($DU26:DY26)-1)*5 + 1) = INDEX($E$5:$CE$5, 1, (COLUMNS($DU26:DY26)-1)*5 + 1), INDEX($E$8:$CE$57, MATCH($C26, $C$8:$C$57, 0), (COLUMNS($DU26:DY26)-1)*5 + 4) = "SF"), INDEX($CZ$8:$CZ$23, COLUMNS($DU26:DY26)), "0"), "")</f>
        <v>0</v>
      </c>
      <c r="DZ26" s="390" t="str">
        <f t="array" ref="DZ26">IFERROR(IF(AND(INDEX($E$8:$CE$57, MATCH($C26, $C$8:$C$57, 0), (COLUMNS($DU26:DZ26)-1)*5 + 1) = INDEX($E$5:$CE$5, 1, (COLUMNS($DU26:DZ26)-1)*5 + 1), INDEX($E$8:$CE$57, MATCH($C26, $C$8:$C$57, 0), (COLUMNS($DU26:DZ26)-1)*5 + 4) = "SF"), INDEX($CZ$8:$CZ$23, COLUMNS($DU26:DZ26)), "0"), "")</f>
        <v>0</v>
      </c>
      <c r="EA26" s="390" t="str">
        <f t="array" ref="EA26">IFERROR(IF(AND(INDEX($E$8:$CE$57, MATCH($C26, $C$8:$C$57, 0), (COLUMNS($DU26:EA26)-1)*5 + 1) = INDEX($E$5:$CE$5, 1, (COLUMNS($DU26:EA26)-1)*5 + 1), INDEX($E$8:$CE$57, MATCH($C26, $C$8:$C$57, 0), (COLUMNS($DU26:EA26)-1)*5 + 4) = "SF"), INDEX($CZ$8:$CZ$23, COLUMNS($DU26:EA26)), "0"), "")</f>
        <v>0</v>
      </c>
      <c r="EB26" s="390" t="str">
        <f t="array" ref="EB26">IFERROR(IF(AND(INDEX($E$8:$CE$57, MATCH($C26, $C$8:$C$57, 0), (COLUMNS($DU26:EB26)-1)*5 + 1) = INDEX($E$5:$CE$5, 1, (COLUMNS($DU26:EB26)-1)*5 + 1), INDEX($E$8:$CE$57, MATCH($C26, $C$8:$C$57, 0), (COLUMNS($DU26:EB26)-1)*5 + 4) = "SF"), INDEX($CZ$8:$CZ$23, COLUMNS($DU26:EB26)), "0"), "")</f>
        <v>0</v>
      </c>
      <c r="EC26" s="390" t="str">
        <f t="array" ref="EC26">IFERROR(IF(AND(INDEX($E$8:$CE$57, MATCH($C26, $C$8:$C$57, 0), (COLUMNS($DU26:EC26)-1)*5 + 1) = INDEX($E$5:$CE$5, 1, (COLUMNS($DU26:EC26)-1)*5 + 1), INDEX($E$8:$CE$57, MATCH($C26, $C$8:$C$57, 0), (COLUMNS($DU26:EC26)-1)*5 + 4) = "SF"), INDEX($CZ$8:$CZ$23, COLUMNS($DU26:EC26)), "0"), "")</f>
        <v>0</v>
      </c>
      <c r="ED26" s="390" t="str">
        <f t="array" ref="ED26">IFERROR(IF(AND(INDEX($E$8:$CE$57, MATCH($C26, $C$8:$C$57, 0), (COLUMNS($DU26:ED26)-1)*5 + 1) = INDEX($E$5:$CE$5, 1, (COLUMNS($DU26:ED26)-1)*5 + 1), INDEX($E$8:$CE$57, MATCH($C26, $C$8:$C$57, 0), (COLUMNS($DU26:ED26)-1)*5 + 4) = "SF"), INDEX($CZ$8:$CZ$23, COLUMNS($DU26:ED26)), "0"), "")</f>
        <v>0</v>
      </c>
      <c r="EE26" s="390" t="str">
        <f t="array" ref="EE26">IFERROR(IF(AND(INDEX($E$8:$CE$57, MATCH($C26, $C$8:$C$57, 0), (COLUMNS($DU26:EE26)-1)*5 + 1) = INDEX($E$5:$CE$5, 1, (COLUMNS($DU26:EE26)-1)*5 + 1), INDEX($E$8:$CE$57, MATCH($C26, $C$8:$C$57, 0), (COLUMNS($DU26:EE26)-1)*5 + 4) = "SF"), INDEX($CZ$8:$CZ$23, COLUMNS($DU26:EE26)), "0"), "")</f>
        <v>0</v>
      </c>
      <c r="EF26" s="390" t="str">
        <f t="array" ref="EF26">IFERROR(IF(AND(INDEX($E$8:$CE$57, MATCH($C26, $C$8:$C$57, 0), (COLUMNS($DU26:EF26)-1)*5 + 1) = INDEX($E$5:$CE$5, 1, (COLUMNS($DU26:EF26)-1)*5 + 1), INDEX($E$8:$CE$57, MATCH($C26, $C$8:$C$57, 0), (COLUMNS($DU26:EF26)-1)*5 + 4) = "SF"), INDEX($CZ$8:$CZ$23, COLUMNS($DU26:EF26)), "0"), "")</f>
        <v>0</v>
      </c>
      <c r="EG26" s="390" t="str">
        <f t="array" ref="EG26">IFERROR(IF(AND(INDEX($E$8:$CE$57, MATCH($C26, $C$8:$C$57, 0), (COLUMNS($DU26:EG26)-1)*5 + 1) = INDEX($E$5:$CE$5, 1, (COLUMNS($DU26:EG26)-1)*5 + 1), INDEX($E$8:$CE$57, MATCH($C26, $C$8:$C$57, 0), (COLUMNS($DU26:EG26)-1)*5 + 4) = "SF"), INDEX($CZ$8:$CZ$23, COLUMNS($DU26:EG26)), "0"), "")</f>
        <v>0</v>
      </c>
      <c r="EH26" s="390" t="str">
        <f t="array" ref="EH26">IFERROR(IF(AND(INDEX($E$8:$CE$57, MATCH($C26, $C$8:$C$57, 0), (COLUMNS($DU26:EH26)-1)*5 + 1) = INDEX($E$5:$CE$5, 1, (COLUMNS($DU26:EH26)-1)*5 + 1), INDEX($E$8:$CE$57, MATCH($C26, $C$8:$C$57, 0), (COLUMNS($DU26:EH26)-1)*5 + 4) = "SF"), INDEX($CZ$8:$CZ$23, COLUMNS($DU26:EH26)), "0"), "")</f>
        <v>0</v>
      </c>
      <c r="EI26" s="390" t="str">
        <f t="array" ref="EI26">IFERROR(IF(AND(INDEX($E$8:$CE$57, MATCH($C26, $C$8:$C$57, 0), (COLUMNS($DU26:EI26)-1)*5 + 1) = INDEX($E$5:$CE$5, 1, (COLUMNS($DU26:EI26)-1)*5 + 1), INDEX($E$8:$CE$57, MATCH($C26, $C$8:$C$57, 0), (COLUMNS($DU26:EI26)-1)*5 + 4) = "SF"), INDEX($CZ$8:$CZ$23, COLUMNS($DU26:EI26)), "0"), "")</f>
        <v>0</v>
      </c>
      <c r="EJ26" s="390" t="str">
        <f t="array" ref="EJ26">IFERROR(IF(AND(INDEX($E$8:$CE$57, MATCH($C26, $C$8:$C$57, 0), (COLUMNS($DU26:EJ26)-1)*5 + 1) = INDEX($E$5:$CE$5, 1, (COLUMNS($DU26:EJ26)-1)*5 + 1), INDEX($E$8:$CE$57, MATCH($C26, $C$8:$C$57, 0), (COLUMNS($DU26:EJ26)-1)*5 + 4) = "SF"), INDEX($CZ$8:$CZ$23, COLUMNS($DU26:EJ26)), "0"), "")</f>
        <v>0</v>
      </c>
    </row>
    <row r="27" spans="1:140" ht="19.5" customHeight="1" x14ac:dyDescent="0.35">
      <c r="A27" s="515"/>
      <c r="B27" s="444">
        <f>IF(SEMANA2[[#This Row],[COD]]&lt;&gt;"",B26+1,"")</f>
        <v>20</v>
      </c>
      <c r="C27" s="554" t="s">
        <v>71</v>
      </c>
      <c r="D27" s="410" t="str">
        <f t="array" ref="D27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27" s="411">
        <v>9</v>
      </c>
      <c r="F27" s="411"/>
      <c r="G27" s="411"/>
      <c r="H27" s="411" t="s">
        <v>255</v>
      </c>
      <c r="I27" s="534">
        <f t="shared" si="0"/>
        <v>0</v>
      </c>
      <c r="J27" s="411">
        <v>1</v>
      </c>
      <c r="K27" s="411">
        <v>7</v>
      </c>
      <c r="L27" s="411">
        <v>2</v>
      </c>
      <c r="M27" s="411"/>
      <c r="N27" s="534">
        <f t="shared" si="1"/>
        <v>2</v>
      </c>
      <c r="O27" s="411">
        <v>1</v>
      </c>
      <c r="P27" s="411">
        <v>5</v>
      </c>
      <c r="Q27" s="411">
        <v>3</v>
      </c>
      <c r="R27" s="411"/>
      <c r="S27" s="534">
        <f t="shared" si="2"/>
        <v>4</v>
      </c>
      <c r="T27" s="411">
        <v>5</v>
      </c>
      <c r="U27" s="411">
        <v>3</v>
      </c>
      <c r="V27" s="411">
        <v>4</v>
      </c>
      <c r="W27" s="411"/>
      <c r="X27" s="534">
        <f t="shared" si="3"/>
        <v>0</v>
      </c>
      <c r="Y27" s="411">
        <v>1</v>
      </c>
      <c r="Z27" s="411">
        <v>7</v>
      </c>
      <c r="AA27" s="411">
        <v>2</v>
      </c>
      <c r="AB27" s="411"/>
      <c r="AC27" s="534">
        <f t="shared" si="4"/>
        <v>1</v>
      </c>
      <c r="AD27" s="411">
        <v>5</v>
      </c>
      <c r="AE27" s="411">
        <v>4</v>
      </c>
      <c r="AF27" s="411">
        <v>2</v>
      </c>
      <c r="AG27" s="411"/>
      <c r="AH27" s="534">
        <f t="shared" si="5"/>
        <v>0</v>
      </c>
      <c r="AI27" s="411">
        <v>7</v>
      </c>
      <c r="AJ27" s="411">
        <v>6</v>
      </c>
      <c r="AK27" s="411">
        <v>3</v>
      </c>
      <c r="AL27" s="411"/>
      <c r="AM27" s="534">
        <f t="shared" si="6"/>
        <v>0</v>
      </c>
      <c r="AN27" s="411">
        <v>8</v>
      </c>
      <c r="AO27" s="411">
        <v>1</v>
      </c>
      <c r="AP27" s="411">
        <v>2</v>
      </c>
      <c r="AQ27" s="411" t="s">
        <v>254</v>
      </c>
      <c r="AR27" s="534">
        <f t="shared" si="7"/>
        <v>4.5</v>
      </c>
      <c r="AS27" s="411">
        <v>2</v>
      </c>
      <c r="AT27" s="411">
        <v>6</v>
      </c>
      <c r="AU27" s="411">
        <v>9</v>
      </c>
      <c r="AV27" s="411"/>
      <c r="AW27" s="534">
        <f t="shared" si="8"/>
        <v>4</v>
      </c>
      <c r="AX27" s="411">
        <v>10</v>
      </c>
      <c r="AY27" s="411">
        <v>2</v>
      </c>
      <c r="AZ27" s="411">
        <v>1</v>
      </c>
      <c r="BA27" s="411"/>
      <c r="BB27" s="534">
        <f t="shared" si="9"/>
        <v>2</v>
      </c>
      <c r="BC27" s="411">
        <v>7</v>
      </c>
      <c r="BD27" s="411">
        <v>3</v>
      </c>
      <c r="BE27" s="411">
        <v>5</v>
      </c>
      <c r="BF27" s="411"/>
      <c r="BG27" s="534">
        <f t="shared" si="10"/>
        <v>4</v>
      </c>
      <c r="BH27" s="411">
        <v>6</v>
      </c>
      <c r="BI27" s="411">
        <v>2</v>
      </c>
      <c r="BJ27" s="411">
        <v>8</v>
      </c>
      <c r="BK27" s="411"/>
      <c r="BL27" s="534">
        <f t="shared" si="11"/>
        <v>4</v>
      </c>
      <c r="BM27" s="411">
        <v>4</v>
      </c>
      <c r="BN27" s="411">
        <v>9</v>
      </c>
      <c r="BO27" s="411">
        <v>1</v>
      </c>
      <c r="BP27" s="411" t="s">
        <v>254</v>
      </c>
      <c r="BQ27" s="534">
        <f t="shared" si="12"/>
        <v>0</v>
      </c>
      <c r="BR27" s="411">
        <v>11</v>
      </c>
      <c r="BS27" s="411">
        <v>5</v>
      </c>
      <c r="BT27" s="411">
        <v>1</v>
      </c>
      <c r="BU27" s="411"/>
      <c r="BV27" s="534">
        <f t="shared" si="13"/>
        <v>3</v>
      </c>
      <c r="BW27" s="411"/>
      <c r="BX27" s="411"/>
      <c r="BY27" s="411"/>
      <c r="BZ27" s="411"/>
      <c r="CA27" s="534">
        <f t="shared" si="14"/>
        <v>0</v>
      </c>
      <c r="CB27" s="411"/>
      <c r="CC27" s="411"/>
      <c r="CD27" s="411"/>
      <c r="CE27" s="411"/>
      <c r="CF27" s="534">
        <f t="shared" si="15"/>
        <v>0</v>
      </c>
      <c r="CG27" s="162">
        <f>IF(SEMANA2[[#This Row],[1]]="",0,$B$4)</f>
        <v>14</v>
      </c>
      <c r="CH27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5</v>
      </c>
      <c r="CI27" s="164">
        <f>IF(SEMANA2[[#This Row],[Columna14]]=0,0,(CH27/CG27))</f>
        <v>0.35714285714285715</v>
      </c>
      <c r="CJ27" s="163">
        <f>IF(SEMANA2[[#This Row],[1]]="",0,$B$4)</f>
        <v>14</v>
      </c>
      <c r="CK27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7</v>
      </c>
      <c r="CL27" s="164">
        <f>IF(SEMANA2[[#This Row],[Columna14]]=0,0,(CK27/CJ27))</f>
        <v>0.5</v>
      </c>
      <c r="CM27" s="162">
        <f>IF(SEMANA2[[#This Row],[1]]="",0,$B$4)</f>
        <v>14</v>
      </c>
      <c r="CN27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9</v>
      </c>
      <c r="CO27" s="164">
        <f>IF(SEMANA2[[#This Row],[Columna14]]=0,0,(CN27/CM27))</f>
        <v>0.6428571428571429</v>
      </c>
      <c r="CP27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27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Row],[Columna25]],$AX$5,BA27,"SF")+COUNTIFS(SEMANA2[[#This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1</v>
      </c>
      <c r="CR27" s="164">
        <f>IFERROR(IF(SEMANA2[[#This Row],[Columna14]]=0,0,(CQ27/CP27)),0)</f>
        <v>0.33333333333333331</v>
      </c>
      <c r="CS27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28.5</v>
      </c>
      <c r="CT27" s="93">
        <f>_xlfn.XLOOKUP(SEMANA2[[#This Row],[COD]],BASE01[COD],BASE01[Columna33])</f>
        <v>30</v>
      </c>
      <c r="CU27" s="536">
        <f t="shared" si="16"/>
        <v>58.5</v>
      </c>
      <c r="CV27" s="445">
        <f>IF(SEMANA2[[#This Row],[TIPO]]="PREMIO",$O$3,"0,00")</f>
        <v>1000</v>
      </c>
      <c r="CW27" s="515"/>
      <c r="CY27" s="387">
        <f t="shared" ref="CY27:CY62" si="17">IF(CZ27="","",$CZ$25)</f>
        <v>7</v>
      </c>
      <c r="CZ27" s="387" t="str">
        <f t="array" ref="CZ27:CZ36">_xlfn._xlws.FILTER(C$8:C$57, INDEX(E$8:CE$57, 0, ($CZ$25-1)*5 + 5) &gt; 0, "")</f>
        <v>COD 02</v>
      </c>
      <c r="DA27" s="387">
        <f t="array" ref="DA27">IF(CZ27="", "", IF((INDEX(E$8:CE$57, MATCH(CZ27, C$8:C$57, 0), ($CZ$25-1)*5 + 1) &amp; "") = (INDEX(E$5:CE$5, 1, ($CZ$25-1)*5 + 1) &amp; ""), 1, IF((INDEX(E$8:CE$57, MATCH(CZ27, C$8:C$57, 0), ($CZ$25-1)*5 + 2) &amp; "") = (INDEX(E$5:CE$5, 1, ($CZ$25-1)*5 + 1) &amp; ""), 2, IF((INDEX(E$8:CE$57, MATCH(CZ27, C$8:C$57, 0), ($CZ$25-1)*5 + 3) &amp; "") = (INDEX(E$5:CE$5, 1, ($CZ$25-1)*5 + 1) &amp; ""), 3, ""))))</f>
        <v>3</v>
      </c>
      <c r="DB27" s="537" t="str">
        <f>SEMANA2[[#This Row],[COD]]</f>
        <v>COD 20</v>
      </c>
      <c r="DC27" s="390" t="str">
        <f t="array" ref="DC27">IFERROR(IF(AND(INDEX($E$8:$CE$57, MATCH($C27, $C$8:$C$57, 0), (COLUMNS($DC27:DC27)-1)*5 + 1) = INDEX($E$5:$CE$5, 1, (COLUMNS($DC27:DC27)-1)*5 + 1), INDEX($E$8:$CE$57, MATCH($C27, $C$8:$C$57, 0), (COLUMNS($DC27:DC27)-1)*5 + 4) = "F"), INDEX($CZ$8:$CZ$23, COLUMNS($DC27:DC27)), "0"), "")</f>
        <v>0</v>
      </c>
      <c r="DD27" s="390" t="str">
        <f t="array" ref="DD27">IFERROR(IF(AND(INDEX($E$8:$CE$57, MATCH($C27, $C$8:$C$57, 0), (COLUMNS($DC27:DD27)-1)*5 + 1) = INDEX($E$5:$CE$5, 1, (COLUMNS($DC27:DD27)-1)*5 + 1), INDEX($E$8:$CE$57, MATCH($C27, $C$8:$C$57, 0), (COLUMNS($DC27:DD27)-1)*5 + 4) = "F"), INDEX($CZ$8:$CZ$23, COLUMNS($DC27:DD27)), "0"), "")</f>
        <v>0</v>
      </c>
      <c r="DE27" s="390" t="str">
        <f t="array" ref="DE27">IFERROR(IF(AND(INDEX($E$8:$CE$57, MATCH($C27, $C$8:$C$57, 0), (COLUMNS($DC27:DE27)-1)*5 + 1) = INDEX($E$5:$CE$5, 1, (COLUMNS($DC27:DE27)-1)*5 + 1), INDEX($E$8:$CE$57, MATCH($C27, $C$8:$C$57, 0), (COLUMNS($DC27:DE27)-1)*5 + 4) = "F"), INDEX($CZ$8:$CZ$23, COLUMNS($DC27:DE27)), "0"), "")</f>
        <v>0</v>
      </c>
      <c r="DF27" s="390" t="str">
        <f t="array" ref="DF27">IFERROR(IF(AND(INDEX($E$8:$CE$57, MATCH($C27, $C$8:$C$57, 0), (COLUMNS($DC27:DF27)-1)*5 + 1) = INDEX($E$5:$CE$5, 1, (COLUMNS($DC27:DF27)-1)*5 + 1), INDEX($E$8:$CE$57, MATCH($C27, $C$8:$C$57, 0), (COLUMNS($DC27:DF27)-1)*5 + 4) = "F"), INDEX($CZ$8:$CZ$23, COLUMNS($DC27:DF27)), "0"), "")</f>
        <v>0</v>
      </c>
      <c r="DG27" s="390" t="str">
        <f t="array" ref="DG27">IFERROR(IF(AND(INDEX($E$8:$CE$57, MATCH($C27, $C$8:$C$57, 0), (COLUMNS($DC27:DG27)-1)*5 + 1) = INDEX($E$5:$CE$5, 1, (COLUMNS($DC27:DG27)-1)*5 + 1), INDEX($E$8:$CE$57, MATCH($C27, $C$8:$C$57, 0), (COLUMNS($DC27:DG27)-1)*5 + 4) = "F"), INDEX($CZ$8:$CZ$23, COLUMNS($DC27:DG27)), "0"), "")</f>
        <v>0</v>
      </c>
      <c r="DH27" s="390" t="str">
        <f t="array" ref="DH27">IFERROR(IF(AND(INDEX($E$8:$CE$57, MATCH($C27, $C$8:$C$57, 0), (COLUMNS($DC27:DH27)-1)*5 + 1) = INDEX($E$5:$CE$5, 1, (COLUMNS($DC27:DH27)-1)*5 + 1), INDEX($E$8:$CE$57, MATCH($C27, $C$8:$C$57, 0), (COLUMNS($DC27:DH27)-1)*5 + 4) = "F"), INDEX($CZ$8:$CZ$23, COLUMNS($DC27:DH27)), "0"), "")</f>
        <v>0</v>
      </c>
      <c r="DI27" s="390" t="str">
        <f t="array" ref="DI27">IFERROR(IF(AND(INDEX($E$8:$CE$57, MATCH($C27, $C$8:$C$57, 0), (COLUMNS($DC27:DI27)-1)*5 + 1) = INDEX($E$5:$CE$5, 1, (COLUMNS($DC27:DI27)-1)*5 + 1), INDEX($E$8:$CE$57, MATCH($C27, $C$8:$C$57, 0), (COLUMNS($DC27:DI27)-1)*5 + 4) = "F"), INDEX($CZ$8:$CZ$23, COLUMNS($DC27:DI27)), "0"), "")</f>
        <v>0</v>
      </c>
      <c r="DJ27" s="390">
        <f t="array" ref="DJ27">IFERROR(IF(AND(INDEX($E$8:$CE$57, MATCH($C27, $C$8:$C$57, 0), (COLUMNS($DC27:DJ27)-1)*5 + 1) = INDEX($E$5:$CE$5, 1, (COLUMNS($DC27:DJ27)-1)*5 + 1), INDEX($E$8:$CE$57, MATCH($C27, $C$8:$C$57, 0), (COLUMNS($DC27:DJ27)-1)*5 + 4) = "F"), INDEX($CZ$8:$CZ$23, COLUMNS($DC27:DJ27)), "0"), "")</f>
        <v>128.36000000000001</v>
      </c>
      <c r="DK27" s="390" t="str">
        <f t="array" ref="DK27">IFERROR(IF(AND(INDEX($E$8:$CE$57, MATCH($C27, $C$8:$C$57, 0), (COLUMNS($DC27:DK27)-1)*5 + 1) = INDEX($E$5:$CE$5, 1, (COLUMNS($DC27:DK27)-1)*5 + 1), INDEX($E$8:$CE$57, MATCH($C27, $C$8:$C$57, 0), (COLUMNS($DC27:DK27)-1)*5 + 4) = "F"), INDEX($CZ$8:$CZ$23, COLUMNS($DC27:DK27)), "0"), "")</f>
        <v>0</v>
      </c>
      <c r="DL27" s="390" t="str">
        <f t="array" ref="DL27">IFERROR(IF(AND(INDEX($E$8:$CE$57, MATCH($C27, $C$8:$C$57, 0), (COLUMNS($DC27:DL27)-1)*5 + 1) = INDEX($E$5:$CE$5, 1, (COLUMNS($DC27:DL27)-1)*5 + 1), INDEX($E$8:$CE$57, MATCH($C27, $C$8:$C$57, 0), (COLUMNS($DC27:DL27)-1)*5 + 4) = "F"), INDEX($CZ$8:$CZ$23, COLUMNS($DC27:DL27)), "0"), "")</f>
        <v>0</v>
      </c>
      <c r="DM27" s="390" t="str">
        <f t="array" ref="DM27">IFERROR(IF(AND(INDEX($E$8:$CE$57, MATCH($C27, $C$8:$C$57, 0), (COLUMNS($DC27:DM27)-1)*5 + 1) = INDEX($E$5:$CE$5, 1, (COLUMNS($DC27:DM27)-1)*5 + 1), INDEX($E$8:$CE$57, MATCH($C27, $C$8:$C$57, 0), (COLUMNS($DC27:DM27)-1)*5 + 4) = "F"), INDEX($CZ$8:$CZ$23, COLUMNS($DC27:DM27)), "0"), "")</f>
        <v>0</v>
      </c>
      <c r="DN27" s="390" t="str">
        <f t="array" ref="DN27">IFERROR(IF(AND(INDEX($E$8:$CE$57, MATCH($C27, $C$8:$C$57, 0), (COLUMNS($DC27:DN27)-1)*5 + 1) = INDEX($E$5:$CE$5, 1, (COLUMNS($DC27:DN27)-1)*5 + 1), INDEX($E$8:$CE$57, MATCH($C27, $C$8:$C$57, 0), (COLUMNS($DC27:DN27)-1)*5 + 4) = "F"), INDEX($CZ$8:$CZ$23, COLUMNS($DC27:DN27)), "0"), "")</f>
        <v>0</v>
      </c>
      <c r="DO27" s="390" t="str">
        <f t="array" ref="DO27">IFERROR(IF(AND(INDEX($E$8:$CE$57, MATCH($C27, $C$8:$C$57, 0), (COLUMNS($DC27:DO27)-1)*5 + 1) = INDEX($E$5:$CE$5, 1, (COLUMNS($DC27:DO27)-1)*5 + 1), INDEX($E$8:$CE$57, MATCH($C27, $C$8:$C$57, 0), (COLUMNS($DC27:DO27)-1)*5 + 4) = "F"), INDEX($CZ$8:$CZ$23, COLUMNS($DC27:DO27)), "0"), "")</f>
        <v>0</v>
      </c>
      <c r="DP27" s="390" t="str">
        <f t="array" ref="DP27">IFERROR(IF(AND(INDEX($E$8:$CE$57, MATCH($C27, $C$8:$C$57, 0), (COLUMNS($DC27:DP27)-1)*5 + 1) = INDEX($E$5:$CE$5, 1, (COLUMNS($DC27:DP27)-1)*5 + 1), INDEX($E$8:$CE$57, MATCH($C27, $C$8:$C$57, 0), (COLUMNS($DC27:DP27)-1)*5 + 4) = "F"), INDEX($CZ$8:$CZ$23, COLUMNS($DC27:DP27)), "0"), "")</f>
        <v>0</v>
      </c>
      <c r="DQ27" s="390" t="str">
        <f t="array" ref="DQ27">IFERROR(IF(AND(INDEX($E$8:$CE$57, MATCH($C27, $C$8:$C$57, 0), (COLUMNS($DC27:DQ27)-1)*5 + 1) = INDEX($E$5:$CE$5, 1, (COLUMNS($DC27:DQ27)-1)*5 + 1), INDEX($E$8:$CE$57, MATCH($C27, $C$8:$C$57, 0), (COLUMNS($DC27:DQ27)-1)*5 + 4) = "F"), INDEX($CZ$8:$CZ$23, COLUMNS($DC27:DQ27)), "0"), "")</f>
        <v>0</v>
      </c>
      <c r="DR27" s="390" t="str">
        <f t="array" ref="DR27">IFERROR(IF(AND(INDEX($E$8:$CE$57, MATCH($C27, $C$8:$C$57, 0), (COLUMNS($DC27:DR27)-1)*5 + 1) = INDEX($E$5:$CE$5, 1, (COLUMNS($DC27:DR27)-1)*5 + 1), INDEX($E$8:$CE$57, MATCH($C27, $C$8:$C$57, 0), (COLUMNS($DC27:DR27)-1)*5 + 4) = "F"), INDEX($CZ$8:$CZ$23, COLUMNS($DC27:DR27)), "0"), "")</f>
        <v>0</v>
      </c>
      <c r="DT27" s="537" t="str">
        <f>SEMANA2[[#This Row],[COD]]</f>
        <v>COD 20</v>
      </c>
      <c r="DU27" s="390" t="str">
        <f t="array" ref="DU27">IFERROR(IF(AND(INDEX($E$8:$CE$57, MATCH($C27, $C$8:$C$57, 0), (COLUMNS($DU27:DU27)-1)*5 + 1) = INDEX($E$5:$CE$5, 1, (COLUMNS($DU27:DU27)-1)*5 + 1), INDEX($E$8:$CE$57, MATCH($C27, $C$8:$C$57, 0), (COLUMNS($DU27:DU27)-1)*5 + 4) = "SF"), INDEX($CZ$8:$CZ$23, COLUMNS($DU27:DU27)), "0"), "")</f>
        <v>0</v>
      </c>
      <c r="DV27" s="390" t="str">
        <f t="array" ref="DV27">IFERROR(IF(AND(INDEX($E$8:$CE$57, MATCH($C27, $C$8:$C$57, 0), (COLUMNS($DU27:DV27)-1)*5 + 1) = INDEX($E$5:$CE$5, 1, (COLUMNS($DU27:DV27)-1)*5 + 1), INDEX($E$8:$CE$57, MATCH($C27, $C$8:$C$57, 0), (COLUMNS($DU27:DV27)-1)*5 + 4) = "SF"), INDEX($CZ$8:$CZ$23, COLUMNS($DU27:DV27)), "0"), "")</f>
        <v>0</v>
      </c>
      <c r="DW27" s="390" t="str">
        <f t="array" ref="DW27">IFERROR(IF(AND(INDEX($E$8:$CE$57, MATCH($C27, $C$8:$C$57, 0), (COLUMNS($DU27:DW27)-1)*5 + 1) = INDEX($E$5:$CE$5, 1, (COLUMNS($DU27:DW27)-1)*5 + 1), INDEX($E$8:$CE$57, MATCH($C27, $C$8:$C$57, 0), (COLUMNS($DU27:DW27)-1)*5 + 4) = "SF"), INDEX($CZ$8:$CZ$23, COLUMNS($DU27:DW27)), "0"), "")</f>
        <v>0</v>
      </c>
      <c r="DX27" s="390" t="str">
        <f t="array" ref="DX27">IFERROR(IF(AND(INDEX($E$8:$CE$57, MATCH($C27, $C$8:$C$57, 0), (COLUMNS($DU27:DX27)-1)*5 + 1) = INDEX($E$5:$CE$5, 1, (COLUMNS($DU27:DX27)-1)*5 + 1), INDEX($E$8:$CE$57, MATCH($C27, $C$8:$C$57, 0), (COLUMNS($DU27:DX27)-1)*5 + 4) = "SF"), INDEX($CZ$8:$CZ$23, COLUMNS($DU27:DX27)), "0"), "")</f>
        <v>0</v>
      </c>
      <c r="DY27" s="390" t="str">
        <f t="array" ref="DY27">IFERROR(IF(AND(INDEX($E$8:$CE$57, MATCH($C27, $C$8:$C$57, 0), (COLUMNS($DU27:DY27)-1)*5 + 1) = INDEX($E$5:$CE$5, 1, (COLUMNS($DU27:DY27)-1)*5 + 1), INDEX($E$8:$CE$57, MATCH($C27, $C$8:$C$57, 0), (COLUMNS($DU27:DY27)-1)*5 + 4) = "SF"), INDEX($CZ$8:$CZ$23, COLUMNS($DU27:DY27)), "0"), "")</f>
        <v>0</v>
      </c>
      <c r="DZ27" s="390" t="str">
        <f t="array" ref="DZ27">IFERROR(IF(AND(INDEX($E$8:$CE$57, MATCH($C27, $C$8:$C$57, 0), (COLUMNS($DU27:DZ27)-1)*5 + 1) = INDEX($E$5:$CE$5, 1, (COLUMNS($DU27:DZ27)-1)*5 + 1), INDEX($E$8:$CE$57, MATCH($C27, $C$8:$C$57, 0), (COLUMNS($DU27:DZ27)-1)*5 + 4) = "SF"), INDEX($CZ$8:$CZ$23, COLUMNS($DU27:DZ27)), "0"), "")</f>
        <v>0</v>
      </c>
      <c r="EA27" s="390" t="str">
        <f t="array" ref="EA27">IFERROR(IF(AND(INDEX($E$8:$CE$57, MATCH($C27, $C$8:$C$57, 0), (COLUMNS($DU27:EA27)-1)*5 + 1) = INDEX($E$5:$CE$5, 1, (COLUMNS($DU27:EA27)-1)*5 + 1), INDEX($E$8:$CE$57, MATCH($C27, $C$8:$C$57, 0), (COLUMNS($DU27:EA27)-1)*5 + 4) = "SF"), INDEX($CZ$8:$CZ$23, COLUMNS($DU27:EA27)), "0"), "")</f>
        <v>0</v>
      </c>
      <c r="EB27" s="390" t="str">
        <f t="array" ref="EB27">IFERROR(IF(AND(INDEX($E$8:$CE$57, MATCH($C27, $C$8:$C$57, 0), (COLUMNS($DU27:EB27)-1)*5 + 1) = INDEX($E$5:$CE$5, 1, (COLUMNS($DU27:EB27)-1)*5 + 1), INDEX($E$8:$CE$57, MATCH($C27, $C$8:$C$57, 0), (COLUMNS($DU27:EB27)-1)*5 + 4) = "SF"), INDEX($CZ$8:$CZ$23, COLUMNS($DU27:EB27)), "0"), "")</f>
        <v>0</v>
      </c>
      <c r="EC27" s="390" t="str">
        <f t="array" ref="EC27">IFERROR(IF(AND(INDEX($E$8:$CE$57, MATCH($C27, $C$8:$C$57, 0), (COLUMNS($DU27:EC27)-1)*5 + 1) = INDEX($E$5:$CE$5, 1, (COLUMNS($DU27:EC27)-1)*5 + 1), INDEX($E$8:$CE$57, MATCH($C27, $C$8:$C$57, 0), (COLUMNS($DU27:EC27)-1)*5 + 4) = "SF"), INDEX($CZ$8:$CZ$23, COLUMNS($DU27:EC27)), "0"), "")</f>
        <v>0</v>
      </c>
      <c r="ED27" s="390" t="str">
        <f t="array" ref="ED27">IFERROR(IF(AND(INDEX($E$8:$CE$57, MATCH($C27, $C$8:$C$57, 0), (COLUMNS($DU27:ED27)-1)*5 + 1) = INDEX($E$5:$CE$5, 1, (COLUMNS($DU27:ED27)-1)*5 + 1), INDEX($E$8:$CE$57, MATCH($C27, $C$8:$C$57, 0), (COLUMNS($DU27:ED27)-1)*5 + 4) = "SF"), INDEX($CZ$8:$CZ$23, COLUMNS($DU27:ED27)), "0"), "")</f>
        <v>0</v>
      </c>
      <c r="EE27" s="390" t="str">
        <f t="array" ref="EE27">IFERROR(IF(AND(INDEX($E$8:$CE$57, MATCH($C27, $C$8:$C$57, 0), (COLUMNS($DU27:EE27)-1)*5 + 1) = INDEX($E$5:$CE$5, 1, (COLUMNS($DU27:EE27)-1)*5 + 1), INDEX($E$8:$CE$57, MATCH($C27, $C$8:$C$57, 0), (COLUMNS($DU27:EE27)-1)*5 + 4) = "SF"), INDEX($CZ$8:$CZ$23, COLUMNS($DU27:EE27)), "0"), "")</f>
        <v>0</v>
      </c>
      <c r="EF27" s="390" t="str">
        <f t="array" ref="EF27">IFERROR(IF(AND(INDEX($E$8:$CE$57, MATCH($C27, $C$8:$C$57, 0), (COLUMNS($DU27:EF27)-1)*5 + 1) = INDEX($E$5:$CE$5, 1, (COLUMNS($DU27:EF27)-1)*5 + 1), INDEX($E$8:$CE$57, MATCH($C27, $C$8:$C$57, 0), (COLUMNS($DU27:EF27)-1)*5 + 4) = "SF"), INDEX($CZ$8:$CZ$23, COLUMNS($DU27:EF27)), "0"), "")</f>
        <v>0</v>
      </c>
      <c r="EG27" s="390" t="str">
        <f t="array" ref="EG27">IFERROR(IF(AND(INDEX($E$8:$CE$57, MATCH($C27, $C$8:$C$57, 0), (COLUMNS($DU27:EG27)-1)*5 + 1) = INDEX($E$5:$CE$5, 1, (COLUMNS($DU27:EG27)-1)*5 + 1), INDEX($E$8:$CE$57, MATCH($C27, $C$8:$C$57, 0), (COLUMNS($DU27:EG27)-1)*5 + 4) = "SF"), INDEX($CZ$8:$CZ$23, COLUMNS($DU27:EG27)), "0"), "")</f>
        <v>0</v>
      </c>
      <c r="EH27" s="390" t="str">
        <f t="array" ref="EH27">IFERROR(IF(AND(INDEX($E$8:$CE$57, MATCH($C27, $C$8:$C$57, 0), (COLUMNS($DU27:EH27)-1)*5 + 1) = INDEX($E$5:$CE$5, 1, (COLUMNS($DU27:EH27)-1)*5 + 1), INDEX($E$8:$CE$57, MATCH($C27, $C$8:$C$57, 0), (COLUMNS($DU27:EH27)-1)*5 + 4) = "SF"), INDEX($CZ$8:$CZ$23, COLUMNS($DU27:EH27)), "0"), "")</f>
        <v>0</v>
      </c>
      <c r="EI27" s="390" t="str">
        <f t="array" ref="EI27">IFERROR(IF(AND(INDEX($E$8:$CE$57, MATCH($C27, $C$8:$C$57, 0), (COLUMNS($DU27:EI27)-1)*5 + 1) = INDEX($E$5:$CE$5, 1, (COLUMNS($DU27:EI27)-1)*5 + 1), INDEX($E$8:$CE$57, MATCH($C27, $C$8:$C$57, 0), (COLUMNS($DU27:EI27)-1)*5 + 4) = "SF"), INDEX($CZ$8:$CZ$23, COLUMNS($DU27:EI27)), "0"), "")</f>
        <v>0</v>
      </c>
      <c r="EJ27" s="390" t="str">
        <f t="array" ref="EJ27">IFERROR(IF(AND(INDEX($E$8:$CE$57, MATCH($C27, $C$8:$C$57, 0), (COLUMNS($DU27:EJ27)-1)*5 + 1) = INDEX($E$5:$CE$5, 1, (COLUMNS($DU27:EJ27)-1)*5 + 1), INDEX($E$8:$CE$57, MATCH($C27, $C$8:$C$57, 0), (COLUMNS($DU27:EJ27)-1)*5 + 4) = "SF"), INDEX($CZ$8:$CZ$23, COLUMNS($DU27:EJ27)), "0"), "")</f>
        <v>0</v>
      </c>
    </row>
    <row r="28" spans="1:140" ht="20.100000000000001" customHeight="1" x14ac:dyDescent="0.35">
      <c r="A28" s="515"/>
      <c r="B28" s="444">
        <f>IF(SEMANA2[[#This Row],[COD]]&lt;&gt;"",B27+1,"")</f>
        <v>21</v>
      </c>
      <c r="C28" s="554" t="s">
        <v>73</v>
      </c>
      <c r="D28" s="410" t="str">
        <f t="array" ref="D28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28" s="411">
        <v>9</v>
      </c>
      <c r="F28" s="413">
        <v>2</v>
      </c>
      <c r="G28" s="413">
        <v>4</v>
      </c>
      <c r="H28" s="413"/>
      <c r="I28" s="534">
        <f t="shared" si="0"/>
        <v>0</v>
      </c>
      <c r="J28" s="411">
        <v>2</v>
      </c>
      <c r="K28" s="413">
        <v>1</v>
      </c>
      <c r="L28" s="413">
        <v>7</v>
      </c>
      <c r="M28" s="413"/>
      <c r="N28" s="534">
        <f t="shared" si="1"/>
        <v>1</v>
      </c>
      <c r="O28" s="411">
        <v>5</v>
      </c>
      <c r="P28" s="413">
        <v>7</v>
      </c>
      <c r="Q28" s="413">
        <v>3</v>
      </c>
      <c r="R28" s="413"/>
      <c r="S28" s="534">
        <f t="shared" si="2"/>
        <v>0</v>
      </c>
      <c r="T28" s="411">
        <v>3</v>
      </c>
      <c r="U28" s="413">
        <v>5</v>
      </c>
      <c r="V28" s="413">
        <v>4</v>
      </c>
      <c r="W28" s="413"/>
      <c r="X28" s="534">
        <f t="shared" si="3"/>
        <v>0</v>
      </c>
      <c r="Y28" s="411">
        <v>7</v>
      </c>
      <c r="Z28" s="413">
        <v>1</v>
      </c>
      <c r="AA28" s="413">
        <v>2</v>
      </c>
      <c r="AB28" s="413"/>
      <c r="AC28" s="534">
        <f t="shared" si="4"/>
        <v>1</v>
      </c>
      <c r="AD28" s="411">
        <v>5</v>
      </c>
      <c r="AE28" s="413">
        <v>4</v>
      </c>
      <c r="AF28" s="413">
        <v>10</v>
      </c>
      <c r="AG28" s="413"/>
      <c r="AH28" s="534">
        <f t="shared" si="5"/>
        <v>0</v>
      </c>
      <c r="AI28" s="411">
        <v>7</v>
      </c>
      <c r="AJ28" s="413">
        <v>6</v>
      </c>
      <c r="AK28" s="413">
        <v>9</v>
      </c>
      <c r="AL28" s="413" t="s">
        <v>254</v>
      </c>
      <c r="AM28" s="534">
        <f t="shared" si="6"/>
        <v>4</v>
      </c>
      <c r="AN28" s="411">
        <v>8</v>
      </c>
      <c r="AO28" s="413"/>
      <c r="AP28" s="413"/>
      <c r="AQ28" s="413" t="s">
        <v>255</v>
      </c>
      <c r="AR28" s="534">
        <f t="shared" si="7"/>
        <v>7.5</v>
      </c>
      <c r="AS28" s="411">
        <v>2</v>
      </c>
      <c r="AT28" s="413">
        <v>10</v>
      </c>
      <c r="AU28" s="413">
        <v>5</v>
      </c>
      <c r="AV28" s="413"/>
      <c r="AW28" s="534">
        <f t="shared" si="8"/>
        <v>4</v>
      </c>
      <c r="AX28" s="411">
        <v>1</v>
      </c>
      <c r="AY28" s="413">
        <v>2</v>
      </c>
      <c r="AZ28" s="413">
        <v>10</v>
      </c>
      <c r="BA28" s="413"/>
      <c r="BB28" s="534">
        <f t="shared" si="9"/>
        <v>2</v>
      </c>
      <c r="BC28" s="411">
        <v>7</v>
      </c>
      <c r="BD28" s="413">
        <v>2</v>
      </c>
      <c r="BE28" s="413">
        <v>5</v>
      </c>
      <c r="BF28" s="413" t="s">
        <v>254</v>
      </c>
      <c r="BG28" s="534">
        <f t="shared" si="10"/>
        <v>5</v>
      </c>
      <c r="BH28" s="411">
        <v>1</v>
      </c>
      <c r="BI28" s="413">
        <v>6</v>
      </c>
      <c r="BJ28" s="413">
        <v>4</v>
      </c>
      <c r="BK28" s="413"/>
      <c r="BL28" s="534">
        <f t="shared" si="11"/>
        <v>2</v>
      </c>
      <c r="BM28" s="411">
        <v>4</v>
      </c>
      <c r="BN28" s="413">
        <v>1</v>
      </c>
      <c r="BO28" s="413">
        <v>9</v>
      </c>
      <c r="BP28" s="413"/>
      <c r="BQ28" s="534">
        <f t="shared" si="12"/>
        <v>0</v>
      </c>
      <c r="BR28" s="411">
        <v>11</v>
      </c>
      <c r="BS28" s="413">
        <v>1</v>
      </c>
      <c r="BT28" s="413">
        <v>9</v>
      </c>
      <c r="BU28" s="413"/>
      <c r="BV28" s="534">
        <f t="shared" si="13"/>
        <v>2</v>
      </c>
      <c r="BW28" s="411"/>
      <c r="BX28" s="413"/>
      <c r="BY28" s="413"/>
      <c r="BZ28" s="413"/>
      <c r="CA28" s="534">
        <f t="shared" si="14"/>
        <v>0</v>
      </c>
      <c r="CB28" s="411"/>
      <c r="CC28" s="413"/>
      <c r="CD28" s="413"/>
      <c r="CE28" s="413"/>
      <c r="CF28" s="534">
        <f t="shared" si="15"/>
        <v>0</v>
      </c>
      <c r="CG28" s="162">
        <f>IF(SEMANA2[[#This Row],[1]]="",0,$B$4)</f>
        <v>14</v>
      </c>
      <c r="CH28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3</v>
      </c>
      <c r="CI28" s="164">
        <f>IF(SEMANA2[[#This Row],[Columna14]]=0,0,(CH28/CG28))</f>
        <v>0.21428571428571427</v>
      </c>
      <c r="CJ28" s="163">
        <f>IF(SEMANA2[[#This Row],[1]]="",0,$B$4)</f>
        <v>14</v>
      </c>
      <c r="CK28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28" s="164">
        <f>IF(SEMANA2[[#This Row],[Columna14]]=0,0,(CK28/CJ28))</f>
        <v>0.42857142857142855</v>
      </c>
      <c r="CM28" s="162">
        <f>IF(SEMANA2[[#This Row],[1]]="",0,$B$4)</f>
        <v>14</v>
      </c>
      <c r="CN28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9</v>
      </c>
      <c r="CO28" s="164">
        <f>IF(SEMANA2[[#This Row],[Columna14]]=0,0,(CN28/CM28))</f>
        <v>0.6428571428571429</v>
      </c>
      <c r="CP28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28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Row],[Columna25]],$AX$5,BA28,"SF")+COUNTIFS(SEMANA2[[#This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28" s="164">
        <f>IFERROR(IF(SEMANA2[[#This Row],[Columna14]]=0,0,(CQ28/CP28)),0)</f>
        <v>0.66666666666666663</v>
      </c>
      <c r="CS28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28.5</v>
      </c>
      <c r="CT28" s="93">
        <f>_xlfn.XLOOKUP(SEMANA2[[#This Row],[COD]],BASE01[COD],BASE01[Columna33])</f>
        <v>47</v>
      </c>
      <c r="CU28" s="536">
        <f t="shared" si="16"/>
        <v>75.5</v>
      </c>
      <c r="CV28" s="445">
        <f>IF(SEMANA2[[#This Row],[TIPO]]="PREMIO",$O$3,"0,00")</f>
        <v>1000</v>
      </c>
      <c r="CW28" s="515"/>
      <c r="CY28" s="387">
        <f t="shared" si="17"/>
        <v>7</v>
      </c>
      <c r="CZ28" s="387" t="str">
        <v>COD 07</v>
      </c>
      <c r="DA28" s="387">
        <f t="array" ref="DA28">IF(CZ28="", "", IF((INDEX(E$8:CE$57, MATCH(CZ28, C$8:C$57, 0), ($CZ$25-1)*5 + 1) &amp; "") = (INDEX(E$5:CE$5, 1, ($CZ$25-1)*5 + 1) &amp; ""), 1, IF((INDEX(E$8:CE$57, MATCH(CZ28, C$8:C$57, 0), ($CZ$25-1)*5 + 2) &amp; "") = (INDEX(E$5:CE$5, 1, ($CZ$25-1)*5 + 1) &amp; ""), 2, IF((INDEX(E$8:CE$57, MATCH(CZ28, C$8:C$57, 0), ($CZ$25-1)*5 + 3) &amp; "") = (INDEX(E$5:CE$5, 1, ($CZ$25-1)*5 + 1) &amp; ""), 3, ""))))</f>
        <v>3</v>
      </c>
      <c r="DB28" s="537" t="str">
        <f>SEMANA2[[#This Row],[COD]]</f>
        <v>COD 21</v>
      </c>
      <c r="DC28" s="390" t="str">
        <f t="array" ref="DC28">IFERROR(IF(AND(INDEX($E$8:$CE$57, MATCH($C28, $C$8:$C$57, 0), (COLUMNS($DC28:DC28)-1)*5 + 1) = INDEX($E$5:$CE$5, 1, (COLUMNS($DC28:DC28)-1)*5 + 1), INDEX($E$8:$CE$57, MATCH($C28, $C$8:$C$57, 0), (COLUMNS($DC28:DC28)-1)*5 + 4) = "F"), INDEX($CZ$8:$CZ$23, COLUMNS($DC28:DC28)), "0"), "")</f>
        <v>0</v>
      </c>
      <c r="DD28" s="390" t="str">
        <f t="array" ref="DD28">IFERROR(IF(AND(INDEX($E$8:$CE$57, MATCH($C28, $C$8:$C$57, 0), (COLUMNS($DC28:DD28)-1)*5 + 1) = INDEX($E$5:$CE$5, 1, (COLUMNS($DC28:DD28)-1)*5 + 1), INDEX($E$8:$CE$57, MATCH($C28, $C$8:$C$57, 0), (COLUMNS($DC28:DD28)-1)*5 + 4) = "F"), INDEX($CZ$8:$CZ$23, COLUMNS($DC28:DD28)), "0"), "")</f>
        <v>0</v>
      </c>
      <c r="DE28" s="390" t="str">
        <f t="array" ref="DE28">IFERROR(IF(AND(INDEX($E$8:$CE$57, MATCH($C28, $C$8:$C$57, 0), (COLUMNS($DC28:DE28)-1)*5 + 1) = INDEX($E$5:$CE$5, 1, (COLUMNS($DC28:DE28)-1)*5 + 1), INDEX($E$8:$CE$57, MATCH($C28, $C$8:$C$57, 0), (COLUMNS($DC28:DE28)-1)*5 + 4) = "F"), INDEX($CZ$8:$CZ$23, COLUMNS($DC28:DE28)), "0"), "")</f>
        <v>0</v>
      </c>
      <c r="DF28" s="390" t="str">
        <f t="array" ref="DF28">IFERROR(IF(AND(INDEX($E$8:$CE$57, MATCH($C28, $C$8:$C$57, 0), (COLUMNS($DC28:DF28)-1)*5 + 1) = INDEX($E$5:$CE$5, 1, (COLUMNS($DC28:DF28)-1)*5 + 1), INDEX($E$8:$CE$57, MATCH($C28, $C$8:$C$57, 0), (COLUMNS($DC28:DF28)-1)*5 + 4) = "F"), INDEX($CZ$8:$CZ$23, COLUMNS($DC28:DF28)), "0"), "")</f>
        <v>0</v>
      </c>
      <c r="DG28" s="390" t="str">
        <f t="array" ref="DG28">IFERROR(IF(AND(INDEX($E$8:$CE$57, MATCH($C28, $C$8:$C$57, 0), (COLUMNS($DC28:DG28)-1)*5 + 1) = INDEX($E$5:$CE$5, 1, (COLUMNS($DC28:DG28)-1)*5 + 1), INDEX($E$8:$CE$57, MATCH($C28, $C$8:$C$57, 0), (COLUMNS($DC28:DG28)-1)*5 + 4) = "F"), INDEX($CZ$8:$CZ$23, COLUMNS($DC28:DG28)), "0"), "")</f>
        <v>0</v>
      </c>
      <c r="DH28" s="390" t="str">
        <f t="array" ref="DH28">IFERROR(IF(AND(INDEX($E$8:$CE$57, MATCH($C28, $C$8:$C$57, 0), (COLUMNS($DC28:DH28)-1)*5 + 1) = INDEX($E$5:$CE$5, 1, (COLUMNS($DC28:DH28)-1)*5 + 1), INDEX($E$8:$CE$57, MATCH($C28, $C$8:$C$57, 0), (COLUMNS($DC28:DH28)-1)*5 + 4) = "F"), INDEX($CZ$8:$CZ$23, COLUMNS($DC28:DH28)), "0"), "")</f>
        <v>0</v>
      </c>
      <c r="DI28" s="390" t="str">
        <f t="array" ref="DI28">IFERROR(IF(AND(INDEX($E$8:$CE$57, MATCH($C28, $C$8:$C$57, 0), (COLUMNS($DC28:DI28)-1)*5 + 1) = INDEX($E$5:$CE$5, 1, (COLUMNS($DC28:DI28)-1)*5 + 1), INDEX($E$8:$CE$57, MATCH($C28, $C$8:$C$57, 0), (COLUMNS($DC28:DI28)-1)*5 + 4) = "F"), INDEX($CZ$8:$CZ$23, COLUMNS($DC28:DI28)), "0"), "")</f>
        <v>0</v>
      </c>
      <c r="DJ28" s="390" t="str">
        <f t="array" ref="DJ28">IFERROR(IF(AND(INDEX($E$8:$CE$57, MATCH($C28, $C$8:$C$57, 0), (COLUMNS($DC28:DJ28)-1)*5 + 1) = INDEX($E$5:$CE$5, 1, (COLUMNS($DC28:DJ28)-1)*5 + 1), INDEX($E$8:$CE$57, MATCH($C28, $C$8:$C$57, 0), (COLUMNS($DC28:DJ28)-1)*5 + 4) = "F"), INDEX($CZ$8:$CZ$23, COLUMNS($DC28:DJ28)), "0"), "")</f>
        <v>0</v>
      </c>
      <c r="DK28" s="390" t="str">
        <f t="array" ref="DK28">IFERROR(IF(AND(INDEX($E$8:$CE$57, MATCH($C28, $C$8:$C$57, 0), (COLUMNS($DC28:DK28)-1)*5 + 1) = INDEX($E$5:$CE$5, 1, (COLUMNS($DC28:DK28)-1)*5 + 1), INDEX($E$8:$CE$57, MATCH($C28, $C$8:$C$57, 0), (COLUMNS($DC28:DK28)-1)*5 + 4) = "F"), INDEX($CZ$8:$CZ$23, COLUMNS($DC28:DK28)), "0"), "")</f>
        <v>0</v>
      </c>
      <c r="DL28" s="390" t="str">
        <f t="array" ref="DL28">IFERROR(IF(AND(INDEX($E$8:$CE$57, MATCH($C28, $C$8:$C$57, 0), (COLUMNS($DC28:DL28)-1)*5 + 1) = INDEX($E$5:$CE$5, 1, (COLUMNS($DC28:DL28)-1)*5 + 1), INDEX($E$8:$CE$57, MATCH($C28, $C$8:$C$57, 0), (COLUMNS($DC28:DL28)-1)*5 + 4) = "F"), INDEX($CZ$8:$CZ$23, COLUMNS($DC28:DL28)), "0"), "")</f>
        <v>0</v>
      </c>
      <c r="DM28" s="390">
        <f t="array" ref="DM28">IFERROR(IF(AND(INDEX($E$8:$CE$57, MATCH($C28, $C$8:$C$57, 0), (COLUMNS($DC28:DM28)-1)*5 + 1) = INDEX($E$5:$CE$5, 1, (COLUMNS($DC28:DM28)-1)*5 + 1), INDEX($E$8:$CE$57, MATCH($C28, $C$8:$C$57, 0), (COLUMNS($DC28:DM28)-1)*5 + 4) = "F"), INDEX($CZ$8:$CZ$23, COLUMNS($DC28:DM28)), "0"), "")</f>
        <v>156.87</v>
      </c>
      <c r="DN28" s="390" t="str">
        <f t="array" ref="DN28">IFERROR(IF(AND(INDEX($E$8:$CE$57, MATCH($C28, $C$8:$C$57, 0), (COLUMNS($DC28:DN28)-1)*5 + 1) = INDEX($E$5:$CE$5, 1, (COLUMNS($DC28:DN28)-1)*5 + 1), INDEX($E$8:$CE$57, MATCH($C28, $C$8:$C$57, 0), (COLUMNS($DC28:DN28)-1)*5 + 4) = "F"), INDEX($CZ$8:$CZ$23, COLUMNS($DC28:DN28)), "0"), "")</f>
        <v>0</v>
      </c>
      <c r="DO28" s="390" t="str">
        <f t="array" ref="DO28">IFERROR(IF(AND(INDEX($E$8:$CE$57, MATCH($C28, $C$8:$C$57, 0), (COLUMNS($DC28:DO28)-1)*5 + 1) = INDEX($E$5:$CE$5, 1, (COLUMNS($DC28:DO28)-1)*5 + 1), INDEX($E$8:$CE$57, MATCH($C28, $C$8:$C$57, 0), (COLUMNS($DC28:DO28)-1)*5 + 4) = "F"), INDEX($CZ$8:$CZ$23, COLUMNS($DC28:DO28)), "0"), "")</f>
        <v>0</v>
      </c>
      <c r="DP28" s="390" t="str">
        <f t="array" ref="DP28">IFERROR(IF(AND(INDEX($E$8:$CE$57, MATCH($C28, $C$8:$C$57, 0), (COLUMNS($DC28:DP28)-1)*5 + 1) = INDEX($E$5:$CE$5, 1, (COLUMNS($DC28:DP28)-1)*5 + 1), INDEX($E$8:$CE$57, MATCH($C28, $C$8:$C$57, 0), (COLUMNS($DC28:DP28)-1)*5 + 4) = "F"), INDEX($CZ$8:$CZ$23, COLUMNS($DC28:DP28)), "0"), "")</f>
        <v>0</v>
      </c>
      <c r="DQ28" s="390" t="str">
        <f t="array" ref="DQ28">IFERROR(IF(AND(INDEX($E$8:$CE$57, MATCH($C28, $C$8:$C$57, 0), (COLUMNS($DC28:DQ28)-1)*5 + 1) = INDEX($E$5:$CE$5, 1, (COLUMNS($DC28:DQ28)-1)*5 + 1), INDEX($E$8:$CE$57, MATCH($C28, $C$8:$C$57, 0), (COLUMNS($DC28:DQ28)-1)*5 + 4) = "F"), INDEX($CZ$8:$CZ$23, COLUMNS($DC28:DQ28)), "0"), "")</f>
        <v>0</v>
      </c>
      <c r="DR28" s="390" t="str">
        <f t="array" ref="DR28">IFERROR(IF(AND(INDEX($E$8:$CE$57, MATCH($C28, $C$8:$C$57, 0), (COLUMNS($DC28:DR28)-1)*5 + 1) = INDEX($E$5:$CE$5, 1, (COLUMNS($DC28:DR28)-1)*5 + 1), INDEX($E$8:$CE$57, MATCH($C28, $C$8:$C$57, 0), (COLUMNS($DC28:DR28)-1)*5 + 4) = "F"), INDEX($CZ$8:$CZ$23, COLUMNS($DC28:DR28)), "0"), "")</f>
        <v>0</v>
      </c>
      <c r="DT28" s="537" t="str">
        <f>SEMANA2[[#This Row],[COD]]</f>
        <v>COD 21</v>
      </c>
      <c r="DU28" s="390" t="str">
        <f t="array" ref="DU28">IFERROR(IF(AND(INDEX($E$8:$CE$57, MATCH($C28, $C$8:$C$57, 0), (COLUMNS($DU28:DU28)-1)*5 + 1) = INDEX($E$5:$CE$5, 1, (COLUMNS($DU28:DU28)-1)*5 + 1), INDEX($E$8:$CE$57, MATCH($C28, $C$8:$C$57, 0), (COLUMNS($DU28:DU28)-1)*5 + 4) = "SF"), INDEX($CZ$8:$CZ$23, COLUMNS($DU28:DU28)), "0"), "")</f>
        <v>0</v>
      </c>
      <c r="DV28" s="390" t="str">
        <f t="array" ref="DV28">IFERROR(IF(AND(INDEX($E$8:$CE$57, MATCH($C28, $C$8:$C$57, 0), (COLUMNS($DU28:DV28)-1)*5 + 1) = INDEX($E$5:$CE$5, 1, (COLUMNS($DU28:DV28)-1)*5 + 1), INDEX($E$8:$CE$57, MATCH($C28, $C$8:$C$57, 0), (COLUMNS($DU28:DV28)-1)*5 + 4) = "SF"), INDEX($CZ$8:$CZ$23, COLUMNS($DU28:DV28)), "0"), "")</f>
        <v>0</v>
      </c>
      <c r="DW28" s="390" t="str">
        <f t="array" ref="DW28">IFERROR(IF(AND(INDEX($E$8:$CE$57, MATCH($C28, $C$8:$C$57, 0), (COLUMNS($DU28:DW28)-1)*5 + 1) = INDEX($E$5:$CE$5, 1, (COLUMNS($DU28:DW28)-1)*5 + 1), INDEX($E$8:$CE$57, MATCH($C28, $C$8:$C$57, 0), (COLUMNS($DU28:DW28)-1)*5 + 4) = "SF"), INDEX($CZ$8:$CZ$23, COLUMNS($DU28:DW28)), "0"), "")</f>
        <v>0</v>
      </c>
      <c r="DX28" s="390" t="str">
        <f t="array" ref="DX28">IFERROR(IF(AND(INDEX($E$8:$CE$57, MATCH($C28, $C$8:$C$57, 0), (COLUMNS($DU28:DX28)-1)*5 + 1) = INDEX($E$5:$CE$5, 1, (COLUMNS($DU28:DX28)-1)*5 + 1), INDEX($E$8:$CE$57, MATCH($C28, $C$8:$C$57, 0), (COLUMNS($DU28:DX28)-1)*5 + 4) = "SF"), INDEX($CZ$8:$CZ$23, COLUMNS($DU28:DX28)), "0"), "")</f>
        <v>0</v>
      </c>
      <c r="DY28" s="390" t="str">
        <f t="array" ref="DY28">IFERROR(IF(AND(INDEX($E$8:$CE$57, MATCH($C28, $C$8:$C$57, 0), (COLUMNS($DU28:DY28)-1)*5 + 1) = INDEX($E$5:$CE$5, 1, (COLUMNS($DU28:DY28)-1)*5 + 1), INDEX($E$8:$CE$57, MATCH($C28, $C$8:$C$57, 0), (COLUMNS($DU28:DY28)-1)*5 + 4) = "SF"), INDEX($CZ$8:$CZ$23, COLUMNS($DU28:DY28)), "0"), "")</f>
        <v>0</v>
      </c>
      <c r="DZ28" s="390" t="str">
        <f t="array" ref="DZ28">IFERROR(IF(AND(INDEX($E$8:$CE$57, MATCH($C28, $C$8:$C$57, 0), (COLUMNS($DU28:DZ28)-1)*5 + 1) = INDEX($E$5:$CE$5, 1, (COLUMNS($DU28:DZ28)-1)*5 + 1), INDEX($E$8:$CE$57, MATCH($C28, $C$8:$C$57, 0), (COLUMNS($DU28:DZ28)-1)*5 + 4) = "SF"), INDEX($CZ$8:$CZ$23, COLUMNS($DU28:DZ28)), "0"), "")</f>
        <v>0</v>
      </c>
      <c r="EA28" s="390" t="str">
        <f t="array" ref="EA28">IFERROR(IF(AND(INDEX($E$8:$CE$57, MATCH($C28, $C$8:$C$57, 0), (COLUMNS($DU28:EA28)-1)*5 + 1) = INDEX($E$5:$CE$5, 1, (COLUMNS($DU28:EA28)-1)*5 + 1), INDEX($E$8:$CE$57, MATCH($C28, $C$8:$C$57, 0), (COLUMNS($DU28:EA28)-1)*5 + 4) = "SF"), INDEX($CZ$8:$CZ$23, COLUMNS($DU28:EA28)), "0"), "")</f>
        <v>0</v>
      </c>
      <c r="EB28" s="390">
        <f t="array" ref="EB28">IFERROR(IF(AND(INDEX($E$8:$CE$57, MATCH($C28, $C$8:$C$57, 0), (COLUMNS($DU28:EB28)-1)*5 + 1) = INDEX($E$5:$CE$5, 1, (COLUMNS($DU28:EB28)-1)*5 + 1), INDEX($E$8:$CE$57, MATCH($C28, $C$8:$C$57, 0), (COLUMNS($DU28:EB28)-1)*5 + 4) = "SF"), INDEX($CZ$8:$CZ$23, COLUMNS($DU28:EB28)), "0"), "")</f>
        <v>128.36000000000001</v>
      </c>
      <c r="EC28" s="390" t="str">
        <f t="array" ref="EC28">IFERROR(IF(AND(INDEX($E$8:$CE$57, MATCH($C28, $C$8:$C$57, 0), (COLUMNS($DU28:EC28)-1)*5 + 1) = INDEX($E$5:$CE$5, 1, (COLUMNS($DU28:EC28)-1)*5 + 1), INDEX($E$8:$CE$57, MATCH($C28, $C$8:$C$57, 0), (COLUMNS($DU28:EC28)-1)*5 + 4) = "SF"), INDEX($CZ$8:$CZ$23, COLUMNS($DU28:EC28)), "0"), "")</f>
        <v>0</v>
      </c>
      <c r="ED28" s="390" t="str">
        <f t="array" ref="ED28">IFERROR(IF(AND(INDEX($E$8:$CE$57, MATCH($C28, $C$8:$C$57, 0), (COLUMNS($DU28:ED28)-1)*5 + 1) = INDEX($E$5:$CE$5, 1, (COLUMNS($DU28:ED28)-1)*5 + 1), INDEX($E$8:$CE$57, MATCH($C28, $C$8:$C$57, 0), (COLUMNS($DU28:ED28)-1)*5 + 4) = "SF"), INDEX($CZ$8:$CZ$23, COLUMNS($DU28:ED28)), "0"), "")</f>
        <v>0</v>
      </c>
      <c r="EE28" s="390" t="str">
        <f t="array" ref="EE28">IFERROR(IF(AND(INDEX($E$8:$CE$57, MATCH($C28, $C$8:$C$57, 0), (COLUMNS($DU28:EE28)-1)*5 + 1) = INDEX($E$5:$CE$5, 1, (COLUMNS($DU28:EE28)-1)*5 + 1), INDEX($E$8:$CE$57, MATCH($C28, $C$8:$C$57, 0), (COLUMNS($DU28:EE28)-1)*5 + 4) = "SF"), INDEX($CZ$8:$CZ$23, COLUMNS($DU28:EE28)), "0"), "")</f>
        <v>0</v>
      </c>
      <c r="EF28" s="390" t="str">
        <f t="array" ref="EF28">IFERROR(IF(AND(INDEX($E$8:$CE$57, MATCH($C28, $C$8:$C$57, 0), (COLUMNS($DU28:EF28)-1)*5 + 1) = INDEX($E$5:$CE$5, 1, (COLUMNS($DU28:EF28)-1)*5 + 1), INDEX($E$8:$CE$57, MATCH($C28, $C$8:$C$57, 0), (COLUMNS($DU28:EF28)-1)*5 + 4) = "SF"), INDEX($CZ$8:$CZ$23, COLUMNS($DU28:EF28)), "0"), "")</f>
        <v>0</v>
      </c>
      <c r="EG28" s="390" t="str">
        <f t="array" ref="EG28">IFERROR(IF(AND(INDEX($E$8:$CE$57, MATCH($C28, $C$8:$C$57, 0), (COLUMNS($DU28:EG28)-1)*5 + 1) = INDEX($E$5:$CE$5, 1, (COLUMNS($DU28:EG28)-1)*5 + 1), INDEX($E$8:$CE$57, MATCH($C28, $C$8:$C$57, 0), (COLUMNS($DU28:EG28)-1)*5 + 4) = "SF"), INDEX($CZ$8:$CZ$23, COLUMNS($DU28:EG28)), "0"), "")</f>
        <v>0</v>
      </c>
      <c r="EH28" s="390" t="str">
        <f t="array" ref="EH28">IFERROR(IF(AND(INDEX($E$8:$CE$57, MATCH($C28, $C$8:$C$57, 0), (COLUMNS($DU28:EH28)-1)*5 + 1) = INDEX($E$5:$CE$5, 1, (COLUMNS($DU28:EH28)-1)*5 + 1), INDEX($E$8:$CE$57, MATCH($C28, $C$8:$C$57, 0), (COLUMNS($DU28:EH28)-1)*5 + 4) = "SF"), INDEX($CZ$8:$CZ$23, COLUMNS($DU28:EH28)), "0"), "")</f>
        <v>0</v>
      </c>
      <c r="EI28" s="390" t="str">
        <f t="array" ref="EI28">IFERROR(IF(AND(INDEX($E$8:$CE$57, MATCH($C28, $C$8:$C$57, 0), (COLUMNS($DU28:EI28)-1)*5 + 1) = INDEX($E$5:$CE$5, 1, (COLUMNS($DU28:EI28)-1)*5 + 1), INDEX($E$8:$CE$57, MATCH($C28, $C$8:$C$57, 0), (COLUMNS($DU28:EI28)-1)*5 + 4) = "SF"), INDEX($CZ$8:$CZ$23, COLUMNS($DU28:EI28)), "0"), "")</f>
        <v>0</v>
      </c>
      <c r="EJ28" s="390" t="str">
        <f t="array" ref="EJ28">IFERROR(IF(AND(INDEX($E$8:$CE$57, MATCH($C28, $C$8:$C$57, 0), (COLUMNS($DU28:EJ28)-1)*5 + 1) = INDEX($E$5:$CE$5, 1, (COLUMNS($DU28:EJ28)-1)*5 + 1), INDEX($E$8:$CE$57, MATCH($C28, $C$8:$C$57, 0), (COLUMNS($DU28:EJ28)-1)*5 + 4) = "SF"), INDEX($CZ$8:$CZ$23, COLUMNS($DU28:EJ28)), "0"), "")</f>
        <v>0</v>
      </c>
    </row>
    <row r="29" spans="1:140" ht="19.5" customHeight="1" x14ac:dyDescent="0.35">
      <c r="A29" s="515"/>
      <c r="B29" s="444">
        <f>IF(SEMANA2[[#This Row],[COD]]&lt;&gt;"",B28+1,"")</f>
        <v>22</v>
      </c>
      <c r="C29" s="554" t="s">
        <v>75</v>
      </c>
      <c r="D29" s="410" t="str">
        <f t="array" ref="D29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29" s="411">
        <v>9</v>
      </c>
      <c r="F29" s="412">
        <v>6</v>
      </c>
      <c r="G29" s="412">
        <v>2</v>
      </c>
      <c r="H29" s="412"/>
      <c r="I29" s="534">
        <f t="shared" si="0"/>
        <v>2</v>
      </c>
      <c r="J29" s="411">
        <v>1</v>
      </c>
      <c r="K29" s="412">
        <v>2</v>
      </c>
      <c r="L29" s="412">
        <v>4</v>
      </c>
      <c r="M29" s="412"/>
      <c r="N29" s="534">
        <f t="shared" si="1"/>
        <v>0</v>
      </c>
      <c r="O29" s="411">
        <v>7</v>
      </c>
      <c r="P29" s="412">
        <v>8</v>
      </c>
      <c r="Q29" s="412">
        <v>5</v>
      </c>
      <c r="R29" s="412"/>
      <c r="S29" s="534">
        <f t="shared" si="2"/>
        <v>0</v>
      </c>
      <c r="T29" s="411">
        <v>1</v>
      </c>
      <c r="U29" s="412">
        <v>3</v>
      </c>
      <c r="V29" s="412">
        <v>5</v>
      </c>
      <c r="W29" s="412"/>
      <c r="X29" s="534">
        <f t="shared" si="3"/>
        <v>6</v>
      </c>
      <c r="Y29" s="411">
        <v>7</v>
      </c>
      <c r="Z29" s="412">
        <v>1</v>
      </c>
      <c r="AA29" s="412">
        <v>4</v>
      </c>
      <c r="AB29" s="412"/>
      <c r="AC29" s="534">
        <f t="shared" si="4"/>
        <v>0</v>
      </c>
      <c r="AD29" s="411">
        <v>5</v>
      </c>
      <c r="AE29" s="412">
        <v>3</v>
      </c>
      <c r="AF29" s="412">
        <v>4</v>
      </c>
      <c r="AG29" s="412"/>
      <c r="AH29" s="534">
        <f t="shared" si="5"/>
        <v>0</v>
      </c>
      <c r="AI29" s="411">
        <v>7</v>
      </c>
      <c r="AJ29" s="412">
        <v>8</v>
      </c>
      <c r="AK29" s="412">
        <v>6</v>
      </c>
      <c r="AL29" s="412"/>
      <c r="AM29" s="534">
        <f t="shared" si="6"/>
        <v>0</v>
      </c>
      <c r="AN29" s="411">
        <v>8</v>
      </c>
      <c r="AO29" s="412"/>
      <c r="AP29" s="412"/>
      <c r="AQ29" s="412" t="s">
        <v>255</v>
      </c>
      <c r="AR29" s="534">
        <f t="shared" si="7"/>
        <v>7.5</v>
      </c>
      <c r="AS29" s="411">
        <v>5</v>
      </c>
      <c r="AT29" s="412">
        <v>8</v>
      </c>
      <c r="AU29" s="412">
        <v>9</v>
      </c>
      <c r="AV29" s="412"/>
      <c r="AW29" s="534">
        <f t="shared" si="8"/>
        <v>0</v>
      </c>
      <c r="AX29" s="411">
        <v>1</v>
      </c>
      <c r="AY29" s="412">
        <v>10</v>
      </c>
      <c r="AZ29" s="412">
        <v>2</v>
      </c>
      <c r="BA29" s="412"/>
      <c r="BB29" s="534">
        <f t="shared" si="9"/>
        <v>1</v>
      </c>
      <c r="BC29" s="411">
        <v>7</v>
      </c>
      <c r="BD29" s="412">
        <v>6</v>
      </c>
      <c r="BE29" s="412">
        <v>4</v>
      </c>
      <c r="BF29" s="412"/>
      <c r="BG29" s="534">
        <f t="shared" si="10"/>
        <v>5</v>
      </c>
      <c r="BH29" s="411">
        <v>1</v>
      </c>
      <c r="BI29" s="412">
        <v>6</v>
      </c>
      <c r="BJ29" s="412">
        <v>2</v>
      </c>
      <c r="BK29" s="412" t="s">
        <v>254</v>
      </c>
      <c r="BL29" s="534">
        <f t="shared" si="11"/>
        <v>2</v>
      </c>
      <c r="BM29" s="411">
        <v>9</v>
      </c>
      <c r="BN29" s="412">
        <v>4</v>
      </c>
      <c r="BO29" s="412">
        <v>1</v>
      </c>
      <c r="BP29" s="412"/>
      <c r="BQ29" s="534">
        <f t="shared" si="12"/>
        <v>0</v>
      </c>
      <c r="BR29" s="411">
        <v>1</v>
      </c>
      <c r="BS29" s="412">
        <v>11</v>
      </c>
      <c r="BT29" s="412">
        <v>2</v>
      </c>
      <c r="BU29" s="412"/>
      <c r="BV29" s="534">
        <f t="shared" si="13"/>
        <v>4</v>
      </c>
      <c r="BW29" s="411"/>
      <c r="BX29" s="412"/>
      <c r="BY29" s="412"/>
      <c r="BZ29" s="412"/>
      <c r="CA29" s="534">
        <f t="shared" si="14"/>
        <v>0</v>
      </c>
      <c r="CB29" s="411"/>
      <c r="CC29" s="412"/>
      <c r="CD29" s="412"/>
      <c r="CE29" s="412"/>
      <c r="CF29" s="534">
        <f t="shared" si="15"/>
        <v>0</v>
      </c>
      <c r="CG29" s="162">
        <f>IF(SEMANA2[[#This Row],[1]]="",0,$B$4)</f>
        <v>14</v>
      </c>
      <c r="CH29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4</v>
      </c>
      <c r="CI29" s="164">
        <f>IF(SEMANA2[[#This Row],[Columna14]]=0,0,(CH29/CG29))</f>
        <v>0.2857142857142857</v>
      </c>
      <c r="CJ29" s="163">
        <f>IF(SEMANA2[[#This Row],[1]]="",0,$B$4)</f>
        <v>14</v>
      </c>
      <c r="CK29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29" s="164">
        <f>IF(SEMANA2[[#This Row],[Columna14]]=0,0,(CK29/CJ29))</f>
        <v>0.42857142857142855</v>
      </c>
      <c r="CM29" s="162">
        <f>IF(SEMANA2[[#This Row],[1]]="",0,$B$4)</f>
        <v>14</v>
      </c>
      <c r="CN29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7</v>
      </c>
      <c r="CO29" s="164">
        <f>IF(SEMANA2[[#This Row],[Columna14]]=0,0,(CN29/CM29))</f>
        <v>0.5</v>
      </c>
      <c r="CP29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2</v>
      </c>
      <c r="CQ29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Row],[Columna25]],$AX$5,BA29,"SF")+COUNTIFS(SEMANA2[[#This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1</v>
      </c>
      <c r="CR29" s="164">
        <f>IFERROR(IF(SEMANA2[[#This Row],[Columna14]]=0,0,(CQ29/CP29)),0)</f>
        <v>0.5</v>
      </c>
      <c r="CS29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27.5</v>
      </c>
      <c r="CT29" s="93">
        <f>_xlfn.XLOOKUP(SEMANA2[[#This Row],[COD]],BASE01[COD],BASE01[Columna33])</f>
        <v>42</v>
      </c>
      <c r="CU29" s="536">
        <f t="shared" si="16"/>
        <v>69.5</v>
      </c>
      <c r="CV29" s="445">
        <f>IF(SEMANA2[[#This Row],[TIPO]]="PREMIO",$O$3,"0,00")</f>
        <v>1000</v>
      </c>
      <c r="CW29" s="515"/>
      <c r="CY29" s="387">
        <f t="shared" si="17"/>
        <v>7</v>
      </c>
      <c r="CZ29" s="387" t="str">
        <v>COD 13</v>
      </c>
      <c r="DA29" s="387">
        <f t="array" ref="DA29">IF(CZ29="", "", IF((INDEX(E$8:CE$57, MATCH(CZ29, C$8:C$57, 0), ($CZ$25-1)*5 + 1) &amp; "") = (INDEX(E$5:CE$5, 1, ($CZ$25-1)*5 + 1) &amp; ""), 1, IF((INDEX(E$8:CE$57, MATCH(CZ29, C$8:C$57, 0), ($CZ$25-1)*5 + 2) &amp; "") = (INDEX(E$5:CE$5, 1, ($CZ$25-1)*5 + 1) &amp; ""), 2, IF((INDEX(E$8:CE$57, MATCH(CZ29, C$8:C$57, 0), ($CZ$25-1)*5 + 3) &amp; "") = (INDEX(E$5:CE$5, 1, ($CZ$25-1)*5 + 1) &amp; ""), 3, ""))))</f>
        <v>3</v>
      </c>
      <c r="DB29" s="537" t="str">
        <f>SEMANA2[[#This Row],[COD]]</f>
        <v>COD 22</v>
      </c>
      <c r="DC29" s="390" t="str">
        <f t="array" ref="DC29">IFERROR(IF(AND(INDEX($E$8:$CE$57, MATCH($C29, $C$8:$C$57, 0), (COLUMNS($DC29:DC29)-1)*5 + 1) = INDEX($E$5:$CE$5, 1, (COLUMNS($DC29:DC29)-1)*5 + 1), INDEX($E$8:$CE$57, MATCH($C29, $C$8:$C$57, 0), (COLUMNS($DC29:DC29)-1)*5 + 4) = "F"), INDEX($CZ$8:$CZ$23, COLUMNS($DC29:DC29)), "0"), "")</f>
        <v>0</v>
      </c>
      <c r="DD29" s="390" t="str">
        <f t="array" ref="DD29">IFERROR(IF(AND(INDEX($E$8:$CE$57, MATCH($C29, $C$8:$C$57, 0), (COLUMNS($DC29:DD29)-1)*5 + 1) = INDEX($E$5:$CE$5, 1, (COLUMNS($DC29:DD29)-1)*5 + 1), INDEX($E$8:$CE$57, MATCH($C29, $C$8:$C$57, 0), (COLUMNS($DC29:DD29)-1)*5 + 4) = "F"), INDEX($CZ$8:$CZ$23, COLUMNS($DC29:DD29)), "0"), "")</f>
        <v>0</v>
      </c>
      <c r="DE29" s="390" t="str">
        <f t="array" ref="DE29">IFERROR(IF(AND(INDEX($E$8:$CE$57, MATCH($C29, $C$8:$C$57, 0), (COLUMNS($DC29:DE29)-1)*5 + 1) = INDEX($E$5:$CE$5, 1, (COLUMNS($DC29:DE29)-1)*5 + 1), INDEX($E$8:$CE$57, MATCH($C29, $C$8:$C$57, 0), (COLUMNS($DC29:DE29)-1)*5 + 4) = "F"), INDEX($CZ$8:$CZ$23, COLUMNS($DC29:DE29)), "0"), "")</f>
        <v>0</v>
      </c>
      <c r="DF29" s="390" t="str">
        <f t="array" ref="DF29">IFERROR(IF(AND(INDEX($E$8:$CE$57, MATCH($C29, $C$8:$C$57, 0), (COLUMNS($DC29:DF29)-1)*5 + 1) = INDEX($E$5:$CE$5, 1, (COLUMNS($DC29:DF29)-1)*5 + 1), INDEX($E$8:$CE$57, MATCH($C29, $C$8:$C$57, 0), (COLUMNS($DC29:DF29)-1)*5 + 4) = "F"), INDEX($CZ$8:$CZ$23, COLUMNS($DC29:DF29)), "0"), "")</f>
        <v>0</v>
      </c>
      <c r="DG29" s="390" t="str">
        <f t="array" ref="DG29">IFERROR(IF(AND(INDEX($E$8:$CE$57, MATCH($C29, $C$8:$C$57, 0), (COLUMNS($DC29:DG29)-1)*5 + 1) = INDEX($E$5:$CE$5, 1, (COLUMNS($DC29:DG29)-1)*5 + 1), INDEX($E$8:$CE$57, MATCH($C29, $C$8:$C$57, 0), (COLUMNS($DC29:DG29)-1)*5 + 4) = "F"), INDEX($CZ$8:$CZ$23, COLUMNS($DC29:DG29)), "0"), "")</f>
        <v>0</v>
      </c>
      <c r="DH29" s="390" t="str">
        <f t="array" ref="DH29">IFERROR(IF(AND(INDEX($E$8:$CE$57, MATCH($C29, $C$8:$C$57, 0), (COLUMNS($DC29:DH29)-1)*5 + 1) = INDEX($E$5:$CE$5, 1, (COLUMNS($DC29:DH29)-1)*5 + 1), INDEX($E$8:$CE$57, MATCH($C29, $C$8:$C$57, 0), (COLUMNS($DC29:DH29)-1)*5 + 4) = "F"), INDEX($CZ$8:$CZ$23, COLUMNS($DC29:DH29)), "0"), "")</f>
        <v>0</v>
      </c>
      <c r="DI29" s="390" t="str">
        <f t="array" ref="DI29">IFERROR(IF(AND(INDEX($E$8:$CE$57, MATCH($C29, $C$8:$C$57, 0), (COLUMNS($DC29:DI29)-1)*5 + 1) = INDEX($E$5:$CE$5, 1, (COLUMNS($DC29:DI29)-1)*5 + 1), INDEX($E$8:$CE$57, MATCH($C29, $C$8:$C$57, 0), (COLUMNS($DC29:DI29)-1)*5 + 4) = "F"), INDEX($CZ$8:$CZ$23, COLUMNS($DC29:DI29)), "0"), "")</f>
        <v>0</v>
      </c>
      <c r="DJ29" s="390" t="str">
        <f t="array" ref="DJ29">IFERROR(IF(AND(INDEX($E$8:$CE$57, MATCH($C29, $C$8:$C$57, 0), (COLUMNS($DC29:DJ29)-1)*5 + 1) = INDEX($E$5:$CE$5, 1, (COLUMNS($DC29:DJ29)-1)*5 + 1), INDEX($E$8:$CE$57, MATCH($C29, $C$8:$C$57, 0), (COLUMNS($DC29:DJ29)-1)*5 + 4) = "F"), INDEX($CZ$8:$CZ$23, COLUMNS($DC29:DJ29)), "0"), "")</f>
        <v>0</v>
      </c>
      <c r="DK29" s="390" t="str">
        <f t="array" ref="DK29">IFERROR(IF(AND(INDEX($E$8:$CE$57, MATCH($C29, $C$8:$C$57, 0), (COLUMNS($DC29:DK29)-1)*5 + 1) = INDEX($E$5:$CE$5, 1, (COLUMNS($DC29:DK29)-1)*5 + 1), INDEX($E$8:$CE$57, MATCH($C29, $C$8:$C$57, 0), (COLUMNS($DC29:DK29)-1)*5 + 4) = "F"), INDEX($CZ$8:$CZ$23, COLUMNS($DC29:DK29)), "0"), "")</f>
        <v>0</v>
      </c>
      <c r="DL29" s="390" t="str">
        <f t="array" ref="DL29">IFERROR(IF(AND(INDEX($E$8:$CE$57, MATCH($C29, $C$8:$C$57, 0), (COLUMNS($DC29:DL29)-1)*5 + 1) = INDEX($E$5:$CE$5, 1, (COLUMNS($DC29:DL29)-1)*5 + 1), INDEX($E$8:$CE$57, MATCH($C29, $C$8:$C$57, 0), (COLUMNS($DC29:DL29)-1)*5 + 4) = "F"), INDEX($CZ$8:$CZ$23, COLUMNS($DC29:DL29)), "0"), "")</f>
        <v>0</v>
      </c>
      <c r="DM29" s="390" t="str">
        <f t="array" ref="DM29">IFERROR(IF(AND(INDEX($E$8:$CE$57, MATCH($C29, $C$8:$C$57, 0), (COLUMNS($DC29:DM29)-1)*5 + 1) = INDEX($E$5:$CE$5, 1, (COLUMNS($DC29:DM29)-1)*5 + 1), INDEX($E$8:$CE$57, MATCH($C29, $C$8:$C$57, 0), (COLUMNS($DC29:DM29)-1)*5 + 4) = "F"), INDEX($CZ$8:$CZ$23, COLUMNS($DC29:DM29)), "0"), "")</f>
        <v>0</v>
      </c>
      <c r="DN29" s="390" t="str">
        <f t="array" ref="DN29">IFERROR(IF(AND(INDEX($E$8:$CE$57, MATCH($C29, $C$8:$C$57, 0), (COLUMNS($DC29:DN29)-1)*5 + 1) = INDEX($E$5:$CE$5, 1, (COLUMNS($DC29:DN29)-1)*5 + 1), INDEX($E$8:$CE$57, MATCH($C29, $C$8:$C$57, 0), (COLUMNS($DC29:DN29)-1)*5 + 4) = "F"), INDEX($CZ$8:$CZ$23, COLUMNS($DC29:DN29)), "0"), "")</f>
        <v>0</v>
      </c>
      <c r="DO29" s="390" t="str">
        <f t="array" ref="DO29">IFERROR(IF(AND(INDEX($E$8:$CE$57, MATCH($C29, $C$8:$C$57, 0), (COLUMNS($DC29:DO29)-1)*5 + 1) = INDEX($E$5:$CE$5, 1, (COLUMNS($DC29:DO29)-1)*5 + 1), INDEX($E$8:$CE$57, MATCH($C29, $C$8:$C$57, 0), (COLUMNS($DC29:DO29)-1)*5 + 4) = "F"), INDEX($CZ$8:$CZ$23, COLUMNS($DC29:DO29)), "0"), "")</f>
        <v>0</v>
      </c>
      <c r="DP29" s="390" t="str">
        <f t="array" ref="DP29">IFERROR(IF(AND(INDEX($E$8:$CE$57, MATCH($C29, $C$8:$C$57, 0), (COLUMNS($DC29:DP29)-1)*5 + 1) = INDEX($E$5:$CE$5, 1, (COLUMNS($DC29:DP29)-1)*5 + 1), INDEX($E$8:$CE$57, MATCH($C29, $C$8:$C$57, 0), (COLUMNS($DC29:DP29)-1)*5 + 4) = "F"), INDEX($CZ$8:$CZ$23, COLUMNS($DC29:DP29)), "0"), "")</f>
        <v>0</v>
      </c>
      <c r="DQ29" s="390" t="str">
        <f t="array" ref="DQ29">IFERROR(IF(AND(INDEX($E$8:$CE$57, MATCH($C29, $C$8:$C$57, 0), (COLUMNS($DC29:DQ29)-1)*5 + 1) = INDEX($E$5:$CE$5, 1, (COLUMNS($DC29:DQ29)-1)*5 + 1), INDEX($E$8:$CE$57, MATCH($C29, $C$8:$C$57, 0), (COLUMNS($DC29:DQ29)-1)*5 + 4) = "F"), INDEX($CZ$8:$CZ$23, COLUMNS($DC29:DQ29)), "0"), "")</f>
        <v>0</v>
      </c>
      <c r="DR29" s="390" t="str">
        <f t="array" ref="DR29">IFERROR(IF(AND(INDEX($E$8:$CE$57, MATCH($C29, $C$8:$C$57, 0), (COLUMNS($DC29:DR29)-1)*5 + 1) = INDEX($E$5:$CE$5, 1, (COLUMNS($DC29:DR29)-1)*5 + 1), INDEX($E$8:$CE$57, MATCH($C29, $C$8:$C$57, 0), (COLUMNS($DC29:DR29)-1)*5 + 4) = "F"), INDEX($CZ$8:$CZ$23, COLUMNS($DC29:DR29)), "0"), "")</f>
        <v>0</v>
      </c>
      <c r="DT29" s="537" t="str">
        <f>SEMANA2[[#This Row],[COD]]</f>
        <v>COD 22</v>
      </c>
      <c r="DU29" s="390" t="str">
        <f t="array" ref="DU29">IFERROR(IF(AND(INDEX($E$8:$CE$57, MATCH($C29, $C$8:$C$57, 0), (COLUMNS($DU29:DU29)-1)*5 + 1) = INDEX($E$5:$CE$5, 1, (COLUMNS($DU29:DU29)-1)*5 + 1), INDEX($E$8:$CE$57, MATCH($C29, $C$8:$C$57, 0), (COLUMNS($DU29:DU29)-1)*5 + 4) = "SF"), INDEX($CZ$8:$CZ$23, COLUMNS($DU29:DU29)), "0"), "")</f>
        <v>0</v>
      </c>
      <c r="DV29" s="390" t="str">
        <f t="array" ref="DV29">IFERROR(IF(AND(INDEX($E$8:$CE$57, MATCH($C29, $C$8:$C$57, 0), (COLUMNS($DU29:DV29)-1)*5 + 1) = INDEX($E$5:$CE$5, 1, (COLUMNS($DU29:DV29)-1)*5 + 1), INDEX($E$8:$CE$57, MATCH($C29, $C$8:$C$57, 0), (COLUMNS($DU29:DV29)-1)*5 + 4) = "SF"), INDEX($CZ$8:$CZ$23, COLUMNS($DU29:DV29)), "0"), "")</f>
        <v>0</v>
      </c>
      <c r="DW29" s="390" t="str">
        <f t="array" ref="DW29">IFERROR(IF(AND(INDEX($E$8:$CE$57, MATCH($C29, $C$8:$C$57, 0), (COLUMNS($DU29:DW29)-1)*5 + 1) = INDEX($E$5:$CE$5, 1, (COLUMNS($DU29:DW29)-1)*5 + 1), INDEX($E$8:$CE$57, MATCH($C29, $C$8:$C$57, 0), (COLUMNS($DU29:DW29)-1)*5 + 4) = "SF"), INDEX($CZ$8:$CZ$23, COLUMNS($DU29:DW29)), "0"), "")</f>
        <v>0</v>
      </c>
      <c r="DX29" s="390" t="str">
        <f t="array" ref="DX29">IFERROR(IF(AND(INDEX($E$8:$CE$57, MATCH($C29, $C$8:$C$57, 0), (COLUMNS($DU29:DX29)-1)*5 + 1) = INDEX($E$5:$CE$5, 1, (COLUMNS($DU29:DX29)-1)*5 + 1), INDEX($E$8:$CE$57, MATCH($C29, $C$8:$C$57, 0), (COLUMNS($DU29:DX29)-1)*5 + 4) = "SF"), INDEX($CZ$8:$CZ$23, COLUMNS($DU29:DX29)), "0"), "")</f>
        <v>0</v>
      </c>
      <c r="DY29" s="390" t="str">
        <f t="array" ref="DY29">IFERROR(IF(AND(INDEX($E$8:$CE$57, MATCH($C29, $C$8:$C$57, 0), (COLUMNS($DU29:DY29)-1)*5 + 1) = INDEX($E$5:$CE$5, 1, (COLUMNS($DU29:DY29)-1)*5 + 1), INDEX($E$8:$CE$57, MATCH($C29, $C$8:$C$57, 0), (COLUMNS($DU29:DY29)-1)*5 + 4) = "SF"), INDEX($CZ$8:$CZ$23, COLUMNS($DU29:DY29)), "0"), "")</f>
        <v>0</v>
      </c>
      <c r="DZ29" s="390" t="str">
        <f t="array" ref="DZ29">IFERROR(IF(AND(INDEX($E$8:$CE$57, MATCH($C29, $C$8:$C$57, 0), (COLUMNS($DU29:DZ29)-1)*5 + 1) = INDEX($E$5:$CE$5, 1, (COLUMNS($DU29:DZ29)-1)*5 + 1), INDEX($E$8:$CE$57, MATCH($C29, $C$8:$C$57, 0), (COLUMNS($DU29:DZ29)-1)*5 + 4) = "SF"), INDEX($CZ$8:$CZ$23, COLUMNS($DU29:DZ29)), "0"), "")</f>
        <v>0</v>
      </c>
      <c r="EA29" s="390" t="str">
        <f t="array" ref="EA29">IFERROR(IF(AND(INDEX($E$8:$CE$57, MATCH($C29, $C$8:$C$57, 0), (COLUMNS($DU29:EA29)-1)*5 + 1) = INDEX($E$5:$CE$5, 1, (COLUMNS($DU29:EA29)-1)*5 + 1), INDEX($E$8:$CE$57, MATCH($C29, $C$8:$C$57, 0), (COLUMNS($DU29:EA29)-1)*5 + 4) = "SF"), INDEX($CZ$8:$CZ$23, COLUMNS($DU29:EA29)), "0"), "")</f>
        <v>0</v>
      </c>
      <c r="EB29" s="390">
        <f t="array" ref="EB29">IFERROR(IF(AND(INDEX($E$8:$CE$57, MATCH($C29, $C$8:$C$57, 0), (COLUMNS($DU29:EB29)-1)*5 + 1) = INDEX($E$5:$CE$5, 1, (COLUMNS($DU29:EB29)-1)*5 + 1), INDEX($E$8:$CE$57, MATCH($C29, $C$8:$C$57, 0), (COLUMNS($DU29:EB29)-1)*5 + 4) = "SF"), INDEX($CZ$8:$CZ$23, COLUMNS($DU29:EB29)), "0"), "")</f>
        <v>128.36000000000001</v>
      </c>
      <c r="EC29" s="390" t="str">
        <f t="array" ref="EC29">IFERROR(IF(AND(INDEX($E$8:$CE$57, MATCH($C29, $C$8:$C$57, 0), (COLUMNS($DU29:EC29)-1)*5 + 1) = INDEX($E$5:$CE$5, 1, (COLUMNS($DU29:EC29)-1)*5 + 1), INDEX($E$8:$CE$57, MATCH($C29, $C$8:$C$57, 0), (COLUMNS($DU29:EC29)-1)*5 + 4) = "SF"), INDEX($CZ$8:$CZ$23, COLUMNS($DU29:EC29)), "0"), "")</f>
        <v>0</v>
      </c>
      <c r="ED29" s="390" t="str">
        <f t="array" ref="ED29">IFERROR(IF(AND(INDEX($E$8:$CE$57, MATCH($C29, $C$8:$C$57, 0), (COLUMNS($DU29:ED29)-1)*5 + 1) = INDEX($E$5:$CE$5, 1, (COLUMNS($DU29:ED29)-1)*5 + 1), INDEX($E$8:$CE$57, MATCH($C29, $C$8:$C$57, 0), (COLUMNS($DU29:ED29)-1)*5 + 4) = "SF"), INDEX($CZ$8:$CZ$23, COLUMNS($DU29:ED29)), "0"), "")</f>
        <v>0</v>
      </c>
      <c r="EE29" s="390" t="str">
        <f t="array" ref="EE29">IFERROR(IF(AND(INDEX($E$8:$CE$57, MATCH($C29, $C$8:$C$57, 0), (COLUMNS($DU29:EE29)-1)*5 + 1) = INDEX($E$5:$CE$5, 1, (COLUMNS($DU29:EE29)-1)*5 + 1), INDEX($E$8:$CE$57, MATCH($C29, $C$8:$C$57, 0), (COLUMNS($DU29:EE29)-1)*5 + 4) = "SF"), INDEX($CZ$8:$CZ$23, COLUMNS($DU29:EE29)), "0"), "")</f>
        <v>0</v>
      </c>
      <c r="EF29" s="390" t="str">
        <f t="array" ref="EF29">IFERROR(IF(AND(INDEX($E$8:$CE$57, MATCH($C29, $C$8:$C$57, 0), (COLUMNS($DU29:EF29)-1)*5 + 1) = INDEX($E$5:$CE$5, 1, (COLUMNS($DU29:EF29)-1)*5 + 1), INDEX($E$8:$CE$57, MATCH($C29, $C$8:$C$57, 0), (COLUMNS($DU29:EF29)-1)*5 + 4) = "SF"), INDEX($CZ$8:$CZ$23, COLUMNS($DU29:EF29)), "0"), "")</f>
        <v>0</v>
      </c>
      <c r="EG29" s="390" t="str">
        <f t="array" ref="EG29">IFERROR(IF(AND(INDEX($E$8:$CE$57, MATCH($C29, $C$8:$C$57, 0), (COLUMNS($DU29:EG29)-1)*5 + 1) = INDEX($E$5:$CE$5, 1, (COLUMNS($DU29:EG29)-1)*5 + 1), INDEX($E$8:$CE$57, MATCH($C29, $C$8:$C$57, 0), (COLUMNS($DU29:EG29)-1)*5 + 4) = "SF"), INDEX($CZ$8:$CZ$23, COLUMNS($DU29:EG29)), "0"), "")</f>
        <v>0</v>
      </c>
      <c r="EH29" s="390" t="str">
        <f t="array" ref="EH29">IFERROR(IF(AND(INDEX($E$8:$CE$57, MATCH($C29, $C$8:$C$57, 0), (COLUMNS($DU29:EH29)-1)*5 + 1) = INDEX($E$5:$CE$5, 1, (COLUMNS($DU29:EH29)-1)*5 + 1), INDEX($E$8:$CE$57, MATCH($C29, $C$8:$C$57, 0), (COLUMNS($DU29:EH29)-1)*5 + 4) = "SF"), INDEX($CZ$8:$CZ$23, COLUMNS($DU29:EH29)), "0"), "")</f>
        <v>0</v>
      </c>
      <c r="EI29" s="390" t="str">
        <f t="array" ref="EI29">IFERROR(IF(AND(INDEX($E$8:$CE$57, MATCH($C29, $C$8:$C$57, 0), (COLUMNS($DU29:EI29)-1)*5 + 1) = INDEX($E$5:$CE$5, 1, (COLUMNS($DU29:EI29)-1)*5 + 1), INDEX($E$8:$CE$57, MATCH($C29, $C$8:$C$57, 0), (COLUMNS($DU29:EI29)-1)*5 + 4) = "SF"), INDEX($CZ$8:$CZ$23, COLUMNS($DU29:EI29)), "0"), "")</f>
        <v>0</v>
      </c>
      <c r="EJ29" s="390" t="str">
        <f t="array" ref="EJ29">IFERROR(IF(AND(INDEX($E$8:$CE$57, MATCH($C29, $C$8:$C$57, 0), (COLUMNS($DU29:EJ29)-1)*5 + 1) = INDEX($E$5:$CE$5, 1, (COLUMNS($DU29:EJ29)-1)*5 + 1), INDEX($E$8:$CE$57, MATCH($C29, $C$8:$C$57, 0), (COLUMNS($DU29:EJ29)-1)*5 + 4) = "SF"), INDEX($CZ$8:$CZ$23, COLUMNS($DU29:EJ29)), "0"), "")</f>
        <v>0</v>
      </c>
    </row>
    <row r="30" spans="1:140" ht="19.5" customHeight="1" x14ac:dyDescent="0.35">
      <c r="A30" s="515"/>
      <c r="B30" s="444">
        <f>IF(SEMANA2[[#This Row],[COD]]&lt;&gt;"",B29+1,"")</f>
        <v>23</v>
      </c>
      <c r="C30" s="554" t="s">
        <v>77</v>
      </c>
      <c r="D30" s="410" t="str">
        <f t="array" ref="D30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30" s="411">
        <v>3</v>
      </c>
      <c r="F30" s="413">
        <v>2</v>
      </c>
      <c r="G30" s="413">
        <v>4</v>
      </c>
      <c r="H30" s="413"/>
      <c r="I30" s="534">
        <f t="shared" si="0"/>
        <v>0</v>
      </c>
      <c r="J30" s="411">
        <v>2</v>
      </c>
      <c r="K30" s="413">
        <v>10</v>
      </c>
      <c r="L30" s="413">
        <v>7</v>
      </c>
      <c r="M30" s="413"/>
      <c r="N30" s="534">
        <f t="shared" si="1"/>
        <v>1</v>
      </c>
      <c r="O30" s="411">
        <v>5</v>
      </c>
      <c r="P30" s="413">
        <v>3</v>
      </c>
      <c r="Q30" s="413">
        <v>1</v>
      </c>
      <c r="R30" s="413" t="s">
        <v>254</v>
      </c>
      <c r="S30" s="534">
        <f t="shared" si="2"/>
        <v>1</v>
      </c>
      <c r="T30" s="411">
        <v>5</v>
      </c>
      <c r="U30" s="413">
        <v>3</v>
      </c>
      <c r="V30" s="413">
        <v>4</v>
      </c>
      <c r="W30" s="413"/>
      <c r="X30" s="534">
        <f t="shared" si="3"/>
        <v>0</v>
      </c>
      <c r="Y30" s="411">
        <v>2</v>
      </c>
      <c r="Z30" s="413">
        <v>4</v>
      </c>
      <c r="AA30" s="413">
        <v>7</v>
      </c>
      <c r="AB30" s="413"/>
      <c r="AC30" s="534">
        <f t="shared" si="4"/>
        <v>7</v>
      </c>
      <c r="AD30" s="411">
        <v>3</v>
      </c>
      <c r="AE30" s="413">
        <v>10</v>
      </c>
      <c r="AF30" s="413">
        <v>5</v>
      </c>
      <c r="AG30" s="413"/>
      <c r="AH30" s="534">
        <f t="shared" si="5"/>
        <v>0</v>
      </c>
      <c r="AI30" s="411">
        <v>6</v>
      </c>
      <c r="AJ30" s="413">
        <v>7</v>
      </c>
      <c r="AK30" s="413">
        <v>1</v>
      </c>
      <c r="AL30" s="413"/>
      <c r="AM30" s="534">
        <f t="shared" si="6"/>
        <v>0</v>
      </c>
      <c r="AN30" s="411">
        <v>8</v>
      </c>
      <c r="AO30" s="413"/>
      <c r="AP30" s="413"/>
      <c r="AQ30" s="413" t="s">
        <v>255</v>
      </c>
      <c r="AR30" s="534">
        <f t="shared" si="7"/>
        <v>7.5</v>
      </c>
      <c r="AS30" s="411">
        <v>7</v>
      </c>
      <c r="AT30" s="413">
        <v>2</v>
      </c>
      <c r="AU30" s="413">
        <v>10</v>
      </c>
      <c r="AV30" s="413"/>
      <c r="AW30" s="534">
        <f t="shared" si="8"/>
        <v>2</v>
      </c>
      <c r="AX30" s="411">
        <v>1</v>
      </c>
      <c r="AY30" s="413">
        <v>4</v>
      </c>
      <c r="AZ30" s="413">
        <v>5</v>
      </c>
      <c r="BA30" s="413"/>
      <c r="BB30" s="534">
        <f t="shared" si="9"/>
        <v>0</v>
      </c>
      <c r="BC30" s="411">
        <v>5</v>
      </c>
      <c r="BD30" s="413">
        <v>2</v>
      </c>
      <c r="BE30" s="413">
        <v>7</v>
      </c>
      <c r="BF30" s="413"/>
      <c r="BG30" s="534">
        <f t="shared" si="10"/>
        <v>1</v>
      </c>
      <c r="BH30" s="411">
        <v>6</v>
      </c>
      <c r="BI30" s="413">
        <v>1</v>
      </c>
      <c r="BJ30" s="413">
        <v>8</v>
      </c>
      <c r="BK30" s="413" t="s">
        <v>254</v>
      </c>
      <c r="BL30" s="534">
        <f t="shared" si="11"/>
        <v>5</v>
      </c>
      <c r="BM30" s="411">
        <v>1</v>
      </c>
      <c r="BN30" s="413">
        <v>3</v>
      </c>
      <c r="BO30" s="413">
        <v>6</v>
      </c>
      <c r="BP30" s="413"/>
      <c r="BQ30" s="534">
        <f t="shared" si="12"/>
        <v>0</v>
      </c>
      <c r="BR30" s="411">
        <v>11</v>
      </c>
      <c r="BS30" s="413">
        <v>5</v>
      </c>
      <c r="BT30" s="413">
        <v>1</v>
      </c>
      <c r="BU30" s="413"/>
      <c r="BV30" s="534">
        <f t="shared" si="13"/>
        <v>3</v>
      </c>
      <c r="BW30" s="411"/>
      <c r="BX30" s="413"/>
      <c r="BY30" s="413"/>
      <c r="BZ30" s="413"/>
      <c r="CA30" s="534">
        <f t="shared" si="14"/>
        <v>0</v>
      </c>
      <c r="CB30" s="411"/>
      <c r="CC30" s="413"/>
      <c r="CD30" s="413"/>
      <c r="CE30" s="413"/>
      <c r="CF30" s="534">
        <f t="shared" si="15"/>
        <v>0</v>
      </c>
      <c r="CG30" s="162">
        <f>IF(SEMANA2[[#This Row],[1]]="",0,$B$4)</f>
        <v>14</v>
      </c>
      <c r="CH30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3</v>
      </c>
      <c r="CI30" s="164">
        <f>IF(SEMANA2[[#This Row],[Columna14]]=0,0,(CH30/CG30))</f>
        <v>0.21428571428571427</v>
      </c>
      <c r="CJ30" s="163">
        <f>IF(SEMANA2[[#This Row],[1]]="",0,$B$4)</f>
        <v>14</v>
      </c>
      <c r="CK30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4</v>
      </c>
      <c r="CL30" s="164">
        <f>IF(SEMANA2[[#This Row],[Columna14]]=0,0,(CK30/CJ30))</f>
        <v>0.2857142857142857</v>
      </c>
      <c r="CM30" s="162">
        <f>IF(SEMANA2[[#This Row],[1]]="",0,$B$4)</f>
        <v>14</v>
      </c>
      <c r="CN30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8</v>
      </c>
      <c r="CO30" s="164">
        <f>IF(SEMANA2[[#This Row],[Columna14]]=0,0,(CN30/CM30))</f>
        <v>0.5714285714285714</v>
      </c>
      <c r="CP30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30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Row],[Columna25]],$AX$5,BA30,"SF")+COUNTIFS(SEMANA2[[#This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30" s="164">
        <f>IFERROR(IF(SEMANA2[[#This Row],[Columna14]]=0,0,(CQ30/CP30)),0)</f>
        <v>0.66666666666666663</v>
      </c>
      <c r="CS30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27.5</v>
      </c>
      <c r="CT30" s="93">
        <f>_xlfn.XLOOKUP(SEMANA2[[#This Row],[COD]],BASE01[COD],BASE01[Columna33])</f>
        <v>41</v>
      </c>
      <c r="CU30" s="536">
        <f t="shared" si="16"/>
        <v>68.5</v>
      </c>
      <c r="CV30" s="445">
        <f>IF(SEMANA2[[#This Row],[TIPO]]="PREMIO",$O$3,"0,00")</f>
        <v>1000</v>
      </c>
      <c r="CW30" s="515"/>
      <c r="CY30" s="387">
        <f t="shared" si="17"/>
        <v>7</v>
      </c>
      <c r="CZ30" s="387" t="str">
        <v>COD 15</v>
      </c>
      <c r="DA30" s="387">
        <f t="array" ref="DA30">IF(CZ30="", "", IF((INDEX(E$8:CE$57, MATCH(CZ30, C$8:C$57, 0), ($CZ$25-1)*5 + 1) &amp; "") = (INDEX(E$5:CE$5, 1, ($CZ$25-1)*5 + 1) &amp; ""), 1, IF((INDEX(E$8:CE$57, MATCH(CZ30, C$8:C$57, 0), ($CZ$25-1)*5 + 2) &amp; "") = (INDEX(E$5:CE$5, 1, ($CZ$25-1)*5 + 1) &amp; ""), 2, IF((INDEX(E$8:CE$57, MATCH(CZ30, C$8:C$57, 0), ($CZ$25-1)*5 + 3) &amp; "") = (INDEX(E$5:CE$5, 1, ($CZ$25-1)*5 + 1) &amp; ""), 3, ""))))</f>
        <v>3</v>
      </c>
      <c r="DB30" s="537" t="str">
        <f>SEMANA2[[#This Row],[COD]]</f>
        <v>COD 23</v>
      </c>
      <c r="DC30" s="390" t="str">
        <f t="array" ref="DC30">IFERROR(IF(AND(INDEX($E$8:$CE$57, MATCH($C30, $C$8:$C$57, 0), (COLUMNS($DC30:DC30)-1)*5 + 1) = INDEX($E$5:$CE$5, 1, (COLUMNS($DC30:DC30)-1)*5 + 1), INDEX($E$8:$CE$57, MATCH($C30, $C$8:$C$57, 0), (COLUMNS($DC30:DC30)-1)*5 + 4) = "F"), INDEX($CZ$8:$CZ$23, COLUMNS($DC30:DC30)), "0"), "")</f>
        <v>0</v>
      </c>
      <c r="DD30" s="390" t="str">
        <f t="array" ref="DD30">IFERROR(IF(AND(INDEX($E$8:$CE$57, MATCH($C30, $C$8:$C$57, 0), (COLUMNS($DC30:DD30)-1)*5 + 1) = INDEX($E$5:$CE$5, 1, (COLUMNS($DC30:DD30)-1)*5 + 1), INDEX($E$8:$CE$57, MATCH($C30, $C$8:$C$57, 0), (COLUMNS($DC30:DD30)-1)*5 + 4) = "F"), INDEX($CZ$8:$CZ$23, COLUMNS($DC30:DD30)), "0"), "")</f>
        <v>0</v>
      </c>
      <c r="DE30" s="390" t="str">
        <f t="array" ref="DE30">IFERROR(IF(AND(INDEX($E$8:$CE$57, MATCH($C30, $C$8:$C$57, 0), (COLUMNS($DC30:DE30)-1)*5 + 1) = INDEX($E$5:$CE$5, 1, (COLUMNS($DC30:DE30)-1)*5 + 1), INDEX($E$8:$CE$57, MATCH($C30, $C$8:$C$57, 0), (COLUMNS($DC30:DE30)-1)*5 + 4) = "F"), INDEX($CZ$8:$CZ$23, COLUMNS($DC30:DE30)), "0"), "")</f>
        <v>0</v>
      </c>
      <c r="DF30" s="390" t="str">
        <f t="array" ref="DF30">IFERROR(IF(AND(INDEX($E$8:$CE$57, MATCH($C30, $C$8:$C$57, 0), (COLUMNS($DC30:DF30)-1)*5 + 1) = INDEX($E$5:$CE$5, 1, (COLUMNS($DC30:DF30)-1)*5 + 1), INDEX($E$8:$CE$57, MATCH($C30, $C$8:$C$57, 0), (COLUMNS($DC30:DF30)-1)*5 + 4) = "F"), INDEX($CZ$8:$CZ$23, COLUMNS($DC30:DF30)), "0"), "")</f>
        <v>0</v>
      </c>
      <c r="DG30" s="390" t="str">
        <f t="array" ref="DG30">IFERROR(IF(AND(INDEX($E$8:$CE$57, MATCH($C30, $C$8:$C$57, 0), (COLUMNS($DC30:DG30)-1)*5 + 1) = INDEX($E$5:$CE$5, 1, (COLUMNS($DC30:DG30)-1)*5 + 1), INDEX($E$8:$CE$57, MATCH($C30, $C$8:$C$57, 0), (COLUMNS($DC30:DG30)-1)*5 + 4) = "F"), INDEX($CZ$8:$CZ$23, COLUMNS($DC30:DG30)), "0"), "")</f>
        <v>0</v>
      </c>
      <c r="DH30" s="390" t="str">
        <f t="array" ref="DH30">IFERROR(IF(AND(INDEX($E$8:$CE$57, MATCH($C30, $C$8:$C$57, 0), (COLUMNS($DC30:DH30)-1)*5 + 1) = INDEX($E$5:$CE$5, 1, (COLUMNS($DC30:DH30)-1)*5 + 1), INDEX($E$8:$CE$57, MATCH($C30, $C$8:$C$57, 0), (COLUMNS($DC30:DH30)-1)*5 + 4) = "F"), INDEX($CZ$8:$CZ$23, COLUMNS($DC30:DH30)), "0"), "")</f>
        <v>0</v>
      </c>
      <c r="DI30" s="390" t="str">
        <f t="array" ref="DI30">IFERROR(IF(AND(INDEX($E$8:$CE$57, MATCH($C30, $C$8:$C$57, 0), (COLUMNS($DC30:DI30)-1)*5 + 1) = INDEX($E$5:$CE$5, 1, (COLUMNS($DC30:DI30)-1)*5 + 1), INDEX($E$8:$CE$57, MATCH($C30, $C$8:$C$57, 0), (COLUMNS($DC30:DI30)-1)*5 + 4) = "F"), INDEX($CZ$8:$CZ$23, COLUMNS($DC30:DI30)), "0"), "")</f>
        <v>0</v>
      </c>
      <c r="DJ30" s="390" t="str">
        <f t="array" ref="DJ30">IFERROR(IF(AND(INDEX($E$8:$CE$57, MATCH($C30, $C$8:$C$57, 0), (COLUMNS($DC30:DJ30)-1)*5 + 1) = INDEX($E$5:$CE$5, 1, (COLUMNS($DC30:DJ30)-1)*5 + 1), INDEX($E$8:$CE$57, MATCH($C30, $C$8:$C$57, 0), (COLUMNS($DC30:DJ30)-1)*5 + 4) = "F"), INDEX($CZ$8:$CZ$23, COLUMNS($DC30:DJ30)), "0"), "")</f>
        <v>0</v>
      </c>
      <c r="DK30" s="390" t="str">
        <f t="array" ref="DK30">IFERROR(IF(AND(INDEX($E$8:$CE$57, MATCH($C30, $C$8:$C$57, 0), (COLUMNS($DC30:DK30)-1)*5 + 1) = INDEX($E$5:$CE$5, 1, (COLUMNS($DC30:DK30)-1)*5 + 1), INDEX($E$8:$CE$57, MATCH($C30, $C$8:$C$57, 0), (COLUMNS($DC30:DK30)-1)*5 + 4) = "F"), INDEX($CZ$8:$CZ$23, COLUMNS($DC30:DK30)), "0"), "")</f>
        <v>0</v>
      </c>
      <c r="DL30" s="390" t="str">
        <f t="array" ref="DL30">IFERROR(IF(AND(INDEX($E$8:$CE$57, MATCH($C30, $C$8:$C$57, 0), (COLUMNS($DC30:DL30)-1)*5 + 1) = INDEX($E$5:$CE$5, 1, (COLUMNS($DC30:DL30)-1)*5 + 1), INDEX($E$8:$CE$57, MATCH($C30, $C$8:$C$57, 0), (COLUMNS($DC30:DL30)-1)*5 + 4) = "F"), INDEX($CZ$8:$CZ$23, COLUMNS($DC30:DL30)), "0"), "")</f>
        <v>0</v>
      </c>
      <c r="DM30" s="390" t="str">
        <f t="array" ref="DM30">IFERROR(IF(AND(INDEX($E$8:$CE$57, MATCH($C30, $C$8:$C$57, 0), (COLUMNS($DC30:DM30)-1)*5 + 1) = INDEX($E$5:$CE$5, 1, (COLUMNS($DC30:DM30)-1)*5 + 1), INDEX($E$8:$CE$57, MATCH($C30, $C$8:$C$57, 0), (COLUMNS($DC30:DM30)-1)*5 + 4) = "F"), INDEX($CZ$8:$CZ$23, COLUMNS($DC30:DM30)), "0"), "")</f>
        <v>0</v>
      </c>
      <c r="DN30" s="390">
        <f t="array" ref="DN30">IFERROR(IF(AND(INDEX($E$8:$CE$57, MATCH($C30, $C$8:$C$57, 0), (COLUMNS($DC30:DN30)-1)*5 + 1) = INDEX($E$5:$CE$5, 1, (COLUMNS($DC30:DN30)-1)*5 + 1), INDEX($E$8:$CE$57, MATCH($C30, $C$8:$C$57, 0), (COLUMNS($DC30:DN30)-1)*5 + 4) = "F"), INDEX($CZ$8:$CZ$23, COLUMNS($DC30:DN30)), "0"), "")</f>
        <v>177.86</v>
      </c>
      <c r="DO30" s="390" t="str">
        <f t="array" ref="DO30">IFERROR(IF(AND(INDEX($E$8:$CE$57, MATCH($C30, $C$8:$C$57, 0), (COLUMNS($DC30:DO30)-1)*5 + 1) = INDEX($E$5:$CE$5, 1, (COLUMNS($DC30:DO30)-1)*5 + 1), INDEX($E$8:$CE$57, MATCH($C30, $C$8:$C$57, 0), (COLUMNS($DC30:DO30)-1)*5 + 4) = "F"), INDEX($CZ$8:$CZ$23, COLUMNS($DC30:DO30)), "0"), "")</f>
        <v>0</v>
      </c>
      <c r="DP30" s="390" t="str">
        <f t="array" ref="DP30">IFERROR(IF(AND(INDEX($E$8:$CE$57, MATCH($C30, $C$8:$C$57, 0), (COLUMNS($DC30:DP30)-1)*5 + 1) = INDEX($E$5:$CE$5, 1, (COLUMNS($DC30:DP30)-1)*5 + 1), INDEX($E$8:$CE$57, MATCH($C30, $C$8:$C$57, 0), (COLUMNS($DC30:DP30)-1)*5 + 4) = "F"), INDEX($CZ$8:$CZ$23, COLUMNS($DC30:DP30)), "0"), "")</f>
        <v>0</v>
      </c>
      <c r="DQ30" s="390" t="str">
        <f t="array" ref="DQ30">IFERROR(IF(AND(INDEX($E$8:$CE$57, MATCH($C30, $C$8:$C$57, 0), (COLUMNS($DC30:DQ30)-1)*5 + 1) = INDEX($E$5:$CE$5, 1, (COLUMNS($DC30:DQ30)-1)*5 + 1), INDEX($E$8:$CE$57, MATCH($C30, $C$8:$C$57, 0), (COLUMNS($DC30:DQ30)-1)*5 + 4) = "F"), INDEX($CZ$8:$CZ$23, COLUMNS($DC30:DQ30)), "0"), "")</f>
        <v>0</v>
      </c>
      <c r="DR30" s="390" t="str">
        <f t="array" ref="DR30">IFERROR(IF(AND(INDEX($E$8:$CE$57, MATCH($C30, $C$8:$C$57, 0), (COLUMNS($DC30:DR30)-1)*5 + 1) = INDEX($E$5:$CE$5, 1, (COLUMNS($DC30:DR30)-1)*5 + 1), INDEX($E$8:$CE$57, MATCH($C30, $C$8:$C$57, 0), (COLUMNS($DC30:DR30)-1)*5 + 4) = "F"), INDEX($CZ$8:$CZ$23, COLUMNS($DC30:DR30)), "0"), "")</f>
        <v>0</v>
      </c>
      <c r="DT30" s="537" t="str">
        <f>SEMANA2[[#This Row],[COD]]</f>
        <v>COD 23</v>
      </c>
      <c r="DU30" s="390" t="str">
        <f t="array" ref="DU30">IFERROR(IF(AND(INDEX($E$8:$CE$57, MATCH($C30, $C$8:$C$57, 0), (COLUMNS($DU30:DU30)-1)*5 + 1) = INDEX($E$5:$CE$5, 1, (COLUMNS($DU30:DU30)-1)*5 + 1), INDEX($E$8:$CE$57, MATCH($C30, $C$8:$C$57, 0), (COLUMNS($DU30:DU30)-1)*5 + 4) = "SF"), INDEX($CZ$8:$CZ$23, COLUMNS($DU30:DU30)), "0"), "")</f>
        <v>0</v>
      </c>
      <c r="DV30" s="390" t="str">
        <f t="array" ref="DV30">IFERROR(IF(AND(INDEX($E$8:$CE$57, MATCH($C30, $C$8:$C$57, 0), (COLUMNS($DU30:DV30)-1)*5 + 1) = INDEX($E$5:$CE$5, 1, (COLUMNS($DU30:DV30)-1)*5 + 1), INDEX($E$8:$CE$57, MATCH($C30, $C$8:$C$57, 0), (COLUMNS($DU30:DV30)-1)*5 + 4) = "SF"), INDEX($CZ$8:$CZ$23, COLUMNS($DU30:DV30)), "0"), "")</f>
        <v>0</v>
      </c>
      <c r="DW30" s="390" t="str">
        <f t="array" ref="DW30">IFERROR(IF(AND(INDEX($E$8:$CE$57, MATCH($C30, $C$8:$C$57, 0), (COLUMNS($DU30:DW30)-1)*5 + 1) = INDEX($E$5:$CE$5, 1, (COLUMNS($DU30:DW30)-1)*5 + 1), INDEX($E$8:$CE$57, MATCH($C30, $C$8:$C$57, 0), (COLUMNS($DU30:DW30)-1)*5 + 4) = "SF"), INDEX($CZ$8:$CZ$23, COLUMNS($DU30:DW30)), "0"), "")</f>
        <v>0</v>
      </c>
      <c r="DX30" s="390" t="str">
        <f t="array" ref="DX30">IFERROR(IF(AND(INDEX($E$8:$CE$57, MATCH($C30, $C$8:$C$57, 0), (COLUMNS($DU30:DX30)-1)*5 + 1) = INDEX($E$5:$CE$5, 1, (COLUMNS($DU30:DX30)-1)*5 + 1), INDEX($E$8:$CE$57, MATCH($C30, $C$8:$C$57, 0), (COLUMNS($DU30:DX30)-1)*5 + 4) = "SF"), INDEX($CZ$8:$CZ$23, COLUMNS($DU30:DX30)), "0"), "")</f>
        <v>0</v>
      </c>
      <c r="DY30" s="390" t="str">
        <f t="array" ref="DY30">IFERROR(IF(AND(INDEX($E$8:$CE$57, MATCH($C30, $C$8:$C$57, 0), (COLUMNS($DU30:DY30)-1)*5 + 1) = INDEX($E$5:$CE$5, 1, (COLUMNS($DU30:DY30)-1)*5 + 1), INDEX($E$8:$CE$57, MATCH($C30, $C$8:$C$57, 0), (COLUMNS($DU30:DY30)-1)*5 + 4) = "SF"), INDEX($CZ$8:$CZ$23, COLUMNS($DU30:DY30)), "0"), "")</f>
        <v>0</v>
      </c>
      <c r="DZ30" s="390" t="str">
        <f t="array" ref="DZ30">IFERROR(IF(AND(INDEX($E$8:$CE$57, MATCH($C30, $C$8:$C$57, 0), (COLUMNS($DU30:DZ30)-1)*5 + 1) = INDEX($E$5:$CE$5, 1, (COLUMNS($DU30:DZ30)-1)*5 + 1), INDEX($E$8:$CE$57, MATCH($C30, $C$8:$C$57, 0), (COLUMNS($DU30:DZ30)-1)*5 + 4) = "SF"), INDEX($CZ$8:$CZ$23, COLUMNS($DU30:DZ30)), "0"), "")</f>
        <v>0</v>
      </c>
      <c r="EA30" s="390" t="str">
        <f t="array" ref="EA30">IFERROR(IF(AND(INDEX($E$8:$CE$57, MATCH($C30, $C$8:$C$57, 0), (COLUMNS($DU30:EA30)-1)*5 + 1) = INDEX($E$5:$CE$5, 1, (COLUMNS($DU30:EA30)-1)*5 + 1), INDEX($E$8:$CE$57, MATCH($C30, $C$8:$C$57, 0), (COLUMNS($DU30:EA30)-1)*5 + 4) = "SF"), INDEX($CZ$8:$CZ$23, COLUMNS($DU30:EA30)), "0"), "")</f>
        <v>0</v>
      </c>
      <c r="EB30" s="390">
        <f t="array" ref="EB30">IFERROR(IF(AND(INDEX($E$8:$CE$57, MATCH($C30, $C$8:$C$57, 0), (COLUMNS($DU30:EB30)-1)*5 + 1) = INDEX($E$5:$CE$5, 1, (COLUMNS($DU30:EB30)-1)*5 + 1), INDEX($E$8:$CE$57, MATCH($C30, $C$8:$C$57, 0), (COLUMNS($DU30:EB30)-1)*5 + 4) = "SF"), INDEX($CZ$8:$CZ$23, COLUMNS($DU30:EB30)), "0"), "")</f>
        <v>128.36000000000001</v>
      </c>
      <c r="EC30" s="390" t="str">
        <f t="array" ref="EC30">IFERROR(IF(AND(INDEX($E$8:$CE$57, MATCH($C30, $C$8:$C$57, 0), (COLUMNS($DU30:EC30)-1)*5 + 1) = INDEX($E$5:$CE$5, 1, (COLUMNS($DU30:EC30)-1)*5 + 1), INDEX($E$8:$CE$57, MATCH($C30, $C$8:$C$57, 0), (COLUMNS($DU30:EC30)-1)*5 + 4) = "SF"), INDEX($CZ$8:$CZ$23, COLUMNS($DU30:EC30)), "0"), "")</f>
        <v>0</v>
      </c>
      <c r="ED30" s="390" t="str">
        <f t="array" ref="ED30">IFERROR(IF(AND(INDEX($E$8:$CE$57, MATCH($C30, $C$8:$C$57, 0), (COLUMNS($DU30:ED30)-1)*5 + 1) = INDEX($E$5:$CE$5, 1, (COLUMNS($DU30:ED30)-1)*5 + 1), INDEX($E$8:$CE$57, MATCH($C30, $C$8:$C$57, 0), (COLUMNS($DU30:ED30)-1)*5 + 4) = "SF"), INDEX($CZ$8:$CZ$23, COLUMNS($DU30:ED30)), "0"), "")</f>
        <v>0</v>
      </c>
      <c r="EE30" s="390" t="str">
        <f t="array" ref="EE30">IFERROR(IF(AND(INDEX($E$8:$CE$57, MATCH($C30, $C$8:$C$57, 0), (COLUMNS($DU30:EE30)-1)*5 + 1) = INDEX($E$5:$CE$5, 1, (COLUMNS($DU30:EE30)-1)*5 + 1), INDEX($E$8:$CE$57, MATCH($C30, $C$8:$C$57, 0), (COLUMNS($DU30:EE30)-1)*5 + 4) = "SF"), INDEX($CZ$8:$CZ$23, COLUMNS($DU30:EE30)), "0"), "")</f>
        <v>0</v>
      </c>
      <c r="EF30" s="390" t="str">
        <f t="array" ref="EF30">IFERROR(IF(AND(INDEX($E$8:$CE$57, MATCH($C30, $C$8:$C$57, 0), (COLUMNS($DU30:EF30)-1)*5 + 1) = INDEX($E$5:$CE$5, 1, (COLUMNS($DU30:EF30)-1)*5 + 1), INDEX($E$8:$CE$57, MATCH($C30, $C$8:$C$57, 0), (COLUMNS($DU30:EF30)-1)*5 + 4) = "SF"), INDEX($CZ$8:$CZ$23, COLUMNS($DU30:EF30)), "0"), "")</f>
        <v>0</v>
      </c>
      <c r="EG30" s="390" t="str">
        <f t="array" ref="EG30">IFERROR(IF(AND(INDEX($E$8:$CE$57, MATCH($C30, $C$8:$C$57, 0), (COLUMNS($DU30:EG30)-1)*5 + 1) = INDEX($E$5:$CE$5, 1, (COLUMNS($DU30:EG30)-1)*5 + 1), INDEX($E$8:$CE$57, MATCH($C30, $C$8:$C$57, 0), (COLUMNS($DU30:EG30)-1)*5 + 4) = "SF"), INDEX($CZ$8:$CZ$23, COLUMNS($DU30:EG30)), "0"), "")</f>
        <v>0</v>
      </c>
      <c r="EH30" s="390" t="str">
        <f t="array" ref="EH30">IFERROR(IF(AND(INDEX($E$8:$CE$57, MATCH($C30, $C$8:$C$57, 0), (COLUMNS($DU30:EH30)-1)*5 + 1) = INDEX($E$5:$CE$5, 1, (COLUMNS($DU30:EH30)-1)*5 + 1), INDEX($E$8:$CE$57, MATCH($C30, $C$8:$C$57, 0), (COLUMNS($DU30:EH30)-1)*5 + 4) = "SF"), INDEX($CZ$8:$CZ$23, COLUMNS($DU30:EH30)), "0"), "")</f>
        <v>0</v>
      </c>
      <c r="EI30" s="390" t="str">
        <f t="array" ref="EI30">IFERROR(IF(AND(INDEX($E$8:$CE$57, MATCH($C30, $C$8:$C$57, 0), (COLUMNS($DU30:EI30)-1)*5 + 1) = INDEX($E$5:$CE$5, 1, (COLUMNS($DU30:EI30)-1)*5 + 1), INDEX($E$8:$CE$57, MATCH($C30, $C$8:$C$57, 0), (COLUMNS($DU30:EI30)-1)*5 + 4) = "SF"), INDEX($CZ$8:$CZ$23, COLUMNS($DU30:EI30)), "0"), "")</f>
        <v>0</v>
      </c>
      <c r="EJ30" s="390" t="str">
        <f t="array" ref="EJ30">IFERROR(IF(AND(INDEX($E$8:$CE$57, MATCH($C30, $C$8:$C$57, 0), (COLUMNS($DU30:EJ30)-1)*5 + 1) = INDEX($E$5:$CE$5, 1, (COLUMNS($DU30:EJ30)-1)*5 + 1), INDEX($E$8:$CE$57, MATCH($C30, $C$8:$C$57, 0), (COLUMNS($DU30:EJ30)-1)*5 + 4) = "SF"), INDEX($CZ$8:$CZ$23, COLUMNS($DU30:EJ30)), "0"), "")</f>
        <v>0</v>
      </c>
    </row>
    <row r="31" spans="1:140" ht="19.5" customHeight="1" x14ac:dyDescent="0.35">
      <c r="A31" s="515"/>
      <c r="B31" s="444">
        <f>IF(SEMANA2[[#This Row],[COD]]&lt;&gt;"",B30+1,"")</f>
        <v>24</v>
      </c>
      <c r="C31" s="554" t="s">
        <v>79</v>
      </c>
      <c r="D31" s="410" t="str">
        <f t="array" ref="D31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NO ENVIÓ</v>
      </c>
      <c r="E31" s="411">
        <v>9</v>
      </c>
      <c r="F31" s="418">
        <v>6</v>
      </c>
      <c r="G31" s="418">
        <v>2</v>
      </c>
      <c r="H31" s="418"/>
      <c r="I31" s="534">
        <f t="shared" si="0"/>
        <v>2</v>
      </c>
      <c r="J31" s="411">
        <v>1</v>
      </c>
      <c r="K31" s="418">
        <v>4</v>
      </c>
      <c r="L31" s="418">
        <v>7</v>
      </c>
      <c r="M31" s="418"/>
      <c r="N31" s="534">
        <f t="shared" si="1"/>
        <v>1</v>
      </c>
      <c r="O31" s="411">
        <v>1</v>
      </c>
      <c r="P31" s="418">
        <v>7</v>
      </c>
      <c r="Q31" s="418">
        <v>5</v>
      </c>
      <c r="R31" s="418"/>
      <c r="S31" s="534">
        <f t="shared" si="2"/>
        <v>4</v>
      </c>
      <c r="T31" s="411">
        <v>5</v>
      </c>
      <c r="U31" s="418">
        <v>3</v>
      </c>
      <c r="V31" s="418">
        <v>4</v>
      </c>
      <c r="W31" s="418"/>
      <c r="X31" s="534">
        <f t="shared" si="3"/>
        <v>0</v>
      </c>
      <c r="Y31" s="411">
        <v>5</v>
      </c>
      <c r="Z31" s="418">
        <v>4</v>
      </c>
      <c r="AA31" s="418">
        <v>1</v>
      </c>
      <c r="AB31" s="418"/>
      <c r="AC31" s="534">
        <f t="shared" si="4"/>
        <v>0</v>
      </c>
      <c r="AD31" s="411">
        <v>3</v>
      </c>
      <c r="AE31" s="418">
        <v>5</v>
      </c>
      <c r="AF31" s="418">
        <v>4</v>
      </c>
      <c r="AG31" s="418"/>
      <c r="AH31" s="534">
        <f t="shared" si="5"/>
        <v>0</v>
      </c>
      <c r="AI31" s="411">
        <v>6</v>
      </c>
      <c r="AJ31" s="418">
        <v>8</v>
      </c>
      <c r="AK31" s="418">
        <v>9</v>
      </c>
      <c r="AL31" s="418"/>
      <c r="AM31" s="534">
        <f t="shared" si="6"/>
        <v>2</v>
      </c>
      <c r="AN31" s="411">
        <v>8</v>
      </c>
      <c r="AO31" s="418">
        <v>1</v>
      </c>
      <c r="AP31" s="418">
        <v>4</v>
      </c>
      <c r="AQ31" s="418" t="s">
        <v>254</v>
      </c>
      <c r="AR31" s="534">
        <f t="shared" si="7"/>
        <v>4.5</v>
      </c>
      <c r="AS31" s="411">
        <v>1</v>
      </c>
      <c r="AT31" s="418">
        <v>2</v>
      </c>
      <c r="AU31" s="418">
        <v>11</v>
      </c>
      <c r="AV31" s="418"/>
      <c r="AW31" s="534">
        <f t="shared" si="8"/>
        <v>2</v>
      </c>
      <c r="AX31" s="411">
        <v>6</v>
      </c>
      <c r="AY31" s="418">
        <v>1</v>
      </c>
      <c r="AZ31" s="418">
        <v>10</v>
      </c>
      <c r="BA31" s="418"/>
      <c r="BB31" s="534">
        <f t="shared" si="9"/>
        <v>0</v>
      </c>
      <c r="BC31" s="411">
        <v>7</v>
      </c>
      <c r="BD31" s="418"/>
      <c r="BE31" s="418"/>
      <c r="BF31" s="418" t="s">
        <v>255</v>
      </c>
      <c r="BG31" s="534">
        <f t="shared" si="10"/>
        <v>8</v>
      </c>
      <c r="BH31" s="411">
        <v>6</v>
      </c>
      <c r="BI31" s="418">
        <v>2</v>
      </c>
      <c r="BJ31" s="418">
        <v>7</v>
      </c>
      <c r="BK31" s="418"/>
      <c r="BL31" s="534">
        <f t="shared" si="11"/>
        <v>4</v>
      </c>
      <c r="BM31" s="411">
        <v>4</v>
      </c>
      <c r="BN31" s="418">
        <v>9</v>
      </c>
      <c r="BO31" s="418">
        <v>1</v>
      </c>
      <c r="BP31" s="418" t="s">
        <v>254</v>
      </c>
      <c r="BQ31" s="534">
        <f t="shared" si="12"/>
        <v>0</v>
      </c>
      <c r="BR31" s="411">
        <v>5</v>
      </c>
      <c r="BS31" s="418">
        <v>7</v>
      </c>
      <c r="BT31" s="418">
        <v>2</v>
      </c>
      <c r="BU31" s="418"/>
      <c r="BV31" s="534">
        <f t="shared" si="13"/>
        <v>0</v>
      </c>
      <c r="BW31" s="411"/>
      <c r="BX31" s="418"/>
      <c r="BY31" s="418"/>
      <c r="BZ31" s="418"/>
      <c r="CA31" s="534">
        <f t="shared" si="14"/>
        <v>0</v>
      </c>
      <c r="CB31" s="411"/>
      <c r="CC31" s="418"/>
      <c r="CD31" s="418"/>
      <c r="CE31" s="418"/>
      <c r="CF31" s="534">
        <f t="shared" si="15"/>
        <v>0</v>
      </c>
      <c r="CG31" s="162">
        <f>IF(SEMANA2[[#This Row],[1]]="",0,$B$4)</f>
        <v>14</v>
      </c>
      <c r="CH31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4</v>
      </c>
      <c r="CI31" s="164">
        <f>IF(SEMANA2[[#This Row],[Columna14]]=0,0,(CH31/CG31))</f>
        <v>0.2857142857142857</v>
      </c>
      <c r="CJ31" s="163">
        <f>IF(SEMANA2[[#This Row],[1]]="",0,$B$4)</f>
        <v>14</v>
      </c>
      <c r="CK31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31" s="164">
        <f>IF(SEMANA2[[#This Row],[Columna14]]=0,0,(CK31/CJ31))</f>
        <v>0.42857142857142855</v>
      </c>
      <c r="CM31" s="162">
        <f>IF(SEMANA2[[#This Row],[1]]="",0,$B$4)</f>
        <v>14</v>
      </c>
      <c r="CN31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8</v>
      </c>
      <c r="CO31" s="164">
        <f>IF(SEMANA2[[#This Row],[Columna14]]=0,0,(CN31/CM31))</f>
        <v>0.5714285714285714</v>
      </c>
      <c r="CP31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31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Row],[Columna25]],$AX$5,BA31,"SF")+COUNTIFS(SEMANA2[[#This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31" s="164">
        <f>IFERROR(IF(SEMANA2[[#This Row],[Columna14]]=0,0,(CQ31/CP31)),0)</f>
        <v>0.66666666666666663</v>
      </c>
      <c r="CS31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27.5</v>
      </c>
      <c r="CT31" s="93">
        <f>_xlfn.XLOOKUP(SEMANA2[[#This Row],[COD]],BASE01[COD],BASE01[Columna33])</f>
        <v>26</v>
      </c>
      <c r="CU31" s="536">
        <f t="shared" si="16"/>
        <v>53.5</v>
      </c>
      <c r="CV31" s="445" t="str">
        <f>IF(SEMANA2[[#This Row],[TIPO]]="PREMIO",$O$3,"0,00")</f>
        <v>0,00</v>
      </c>
      <c r="CW31" s="515"/>
      <c r="CY31" s="387">
        <f t="shared" si="17"/>
        <v>7</v>
      </c>
      <c r="CZ31" s="387" t="str">
        <v>COD 16</v>
      </c>
      <c r="DA31" s="387">
        <f t="array" ref="DA31">IF(CZ31="", "", IF((INDEX(E$8:CE$57, MATCH(CZ31, C$8:C$57, 0), ($CZ$25-1)*5 + 1) &amp; "") = (INDEX(E$5:CE$5, 1, ($CZ$25-1)*5 + 1) &amp; ""), 1, IF((INDEX(E$8:CE$57, MATCH(CZ31, C$8:C$57, 0), ($CZ$25-1)*5 + 2) &amp; "") = (INDEX(E$5:CE$5, 1, ($CZ$25-1)*5 + 1) &amp; ""), 2, IF((INDEX(E$8:CE$57, MATCH(CZ31, C$8:C$57, 0), ($CZ$25-1)*5 + 3) &amp; "") = (INDEX(E$5:CE$5, 1, ($CZ$25-1)*5 + 1) &amp; ""), 3, ""))))</f>
        <v>3</v>
      </c>
      <c r="DB31" s="537" t="str">
        <f>SEMANA2[[#This Row],[COD]]</f>
        <v>COD 24</v>
      </c>
      <c r="DC31" s="390" t="str">
        <f t="array" ref="DC31">IFERROR(IF(AND(INDEX($E$8:$CE$57, MATCH($C31, $C$8:$C$57, 0), (COLUMNS($DC31:DC31)-1)*5 + 1) = INDEX($E$5:$CE$5, 1, (COLUMNS($DC31:DC31)-1)*5 + 1), INDEX($E$8:$CE$57, MATCH($C31, $C$8:$C$57, 0), (COLUMNS($DC31:DC31)-1)*5 + 4) = "F"), INDEX($CZ$8:$CZ$23, COLUMNS($DC31:DC31)), "0"), "")</f>
        <v>0</v>
      </c>
      <c r="DD31" s="390" t="str">
        <f t="array" ref="DD31">IFERROR(IF(AND(INDEX($E$8:$CE$57, MATCH($C31, $C$8:$C$57, 0), (COLUMNS($DC31:DD31)-1)*5 + 1) = INDEX($E$5:$CE$5, 1, (COLUMNS($DC31:DD31)-1)*5 + 1), INDEX($E$8:$CE$57, MATCH($C31, $C$8:$C$57, 0), (COLUMNS($DC31:DD31)-1)*5 + 4) = "F"), INDEX($CZ$8:$CZ$23, COLUMNS($DC31:DD31)), "0"), "")</f>
        <v>0</v>
      </c>
      <c r="DE31" s="390" t="str">
        <f t="array" ref="DE31">IFERROR(IF(AND(INDEX($E$8:$CE$57, MATCH($C31, $C$8:$C$57, 0), (COLUMNS($DC31:DE31)-1)*5 + 1) = INDEX($E$5:$CE$5, 1, (COLUMNS($DC31:DE31)-1)*5 + 1), INDEX($E$8:$CE$57, MATCH($C31, $C$8:$C$57, 0), (COLUMNS($DC31:DE31)-1)*5 + 4) = "F"), INDEX($CZ$8:$CZ$23, COLUMNS($DC31:DE31)), "0"), "")</f>
        <v>0</v>
      </c>
      <c r="DF31" s="390" t="str">
        <f t="array" ref="DF31">IFERROR(IF(AND(INDEX($E$8:$CE$57, MATCH($C31, $C$8:$C$57, 0), (COLUMNS($DC31:DF31)-1)*5 + 1) = INDEX($E$5:$CE$5, 1, (COLUMNS($DC31:DF31)-1)*5 + 1), INDEX($E$8:$CE$57, MATCH($C31, $C$8:$C$57, 0), (COLUMNS($DC31:DF31)-1)*5 + 4) = "F"), INDEX($CZ$8:$CZ$23, COLUMNS($DC31:DF31)), "0"), "")</f>
        <v>0</v>
      </c>
      <c r="DG31" s="390" t="str">
        <f t="array" ref="DG31">IFERROR(IF(AND(INDEX($E$8:$CE$57, MATCH($C31, $C$8:$C$57, 0), (COLUMNS($DC31:DG31)-1)*5 + 1) = INDEX($E$5:$CE$5, 1, (COLUMNS($DC31:DG31)-1)*5 + 1), INDEX($E$8:$CE$57, MATCH($C31, $C$8:$C$57, 0), (COLUMNS($DC31:DG31)-1)*5 + 4) = "F"), INDEX($CZ$8:$CZ$23, COLUMNS($DC31:DG31)), "0"), "")</f>
        <v>0</v>
      </c>
      <c r="DH31" s="390" t="str">
        <f t="array" ref="DH31">IFERROR(IF(AND(INDEX($E$8:$CE$57, MATCH($C31, $C$8:$C$57, 0), (COLUMNS($DC31:DH31)-1)*5 + 1) = INDEX($E$5:$CE$5, 1, (COLUMNS($DC31:DH31)-1)*5 + 1), INDEX($E$8:$CE$57, MATCH($C31, $C$8:$C$57, 0), (COLUMNS($DC31:DH31)-1)*5 + 4) = "F"), INDEX($CZ$8:$CZ$23, COLUMNS($DC31:DH31)), "0"), "")</f>
        <v>0</v>
      </c>
      <c r="DI31" s="390" t="str">
        <f t="array" ref="DI31">IFERROR(IF(AND(INDEX($E$8:$CE$57, MATCH($C31, $C$8:$C$57, 0), (COLUMNS($DC31:DI31)-1)*5 + 1) = INDEX($E$5:$CE$5, 1, (COLUMNS($DC31:DI31)-1)*5 + 1), INDEX($E$8:$CE$57, MATCH($C31, $C$8:$C$57, 0), (COLUMNS($DC31:DI31)-1)*5 + 4) = "F"), INDEX($CZ$8:$CZ$23, COLUMNS($DC31:DI31)), "0"), "")</f>
        <v>0</v>
      </c>
      <c r="DJ31" s="390">
        <f t="array" ref="DJ31">IFERROR(IF(AND(INDEX($E$8:$CE$57, MATCH($C31, $C$8:$C$57, 0), (COLUMNS($DC31:DJ31)-1)*5 + 1) = INDEX($E$5:$CE$5, 1, (COLUMNS($DC31:DJ31)-1)*5 + 1), INDEX($E$8:$CE$57, MATCH($C31, $C$8:$C$57, 0), (COLUMNS($DC31:DJ31)-1)*5 + 4) = "F"), INDEX($CZ$8:$CZ$23, COLUMNS($DC31:DJ31)), "0"), "")</f>
        <v>128.36000000000001</v>
      </c>
      <c r="DK31" s="390" t="str">
        <f t="array" ref="DK31">IFERROR(IF(AND(INDEX($E$8:$CE$57, MATCH($C31, $C$8:$C$57, 0), (COLUMNS($DC31:DK31)-1)*5 + 1) = INDEX($E$5:$CE$5, 1, (COLUMNS($DC31:DK31)-1)*5 + 1), INDEX($E$8:$CE$57, MATCH($C31, $C$8:$C$57, 0), (COLUMNS($DC31:DK31)-1)*5 + 4) = "F"), INDEX($CZ$8:$CZ$23, COLUMNS($DC31:DK31)), "0"), "")</f>
        <v>0</v>
      </c>
      <c r="DL31" s="390" t="str">
        <f t="array" ref="DL31">IFERROR(IF(AND(INDEX($E$8:$CE$57, MATCH($C31, $C$8:$C$57, 0), (COLUMNS($DC31:DL31)-1)*5 + 1) = INDEX($E$5:$CE$5, 1, (COLUMNS($DC31:DL31)-1)*5 + 1), INDEX($E$8:$CE$57, MATCH($C31, $C$8:$C$57, 0), (COLUMNS($DC31:DL31)-1)*5 + 4) = "F"), INDEX($CZ$8:$CZ$23, COLUMNS($DC31:DL31)), "0"), "")</f>
        <v>0</v>
      </c>
      <c r="DM31" s="390" t="str">
        <f t="array" ref="DM31">IFERROR(IF(AND(INDEX($E$8:$CE$57, MATCH($C31, $C$8:$C$57, 0), (COLUMNS($DC31:DM31)-1)*5 + 1) = INDEX($E$5:$CE$5, 1, (COLUMNS($DC31:DM31)-1)*5 + 1), INDEX($E$8:$CE$57, MATCH($C31, $C$8:$C$57, 0), (COLUMNS($DC31:DM31)-1)*5 + 4) = "F"), INDEX($CZ$8:$CZ$23, COLUMNS($DC31:DM31)), "0"), "")</f>
        <v>0</v>
      </c>
      <c r="DN31" s="390" t="str">
        <f t="array" ref="DN31">IFERROR(IF(AND(INDEX($E$8:$CE$57, MATCH($C31, $C$8:$C$57, 0), (COLUMNS($DC31:DN31)-1)*5 + 1) = INDEX($E$5:$CE$5, 1, (COLUMNS($DC31:DN31)-1)*5 + 1), INDEX($E$8:$CE$57, MATCH($C31, $C$8:$C$57, 0), (COLUMNS($DC31:DN31)-1)*5 + 4) = "F"), INDEX($CZ$8:$CZ$23, COLUMNS($DC31:DN31)), "0"), "")</f>
        <v>0</v>
      </c>
      <c r="DO31" s="390" t="str">
        <f t="array" ref="DO31">IFERROR(IF(AND(INDEX($E$8:$CE$57, MATCH($C31, $C$8:$C$57, 0), (COLUMNS($DC31:DO31)-1)*5 + 1) = INDEX($E$5:$CE$5, 1, (COLUMNS($DC31:DO31)-1)*5 + 1), INDEX($E$8:$CE$57, MATCH($C31, $C$8:$C$57, 0), (COLUMNS($DC31:DO31)-1)*5 + 4) = "F"), INDEX($CZ$8:$CZ$23, COLUMNS($DC31:DO31)), "0"), "")</f>
        <v>0</v>
      </c>
      <c r="DP31" s="390" t="str">
        <f t="array" ref="DP31">IFERROR(IF(AND(INDEX($E$8:$CE$57, MATCH($C31, $C$8:$C$57, 0), (COLUMNS($DC31:DP31)-1)*5 + 1) = INDEX($E$5:$CE$5, 1, (COLUMNS($DC31:DP31)-1)*5 + 1), INDEX($E$8:$CE$57, MATCH($C31, $C$8:$C$57, 0), (COLUMNS($DC31:DP31)-1)*5 + 4) = "F"), INDEX($CZ$8:$CZ$23, COLUMNS($DC31:DP31)), "0"), "")</f>
        <v>0</v>
      </c>
      <c r="DQ31" s="390" t="str">
        <f t="array" ref="DQ31">IFERROR(IF(AND(INDEX($E$8:$CE$57, MATCH($C31, $C$8:$C$57, 0), (COLUMNS($DC31:DQ31)-1)*5 + 1) = INDEX($E$5:$CE$5, 1, (COLUMNS($DC31:DQ31)-1)*5 + 1), INDEX($E$8:$CE$57, MATCH($C31, $C$8:$C$57, 0), (COLUMNS($DC31:DQ31)-1)*5 + 4) = "F"), INDEX($CZ$8:$CZ$23, COLUMNS($DC31:DQ31)), "0"), "")</f>
        <v>0</v>
      </c>
      <c r="DR31" s="390" t="str">
        <f t="array" ref="DR31">IFERROR(IF(AND(INDEX($E$8:$CE$57, MATCH($C31, $C$8:$C$57, 0), (COLUMNS($DC31:DR31)-1)*5 + 1) = INDEX($E$5:$CE$5, 1, (COLUMNS($DC31:DR31)-1)*5 + 1), INDEX($E$8:$CE$57, MATCH($C31, $C$8:$C$57, 0), (COLUMNS($DC31:DR31)-1)*5 + 4) = "F"), INDEX($CZ$8:$CZ$23, COLUMNS($DC31:DR31)), "0"), "")</f>
        <v>0</v>
      </c>
      <c r="DT31" s="537" t="str">
        <f>SEMANA2[[#This Row],[COD]]</f>
        <v>COD 24</v>
      </c>
      <c r="DU31" s="390" t="str">
        <f t="array" ref="DU31">IFERROR(IF(AND(INDEX($E$8:$CE$57, MATCH($C31, $C$8:$C$57, 0), (COLUMNS($DU31:DU31)-1)*5 + 1) = INDEX($E$5:$CE$5, 1, (COLUMNS($DU31:DU31)-1)*5 + 1), INDEX($E$8:$CE$57, MATCH($C31, $C$8:$C$57, 0), (COLUMNS($DU31:DU31)-1)*5 + 4) = "SF"), INDEX($CZ$8:$CZ$23, COLUMNS($DU31:DU31)), "0"), "")</f>
        <v>0</v>
      </c>
      <c r="DV31" s="390" t="str">
        <f t="array" ref="DV31">IFERROR(IF(AND(INDEX($E$8:$CE$57, MATCH($C31, $C$8:$C$57, 0), (COLUMNS($DU31:DV31)-1)*5 + 1) = INDEX($E$5:$CE$5, 1, (COLUMNS($DU31:DV31)-1)*5 + 1), INDEX($E$8:$CE$57, MATCH($C31, $C$8:$C$57, 0), (COLUMNS($DU31:DV31)-1)*5 + 4) = "SF"), INDEX($CZ$8:$CZ$23, COLUMNS($DU31:DV31)), "0"), "")</f>
        <v>0</v>
      </c>
      <c r="DW31" s="390" t="str">
        <f t="array" ref="DW31">IFERROR(IF(AND(INDEX($E$8:$CE$57, MATCH($C31, $C$8:$C$57, 0), (COLUMNS($DU31:DW31)-1)*5 + 1) = INDEX($E$5:$CE$5, 1, (COLUMNS($DU31:DW31)-1)*5 + 1), INDEX($E$8:$CE$57, MATCH($C31, $C$8:$C$57, 0), (COLUMNS($DU31:DW31)-1)*5 + 4) = "SF"), INDEX($CZ$8:$CZ$23, COLUMNS($DU31:DW31)), "0"), "")</f>
        <v>0</v>
      </c>
      <c r="DX31" s="390" t="str">
        <f t="array" ref="DX31">IFERROR(IF(AND(INDEX($E$8:$CE$57, MATCH($C31, $C$8:$C$57, 0), (COLUMNS($DU31:DX31)-1)*5 + 1) = INDEX($E$5:$CE$5, 1, (COLUMNS($DU31:DX31)-1)*5 + 1), INDEX($E$8:$CE$57, MATCH($C31, $C$8:$C$57, 0), (COLUMNS($DU31:DX31)-1)*5 + 4) = "SF"), INDEX($CZ$8:$CZ$23, COLUMNS($DU31:DX31)), "0"), "")</f>
        <v>0</v>
      </c>
      <c r="DY31" s="390" t="str">
        <f t="array" ref="DY31">IFERROR(IF(AND(INDEX($E$8:$CE$57, MATCH($C31, $C$8:$C$57, 0), (COLUMNS($DU31:DY31)-1)*5 + 1) = INDEX($E$5:$CE$5, 1, (COLUMNS($DU31:DY31)-1)*5 + 1), INDEX($E$8:$CE$57, MATCH($C31, $C$8:$C$57, 0), (COLUMNS($DU31:DY31)-1)*5 + 4) = "SF"), INDEX($CZ$8:$CZ$23, COLUMNS($DU31:DY31)), "0"), "")</f>
        <v>0</v>
      </c>
      <c r="DZ31" s="390" t="str">
        <f t="array" ref="DZ31">IFERROR(IF(AND(INDEX($E$8:$CE$57, MATCH($C31, $C$8:$C$57, 0), (COLUMNS($DU31:DZ31)-1)*5 + 1) = INDEX($E$5:$CE$5, 1, (COLUMNS($DU31:DZ31)-1)*5 + 1), INDEX($E$8:$CE$57, MATCH($C31, $C$8:$C$57, 0), (COLUMNS($DU31:DZ31)-1)*5 + 4) = "SF"), INDEX($CZ$8:$CZ$23, COLUMNS($DU31:DZ31)), "0"), "")</f>
        <v>0</v>
      </c>
      <c r="EA31" s="390" t="str">
        <f t="array" ref="EA31">IFERROR(IF(AND(INDEX($E$8:$CE$57, MATCH($C31, $C$8:$C$57, 0), (COLUMNS($DU31:EA31)-1)*5 + 1) = INDEX($E$5:$CE$5, 1, (COLUMNS($DU31:EA31)-1)*5 + 1), INDEX($E$8:$CE$57, MATCH($C31, $C$8:$C$57, 0), (COLUMNS($DU31:EA31)-1)*5 + 4) = "SF"), INDEX($CZ$8:$CZ$23, COLUMNS($DU31:EA31)), "0"), "")</f>
        <v>0</v>
      </c>
      <c r="EB31" s="390" t="str">
        <f t="array" ref="EB31">IFERROR(IF(AND(INDEX($E$8:$CE$57, MATCH($C31, $C$8:$C$57, 0), (COLUMNS($DU31:EB31)-1)*5 + 1) = INDEX($E$5:$CE$5, 1, (COLUMNS($DU31:EB31)-1)*5 + 1), INDEX($E$8:$CE$57, MATCH($C31, $C$8:$C$57, 0), (COLUMNS($DU31:EB31)-1)*5 + 4) = "SF"), INDEX($CZ$8:$CZ$23, COLUMNS($DU31:EB31)), "0"), "")</f>
        <v>0</v>
      </c>
      <c r="EC31" s="390" t="str">
        <f t="array" ref="EC31">IFERROR(IF(AND(INDEX($E$8:$CE$57, MATCH($C31, $C$8:$C$57, 0), (COLUMNS($DU31:EC31)-1)*5 + 1) = INDEX($E$5:$CE$5, 1, (COLUMNS($DU31:EC31)-1)*5 + 1), INDEX($E$8:$CE$57, MATCH($C31, $C$8:$C$57, 0), (COLUMNS($DU31:EC31)-1)*5 + 4) = "SF"), INDEX($CZ$8:$CZ$23, COLUMNS($DU31:EC31)), "0"), "")</f>
        <v>0</v>
      </c>
      <c r="ED31" s="390" t="str">
        <f t="array" ref="ED31">IFERROR(IF(AND(INDEX($E$8:$CE$57, MATCH($C31, $C$8:$C$57, 0), (COLUMNS($DU31:ED31)-1)*5 + 1) = INDEX($E$5:$CE$5, 1, (COLUMNS($DU31:ED31)-1)*5 + 1), INDEX($E$8:$CE$57, MATCH($C31, $C$8:$C$57, 0), (COLUMNS($DU31:ED31)-1)*5 + 4) = "SF"), INDEX($CZ$8:$CZ$23, COLUMNS($DU31:ED31)), "0"), "")</f>
        <v>0</v>
      </c>
      <c r="EE31" s="390">
        <f t="array" ref="EE31">IFERROR(IF(AND(INDEX($E$8:$CE$57, MATCH($C31, $C$8:$C$57, 0), (COLUMNS($DU31:EE31)-1)*5 + 1) = INDEX($E$5:$CE$5, 1, (COLUMNS($DU31:EE31)-1)*5 + 1), INDEX($E$8:$CE$57, MATCH($C31, $C$8:$C$57, 0), (COLUMNS($DU31:EE31)-1)*5 + 4) = "SF"), INDEX($CZ$8:$CZ$23, COLUMNS($DU31:EE31)), "0"), "")</f>
        <v>156.87</v>
      </c>
      <c r="EF31" s="390" t="str">
        <f t="array" ref="EF31">IFERROR(IF(AND(INDEX($E$8:$CE$57, MATCH($C31, $C$8:$C$57, 0), (COLUMNS($DU31:EF31)-1)*5 + 1) = INDEX($E$5:$CE$5, 1, (COLUMNS($DU31:EF31)-1)*5 + 1), INDEX($E$8:$CE$57, MATCH($C31, $C$8:$C$57, 0), (COLUMNS($DU31:EF31)-1)*5 + 4) = "SF"), INDEX($CZ$8:$CZ$23, COLUMNS($DU31:EF31)), "0"), "")</f>
        <v>0</v>
      </c>
      <c r="EG31" s="390" t="str">
        <f t="array" ref="EG31">IFERROR(IF(AND(INDEX($E$8:$CE$57, MATCH($C31, $C$8:$C$57, 0), (COLUMNS($DU31:EG31)-1)*5 + 1) = INDEX($E$5:$CE$5, 1, (COLUMNS($DU31:EG31)-1)*5 + 1), INDEX($E$8:$CE$57, MATCH($C31, $C$8:$C$57, 0), (COLUMNS($DU31:EG31)-1)*5 + 4) = "SF"), INDEX($CZ$8:$CZ$23, COLUMNS($DU31:EG31)), "0"), "")</f>
        <v>0</v>
      </c>
      <c r="EH31" s="390" t="str">
        <f t="array" ref="EH31">IFERROR(IF(AND(INDEX($E$8:$CE$57, MATCH($C31, $C$8:$C$57, 0), (COLUMNS($DU31:EH31)-1)*5 + 1) = INDEX($E$5:$CE$5, 1, (COLUMNS($DU31:EH31)-1)*5 + 1), INDEX($E$8:$CE$57, MATCH($C31, $C$8:$C$57, 0), (COLUMNS($DU31:EH31)-1)*5 + 4) = "SF"), INDEX($CZ$8:$CZ$23, COLUMNS($DU31:EH31)), "0"), "")</f>
        <v>0</v>
      </c>
      <c r="EI31" s="390" t="str">
        <f t="array" ref="EI31">IFERROR(IF(AND(INDEX($E$8:$CE$57, MATCH($C31, $C$8:$C$57, 0), (COLUMNS($DU31:EI31)-1)*5 + 1) = INDEX($E$5:$CE$5, 1, (COLUMNS($DU31:EI31)-1)*5 + 1), INDEX($E$8:$CE$57, MATCH($C31, $C$8:$C$57, 0), (COLUMNS($DU31:EI31)-1)*5 + 4) = "SF"), INDEX($CZ$8:$CZ$23, COLUMNS($DU31:EI31)), "0"), "")</f>
        <v>0</v>
      </c>
      <c r="EJ31" s="390" t="str">
        <f t="array" ref="EJ31">IFERROR(IF(AND(INDEX($E$8:$CE$57, MATCH($C31, $C$8:$C$57, 0), (COLUMNS($DU31:EJ31)-1)*5 + 1) = INDEX($E$5:$CE$5, 1, (COLUMNS($DU31:EJ31)-1)*5 + 1), INDEX($E$8:$CE$57, MATCH($C31, $C$8:$C$57, 0), (COLUMNS($DU31:EJ31)-1)*5 + 4) = "SF"), INDEX($CZ$8:$CZ$23, COLUMNS($DU31:EJ31)), "0"), "")</f>
        <v>0</v>
      </c>
    </row>
    <row r="32" spans="1:140" ht="19.5" customHeight="1" x14ac:dyDescent="0.35">
      <c r="A32" s="515"/>
      <c r="B32" s="444">
        <f>IF(SEMANA2[[#This Row],[COD]]&lt;&gt;"",B31+1,"")</f>
        <v>25</v>
      </c>
      <c r="C32" s="554" t="s">
        <v>80</v>
      </c>
      <c r="D32" s="410" t="str">
        <f t="array" ref="D32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32" s="411">
        <v>9</v>
      </c>
      <c r="F32" s="413"/>
      <c r="G32" s="413"/>
      <c r="H32" s="413" t="s">
        <v>255</v>
      </c>
      <c r="I32" s="534">
        <f t="shared" si="0"/>
        <v>0</v>
      </c>
      <c r="J32" s="411">
        <v>1</v>
      </c>
      <c r="K32" s="413">
        <v>7</v>
      </c>
      <c r="L32" s="413">
        <v>5</v>
      </c>
      <c r="M32" s="413"/>
      <c r="N32" s="534">
        <f t="shared" si="1"/>
        <v>2</v>
      </c>
      <c r="O32" s="411">
        <v>5</v>
      </c>
      <c r="P32" s="413">
        <v>1</v>
      </c>
      <c r="Q32" s="413">
        <v>3</v>
      </c>
      <c r="R32" s="413" t="s">
        <v>254</v>
      </c>
      <c r="S32" s="534">
        <f t="shared" si="2"/>
        <v>2</v>
      </c>
      <c r="T32" s="411">
        <v>5</v>
      </c>
      <c r="U32" s="413">
        <v>1</v>
      </c>
      <c r="V32" s="413">
        <v>3</v>
      </c>
      <c r="W32" s="413"/>
      <c r="X32" s="534">
        <f t="shared" si="3"/>
        <v>3</v>
      </c>
      <c r="Y32" s="411">
        <v>5</v>
      </c>
      <c r="Z32" s="413">
        <v>2</v>
      </c>
      <c r="AA32" s="413">
        <v>1</v>
      </c>
      <c r="AB32" s="413"/>
      <c r="AC32" s="534">
        <f t="shared" si="4"/>
        <v>2</v>
      </c>
      <c r="AD32" s="411">
        <v>5</v>
      </c>
      <c r="AE32" s="413">
        <v>8</v>
      </c>
      <c r="AF32" s="413">
        <v>10</v>
      </c>
      <c r="AG32" s="413"/>
      <c r="AH32" s="534">
        <f t="shared" si="5"/>
        <v>0</v>
      </c>
      <c r="AI32" s="411">
        <v>2</v>
      </c>
      <c r="AJ32" s="413">
        <v>6</v>
      </c>
      <c r="AK32" s="413">
        <v>7</v>
      </c>
      <c r="AL32" s="413"/>
      <c r="AM32" s="534">
        <f t="shared" si="6"/>
        <v>0</v>
      </c>
      <c r="AN32" s="411">
        <v>8</v>
      </c>
      <c r="AO32" s="413">
        <v>1</v>
      </c>
      <c r="AP32" s="413">
        <v>4</v>
      </c>
      <c r="AQ32" s="413"/>
      <c r="AR32" s="534">
        <f t="shared" si="7"/>
        <v>3.5</v>
      </c>
      <c r="AS32" s="411">
        <v>1</v>
      </c>
      <c r="AT32" s="413">
        <v>2</v>
      </c>
      <c r="AU32" s="413">
        <v>11</v>
      </c>
      <c r="AV32" s="413"/>
      <c r="AW32" s="534">
        <f t="shared" si="8"/>
        <v>2</v>
      </c>
      <c r="AX32" s="411">
        <v>1</v>
      </c>
      <c r="AY32" s="413">
        <v>10</v>
      </c>
      <c r="AZ32" s="413">
        <v>2</v>
      </c>
      <c r="BA32" s="413"/>
      <c r="BB32" s="534">
        <f t="shared" si="9"/>
        <v>1</v>
      </c>
      <c r="BC32" s="411">
        <v>7</v>
      </c>
      <c r="BD32" s="413">
        <v>5</v>
      </c>
      <c r="BE32" s="413">
        <v>6</v>
      </c>
      <c r="BF32" s="413" t="s">
        <v>254</v>
      </c>
      <c r="BG32" s="534">
        <f t="shared" si="10"/>
        <v>7</v>
      </c>
      <c r="BH32" s="411">
        <v>6</v>
      </c>
      <c r="BI32" s="413">
        <v>1</v>
      </c>
      <c r="BJ32" s="413">
        <v>3</v>
      </c>
      <c r="BK32" s="413"/>
      <c r="BL32" s="534">
        <f t="shared" si="11"/>
        <v>4</v>
      </c>
      <c r="BM32" s="411">
        <v>1</v>
      </c>
      <c r="BN32" s="413">
        <v>4</v>
      </c>
      <c r="BO32" s="413">
        <v>9</v>
      </c>
      <c r="BP32" s="413"/>
      <c r="BQ32" s="534">
        <f t="shared" si="12"/>
        <v>0</v>
      </c>
      <c r="BR32" s="411">
        <v>2</v>
      </c>
      <c r="BS32" s="413">
        <v>11</v>
      </c>
      <c r="BT32" s="413">
        <v>3</v>
      </c>
      <c r="BU32" s="413"/>
      <c r="BV32" s="534">
        <f t="shared" si="13"/>
        <v>0</v>
      </c>
      <c r="BW32" s="411"/>
      <c r="BX32" s="413"/>
      <c r="BY32" s="413"/>
      <c r="BZ32" s="413"/>
      <c r="CA32" s="534">
        <f t="shared" si="14"/>
        <v>0</v>
      </c>
      <c r="CB32" s="411"/>
      <c r="CC32" s="413"/>
      <c r="CD32" s="413"/>
      <c r="CE32" s="413"/>
      <c r="CF32" s="534">
        <f t="shared" si="15"/>
        <v>0</v>
      </c>
      <c r="CG32" s="162">
        <f>IF(SEMANA2[[#This Row],[1]]="",0,$B$4)</f>
        <v>14</v>
      </c>
      <c r="CH32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3</v>
      </c>
      <c r="CI32" s="164">
        <f>IF(SEMANA2[[#This Row],[Columna14]]=0,0,(CH32/CG32))</f>
        <v>0.21428571428571427</v>
      </c>
      <c r="CJ32" s="163">
        <f>IF(SEMANA2[[#This Row],[1]]="",0,$B$4)</f>
        <v>14</v>
      </c>
      <c r="CK32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8</v>
      </c>
      <c r="CL32" s="164">
        <f>IF(SEMANA2[[#This Row],[Columna14]]=0,0,(CK32/CJ32))</f>
        <v>0.5714285714285714</v>
      </c>
      <c r="CM32" s="162">
        <f>IF(SEMANA2[[#This Row],[1]]="",0,$B$4)</f>
        <v>14</v>
      </c>
      <c r="CN32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9</v>
      </c>
      <c r="CO32" s="164">
        <f>IF(SEMANA2[[#This Row],[Columna14]]=0,0,(CN32/CM32))</f>
        <v>0.6428571428571429</v>
      </c>
      <c r="CP32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32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Row],[Columna25]],$AX$5,BA32,"SF")+COUNTIFS(SEMANA2[[#This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1</v>
      </c>
      <c r="CR32" s="164">
        <f>IFERROR(IF(SEMANA2[[#This Row],[Columna14]]=0,0,(CQ32/CP32)),0)</f>
        <v>0.33333333333333331</v>
      </c>
      <c r="CS32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26.5</v>
      </c>
      <c r="CT32" s="93">
        <f>_xlfn.XLOOKUP(SEMANA2[[#This Row],[COD]],BASE01[COD],BASE01[Columna33])</f>
        <v>47</v>
      </c>
      <c r="CU32" s="536">
        <f t="shared" si="16"/>
        <v>73.5</v>
      </c>
      <c r="CV32" s="445">
        <f>IF(SEMANA2[[#This Row],[TIPO]]="PREMIO",$O$3,"0,00")</f>
        <v>1000</v>
      </c>
      <c r="CW32" s="515"/>
      <c r="CY32" s="387">
        <f t="shared" si="17"/>
        <v>7</v>
      </c>
      <c r="CZ32" s="387" t="str">
        <v>COD 21</v>
      </c>
      <c r="DA32" s="387">
        <f t="array" ref="DA32">IF(CZ32="", "", IF((INDEX(E$8:CE$57, MATCH(CZ32, C$8:C$57, 0), ($CZ$25-1)*5 + 1) &amp; "") = (INDEX(E$5:CE$5, 1, ($CZ$25-1)*5 + 1) &amp; ""), 1, IF((INDEX(E$8:CE$57, MATCH(CZ32, C$8:C$57, 0), ($CZ$25-1)*5 + 2) &amp; "") = (INDEX(E$5:CE$5, 1, ($CZ$25-1)*5 + 1) &amp; ""), 2, IF((INDEX(E$8:CE$57, MATCH(CZ32, C$8:C$57, 0), ($CZ$25-1)*5 + 3) &amp; "") = (INDEX(E$5:CE$5, 1, ($CZ$25-1)*5 + 1) &amp; ""), 3, ""))))</f>
        <v>3</v>
      </c>
      <c r="DB32" s="537" t="str">
        <f>SEMANA2[[#This Row],[COD]]</f>
        <v>COD 25</v>
      </c>
      <c r="DC32" s="390" t="str">
        <f t="array" ref="DC32">IFERROR(IF(AND(INDEX($E$8:$CE$57, MATCH($C32, $C$8:$C$57, 0), (COLUMNS($DC32:DC32)-1)*5 + 1) = INDEX($E$5:$CE$5, 1, (COLUMNS($DC32:DC32)-1)*5 + 1), INDEX($E$8:$CE$57, MATCH($C32, $C$8:$C$57, 0), (COLUMNS($DC32:DC32)-1)*5 + 4) = "F"), INDEX($CZ$8:$CZ$23, COLUMNS($DC32:DC32)), "0"), "")</f>
        <v>0</v>
      </c>
      <c r="DD32" s="390" t="str">
        <f t="array" ref="DD32">IFERROR(IF(AND(INDEX($E$8:$CE$57, MATCH($C32, $C$8:$C$57, 0), (COLUMNS($DC32:DD32)-1)*5 + 1) = INDEX($E$5:$CE$5, 1, (COLUMNS($DC32:DD32)-1)*5 + 1), INDEX($E$8:$CE$57, MATCH($C32, $C$8:$C$57, 0), (COLUMNS($DC32:DD32)-1)*5 + 4) = "F"), INDEX($CZ$8:$CZ$23, COLUMNS($DC32:DD32)), "0"), "")</f>
        <v>0</v>
      </c>
      <c r="DE32" s="390" t="str">
        <f t="array" ref="DE32">IFERROR(IF(AND(INDEX($E$8:$CE$57, MATCH($C32, $C$8:$C$57, 0), (COLUMNS($DC32:DE32)-1)*5 + 1) = INDEX($E$5:$CE$5, 1, (COLUMNS($DC32:DE32)-1)*5 + 1), INDEX($E$8:$CE$57, MATCH($C32, $C$8:$C$57, 0), (COLUMNS($DC32:DE32)-1)*5 + 4) = "F"), INDEX($CZ$8:$CZ$23, COLUMNS($DC32:DE32)), "0"), "")</f>
        <v>0</v>
      </c>
      <c r="DF32" s="390" t="str">
        <f t="array" ref="DF32">IFERROR(IF(AND(INDEX($E$8:$CE$57, MATCH($C32, $C$8:$C$57, 0), (COLUMNS($DC32:DF32)-1)*5 + 1) = INDEX($E$5:$CE$5, 1, (COLUMNS($DC32:DF32)-1)*5 + 1), INDEX($E$8:$CE$57, MATCH($C32, $C$8:$C$57, 0), (COLUMNS($DC32:DF32)-1)*5 + 4) = "F"), INDEX($CZ$8:$CZ$23, COLUMNS($DC32:DF32)), "0"), "")</f>
        <v>0</v>
      </c>
      <c r="DG32" s="390" t="str">
        <f t="array" ref="DG32">IFERROR(IF(AND(INDEX($E$8:$CE$57, MATCH($C32, $C$8:$C$57, 0), (COLUMNS($DC32:DG32)-1)*5 + 1) = INDEX($E$5:$CE$5, 1, (COLUMNS($DC32:DG32)-1)*5 + 1), INDEX($E$8:$CE$57, MATCH($C32, $C$8:$C$57, 0), (COLUMNS($DC32:DG32)-1)*5 + 4) = "F"), INDEX($CZ$8:$CZ$23, COLUMNS($DC32:DG32)), "0"), "")</f>
        <v>0</v>
      </c>
      <c r="DH32" s="390" t="str">
        <f t="array" ref="DH32">IFERROR(IF(AND(INDEX($E$8:$CE$57, MATCH($C32, $C$8:$C$57, 0), (COLUMNS($DC32:DH32)-1)*5 + 1) = INDEX($E$5:$CE$5, 1, (COLUMNS($DC32:DH32)-1)*5 + 1), INDEX($E$8:$CE$57, MATCH($C32, $C$8:$C$57, 0), (COLUMNS($DC32:DH32)-1)*5 + 4) = "F"), INDEX($CZ$8:$CZ$23, COLUMNS($DC32:DH32)), "0"), "")</f>
        <v>0</v>
      </c>
      <c r="DI32" s="390" t="str">
        <f t="array" ref="DI32">IFERROR(IF(AND(INDEX($E$8:$CE$57, MATCH($C32, $C$8:$C$57, 0), (COLUMNS($DC32:DI32)-1)*5 + 1) = INDEX($E$5:$CE$5, 1, (COLUMNS($DC32:DI32)-1)*5 + 1), INDEX($E$8:$CE$57, MATCH($C32, $C$8:$C$57, 0), (COLUMNS($DC32:DI32)-1)*5 + 4) = "F"), INDEX($CZ$8:$CZ$23, COLUMNS($DC32:DI32)), "0"), "")</f>
        <v>0</v>
      </c>
      <c r="DJ32" s="390" t="str">
        <f t="array" ref="DJ32">IFERROR(IF(AND(INDEX($E$8:$CE$57, MATCH($C32, $C$8:$C$57, 0), (COLUMNS($DC32:DJ32)-1)*5 + 1) = INDEX($E$5:$CE$5, 1, (COLUMNS($DC32:DJ32)-1)*5 + 1), INDEX($E$8:$CE$57, MATCH($C32, $C$8:$C$57, 0), (COLUMNS($DC32:DJ32)-1)*5 + 4) = "F"), INDEX($CZ$8:$CZ$23, COLUMNS($DC32:DJ32)), "0"), "")</f>
        <v>0</v>
      </c>
      <c r="DK32" s="390" t="str">
        <f t="array" ref="DK32">IFERROR(IF(AND(INDEX($E$8:$CE$57, MATCH($C32, $C$8:$C$57, 0), (COLUMNS($DC32:DK32)-1)*5 + 1) = INDEX($E$5:$CE$5, 1, (COLUMNS($DC32:DK32)-1)*5 + 1), INDEX($E$8:$CE$57, MATCH($C32, $C$8:$C$57, 0), (COLUMNS($DC32:DK32)-1)*5 + 4) = "F"), INDEX($CZ$8:$CZ$23, COLUMNS($DC32:DK32)), "0"), "")</f>
        <v>0</v>
      </c>
      <c r="DL32" s="390" t="str">
        <f t="array" ref="DL32">IFERROR(IF(AND(INDEX($E$8:$CE$57, MATCH($C32, $C$8:$C$57, 0), (COLUMNS($DC32:DL32)-1)*5 + 1) = INDEX($E$5:$CE$5, 1, (COLUMNS($DC32:DL32)-1)*5 + 1), INDEX($E$8:$CE$57, MATCH($C32, $C$8:$C$57, 0), (COLUMNS($DC32:DL32)-1)*5 + 4) = "F"), INDEX($CZ$8:$CZ$23, COLUMNS($DC32:DL32)), "0"), "")</f>
        <v>0</v>
      </c>
      <c r="DM32" s="390">
        <f t="array" ref="DM32">IFERROR(IF(AND(INDEX($E$8:$CE$57, MATCH($C32, $C$8:$C$57, 0), (COLUMNS($DC32:DM32)-1)*5 + 1) = INDEX($E$5:$CE$5, 1, (COLUMNS($DC32:DM32)-1)*5 + 1), INDEX($E$8:$CE$57, MATCH($C32, $C$8:$C$57, 0), (COLUMNS($DC32:DM32)-1)*5 + 4) = "F"), INDEX($CZ$8:$CZ$23, COLUMNS($DC32:DM32)), "0"), "")</f>
        <v>156.87</v>
      </c>
      <c r="DN32" s="390" t="str">
        <f t="array" ref="DN32">IFERROR(IF(AND(INDEX($E$8:$CE$57, MATCH($C32, $C$8:$C$57, 0), (COLUMNS($DC32:DN32)-1)*5 + 1) = INDEX($E$5:$CE$5, 1, (COLUMNS($DC32:DN32)-1)*5 + 1), INDEX($E$8:$CE$57, MATCH($C32, $C$8:$C$57, 0), (COLUMNS($DC32:DN32)-1)*5 + 4) = "F"), INDEX($CZ$8:$CZ$23, COLUMNS($DC32:DN32)), "0"), "")</f>
        <v>0</v>
      </c>
      <c r="DO32" s="390" t="str">
        <f t="array" ref="DO32">IFERROR(IF(AND(INDEX($E$8:$CE$57, MATCH($C32, $C$8:$C$57, 0), (COLUMNS($DC32:DO32)-1)*5 + 1) = INDEX($E$5:$CE$5, 1, (COLUMNS($DC32:DO32)-1)*5 + 1), INDEX($E$8:$CE$57, MATCH($C32, $C$8:$C$57, 0), (COLUMNS($DC32:DO32)-1)*5 + 4) = "F"), INDEX($CZ$8:$CZ$23, COLUMNS($DC32:DO32)), "0"), "")</f>
        <v>0</v>
      </c>
      <c r="DP32" s="390" t="str">
        <f t="array" ref="DP32">IFERROR(IF(AND(INDEX($E$8:$CE$57, MATCH($C32, $C$8:$C$57, 0), (COLUMNS($DC32:DP32)-1)*5 + 1) = INDEX($E$5:$CE$5, 1, (COLUMNS($DC32:DP32)-1)*5 + 1), INDEX($E$8:$CE$57, MATCH($C32, $C$8:$C$57, 0), (COLUMNS($DC32:DP32)-1)*5 + 4) = "F"), INDEX($CZ$8:$CZ$23, COLUMNS($DC32:DP32)), "0"), "")</f>
        <v>0</v>
      </c>
      <c r="DQ32" s="390" t="str">
        <f t="array" ref="DQ32">IFERROR(IF(AND(INDEX($E$8:$CE$57, MATCH($C32, $C$8:$C$57, 0), (COLUMNS($DC32:DQ32)-1)*5 + 1) = INDEX($E$5:$CE$5, 1, (COLUMNS($DC32:DQ32)-1)*5 + 1), INDEX($E$8:$CE$57, MATCH($C32, $C$8:$C$57, 0), (COLUMNS($DC32:DQ32)-1)*5 + 4) = "F"), INDEX($CZ$8:$CZ$23, COLUMNS($DC32:DQ32)), "0"), "")</f>
        <v>0</v>
      </c>
      <c r="DR32" s="390" t="str">
        <f t="array" ref="DR32">IFERROR(IF(AND(INDEX($E$8:$CE$57, MATCH($C32, $C$8:$C$57, 0), (COLUMNS($DC32:DR32)-1)*5 + 1) = INDEX($E$5:$CE$5, 1, (COLUMNS($DC32:DR32)-1)*5 + 1), INDEX($E$8:$CE$57, MATCH($C32, $C$8:$C$57, 0), (COLUMNS($DC32:DR32)-1)*5 + 4) = "F"), INDEX($CZ$8:$CZ$23, COLUMNS($DC32:DR32)), "0"), "")</f>
        <v>0</v>
      </c>
      <c r="DT32" s="537" t="str">
        <f>SEMANA2[[#This Row],[COD]]</f>
        <v>COD 25</v>
      </c>
      <c r="DU32" s="390" t="str">
        <f t="array" ref="DU32">IFERROR(IF(AND(INDEX($E$8:$CE$57, MATCH($C32, $C$8:$C$57, 0), (COLUMNS($DU32:DU32)-1)*5 + 1) = INDEX($E$5:$CE$5, 1, (COLUMNS($DU32:DU32)-1)*5 + 1), INDEX($E$8:$CE$57, MATCH($C32, $C$8:$C$57, 0), (COLUMNS($DU32:DU32)-1)*5 + 4) = "SF"), INDEX($CZ$8:$CZ$23, COLUMNS($DU32:DU32)), "0"), "")</f>
        <v>0</v>
      </c>
      <c r="DV32" s="390" t="str">
        <f t="array" ref="DV32">IFERROR(IF(AND(INDEX($E$8:$CE$57, MATCH($C32, $C$8:$C$57, 0), (COLUMNS($DU32:DV32)-1)*5 + 1) = INDEX($E$5:$CE$5, 1, (COLUMNS($DU32:DV32)-1)*5 + 1), INDEX($E$8:$CE$57, MATCH($C32, $C$8:$C$57, 0), (COLUMNS($DU32:DV32)-1)*5 + 4) = "SF"), INDEX($CZ$8:$CZ$23, COLUMNS($DU32:DV32)), "0"), "")</f>
        <v>0</v>
      </c>
      <c r="DW32" s="390" t="str">
        <f t="array" ref="DW32">IFERROR(IF(AND(INDEX($E$8:$CE$57, MATCH($C32, $C$8:$C$57, 0), (COLUMNS($DU32:DW32)-1)*5 + 1) = INDEX($E$5:$CE$5, 1, (COLUMNS($DU32:DW32)-1)*5 + 1), INDEX($E$8:$CE$57, MATCH($C32, $C$8:$C$57, 0), (COLUMNS($DU32:DW32)-1)*5 + 4) = "SF"), INDEX($CZ$8:$CZ$23, COLUMNS($DU32:DW32)), "0"), "")</f>
        <v>0</v>
      </c>
      <c r="DX32" s="390" t="str">
        <f t="array" ref="DX32">IFERROR(IF(AND(INDEX($E$8:$CE$57, MATCH($C32, $C$8:$C$57, 0), (COLUMNS($DU32:DX32)-1)*5 + 1) = INDEX($E$5:$CE$5, 1, (COLUMNS($DU32:DX32)-1)*5 + 1), INDEX($E$8:$CE$57, MATCH($C32, $C$8:$C$57, 0), (COLUMNS($DU32:DX32)-1)*5 + 4) = "SF"), INDEX($CZ$8:$CZ$23, COLUMNS($DU32:DX32)), "0"), "")</f>
        <v>0</v>
      </c>
      <c r="DY32" s="390" t="str">
        <f t="array" ref="DY32">IFERROR(IF(AND(INDEX($E$8:$CE$57, MATCH($C32, $C$8:$C$57, 0), (COLUMNS($DU32:DY32)-1)*5 + 1) = INDEX($E$5:$CE$5, 1, (COLUMNS($DU32:DY32)-1)*5 + 1), INDEX($E$8:$CE$57, MATCH($C32, $C$8:$C$57, 0), (COLUMNS($DU32:DY32)-1)*5 + 4) = "SF"), INDEX($CZ$8:$CZ$23, COLUMNS($DU32:DY32)), "0"), "")</f>
        <v>0</v>
      </c>
      <c r="DZ32" s="390" t="str">
        <f t="array" ref="DZ32">IFERROR(IF(AND(INDEX($E$8:$CE$57, MATCH($C32, $C$8:$C$57, 0), (COLUMNS($DU32:DZ32)-1)*5 + 1) = INDEX($E$5:$CE$5, 1, (COLUMNS($DU32:DZ32)-1)*5 + 1), INDEX($E$8:$CE$57, MATCH($C32, $C$8:$C$57, 0), (COLUMNS($DU32:DZ32)-1)*5 + 4) = "SF"), INDEX($CZ$8:$CZ$23, COLUMNS($DU32:DZ32)), "0"), "")</f>
        <v>0</v>
      </c>
      <c r="EA32" s="390" t="str">
        <f t="array" ref="EA32">IFERROR(IF(AND(INDEX($E$8:$CE$57, MATCH($C32, $C$8:$C$57, 0), (COLUMNS($DU32:EA32)-1)*5 + 1) = INDEX($E$5:$CE$5, 1, (COLUMNS($DU32:EA32)-1)*5 + 1), INDEX($E$8:$CE$57, MATCH($C32, $C$8:$C$57, 0), (COLUMNS($DU32:EA32)-1)*5 + 4) = "SF"), INDEX($CZ$8:$CZ$23, COLUMNS($DU32:EA32)), "0"), "")</f>
        <v>0</v>
      </c>
      <c r="EB32" s="390" t="str">
        <f t="array" ref="EB32">IFERROR(IF(AND(INDEX($E$8:$CE$57, MATCH($C32, $C$8:$C$57, 0), (COLUMNS($DU32:EB32)-1)*5 + 1) = INDEX($E$5:$CE$5, 1, (COLUMNS($DU32:EB32)-1)*5 + 1), INDEX($E$8:$CE$57, MATCH($C32, $C$8:$C$57, 0), (COLUMNS($DU32:EB32)-1)*5 + 4) = "SF"), INDEX($CZ$8:$CZ$23, COLUMNS($DU32:EB32)), "0"), "")</f>
        <v>0</v>
      </c>
      <c r="EC32" s="390" t="str">
        <f t="array" ref="EC32">IFERROR(IF(AND(INDEX($E$8:$CE$57, MATCH($C32, $C$8:$C$57, 0), (COLUMNS($DU32:EC32)-1)*5 + 1) = INDEX($E$5:$CE$5, 1, (COLUMNS($DU32:EC32)-1)*5 + 1), INDEX($E$8:$CE$57, MATCH($C32, $C$8:$C$57, 0), (COLUMNS($DU32:EC32)-1)*5 + 4) = "SF"), INDEX($CZ$8:$CZ$23, COLUMNS($DU32:EC32)), "0"), "")</f>
        <v>0</v>
      </c>
      <c r="ED32" s="390" t="str">
        <f t="array" ref="ED32">IFERROR(IF(AND(INDEX($E$8:$CE$57, MATCH($C32, $C$8:$C$57, 0), (COLUMNS($DU32:ED32)-1)*5 + 1) = INDEX($E$5:$CE$5, 1, (COLUMNS($DU32:ED32)-1)*5 + 1), INDEX($E$8:$CE$57, MATCH($C32, $C$8:$C$57, 0), (COLUMNS($DU32:ED32)-1)*5 + 4) = "SF"), INDEX($CZ$8:$CZ$23, COLUMNS($DU32:ED32)), "0"), "")</f>
        <v>0</v>
      </c>
      <c r="EE32" s="390" t="str">
        <f t="array" ref="EE32">IFERROR(IF(AND(INDEX($E$8:$CE$57, MATCH($C32, $C$8:$C$57, 0), (COLUMNS($DU32:EE32)-1)*5 + 1) = INDEX($E$5:$CE$5, 1, (COLUMNS($DU32:EE32)-1)*5 + 1), INDEX($E$8:$CE$57, MATCH($C32, $C$8:$C$57, 0), (COLUMNS($DU32:EE32)-1)*5 + 4) = "SF"), INDEX($CZ$8:$CZ$23, COLUMNS($DU32:EE32)), "0"), "")</f>
        <v>0</v>
      </c>
      <c r="EF32" s="390" t="str">
        <f t="array" ref="EF32">IFERROR(IF(AND(INDEX($E$8:$CE$57, MATCH($C32, $C$8:$C$57, 0), (COLUMNS($DU32:EF32)-1)*5 + 1) = INDEX($E$5:$CE$5, 1, (COLUMNS($DU32:EF32)-1)*5 + 1), INDEX($E$8:$CE$57, MATCH($C32, $C$8:$C$57, 0), (COLUMNS($DU32:EF32)-1)*5 + 4) = "SF"), INDEX($CZ$8:$CZ$23, COLUMNS($DU32:EF32)), "0"), "")</f>
        <v>0</v>
      </c>
      <c r="EG32" s="390" t="str">
        <f t="array" ref="EG32">IFERROR(IF(AND(INDEX($E$8:$CE$57, MATCH($C32, $C$8:$C$57, 0), (COLUMNS($DU32:EG32)-1)*5 + 1) = INDEX($E$5:$CE$5, 1, (COLUMNS($DU32:EG32)-1)*5 + 1), INDEX($E$8:$CE$57, MATCH($C32, $C$8:$C$57, 0), (COLUMNS($DU32:EG32)-1)*5 + 4) = "SF"), INDEX($CZ$8:$CZ$23, COLUMNS($DU32:EG32)), "0"), "")</f>
        <v>0</v>
      </c>
      <c r="EH32" s="390" t="str">
        <f t="array" ref="EH32">IFERROR(IF(AND(INDEX($E$8:$CE$57, MATCH($C32, $C$8:$C$57, 0), (COLUMNS($DU32:EH32)-1)*5 + 1) = INDEX($E$5:$CE$5, 1, (COLUMNS($DU32:EH32)-1)*5 + 1), INDEX($E$8:$CE$57, MATCH($C32, $C$8:$C$57, 0), (COLUMNS($DU32:EH32)-1)*5 + 4) = "SF"), INDEX($CZ$8:$CZ$23, COLUMNS($DU32:EH32)), "0"), "")</f>
        <v>0</v>
      </c>
      <c r="EI32" s="390" t="str">
        <f t="array" ref="EI32">IFERROR(IF(AND(INDEX($E$8:$CE$57, MATCH($C32, $C$8:$C$57, 0), (COLUMNS($DU32:EI32)-1)*5 + 1) = INDEX($E$5:$CE$5, 1, (COLUMNS($DU32:EI32)-1)*5 + 1), INDEX($E$8:$CE$57, MATCH($C32, $C$8:$C$57, 0), (COLUMNS($DU32:EI32)-1)*5 + 4) = "SF"), INDEX($CZ$8:$CZ$23, COLUMNS($DU32:EI32)), "0"), "")</f>
        <v>0</v>
      </c>
      <c r="EJ32" s="390" t="str">
        <f t="array" ref="EJ32">IFERROR(IF(AND(INDEX($E$8:$CE$57, MATCH($C32, $C$8:$C$57, 0), (COLUMNS($DU32:EJ32)-1)*5 + 1) = INDEX($E$5:$CE$5, 1, (COLUMNS($DU32:EJ32)-1)*5 + 1), INDEX($E$8:$CE$57, MATCH($C32, $C$8:$C$57, 0), (COLUMNS($DU32:EJ32)-1)*5 + 4) = "SF"), INDEX($CZ$8:$CZ$23, COLUMNS($DU32:EJ32)), "0"), "")</f>
        <v>0</v>
      </c>
    </row>
    <row r="33" spans="1:140" ht="19.5" customHeight="1" x14ac:dyDescent="0.35">
      <c r="A33" s="515"/>
      <c r="B33" s="444">
        <f>IF(SEMANA2[[#This Row],[COD]]&lt;&gt;"",B32+1,"")</f>
        <v>26</v>
      </c>
      <c r="C33" s="554" t="s">
        <v>82</v>
      </c>
      <c r="D33" s="410" t="str">
        <f t="array" ref="D33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33" s="411">
        <v>2</v>
      </c>
      <c r="F33" s="412"/>
      <c r="G33" s="412"/>
      <c r="H33" s="412" t="s">
        <v>255</v>
      </c>
      <c r="I33" s="534">
        <f t="shared" si="0"/>
        <v>0</v>
      </c>
      <c r="J33" s="411">
        <v>7</v>
      </c>
      <c r="K33" s="412">
        <v>1</v>
      </c>
      <c r="L33" s="412">
        <v>2</v>
      </c>
      <c r="M33" s="412"/>
      <c r="N33" s="534">
        <f t="shared" si="1"/>
        <v>4</v>
      </c>
      <c r="O33" s="411">
        <v>3</v>
      </c>
      <c r="P33" s="412">
        <v>1</v>
      </c>
      <c r="Q33" s="412">
        <v>5</v>
      </c>
      <c r="R33" s="412"/>
      <c r="S33" s="534">
        <f t="shared" si="2"/>
        <v>2</v>
      </c>
      <c r="T33" s="411">
        <v>3</v>
      </c>
      <c r="U33" s="412">
        <v>4</v>
      </c>
      <c r="V33" s="412">
        <v>5</v>
      </c>
      <c r="W33" s="412"/>
      <c r="X33" s="534">
        <f t="shared" si="3"/>
        <v>0</v>
      </c>
      <c r="Y33" s="411">
        <v>1</v>
      </c>
      <c r="Z33" s="412">
        <v>2</v>
      </c>
      <c r="AA33" s="412">
        <v>4</v>
      </c>
      <c r="AB33" s="412"/>
      <c r="AC33" s="534">
        <f t="shared" si="4"/>
        <v>2</v>
      </c>
      <c r="AD33" s="411">
        <v>3</v>
      </c>
      <c r="AE33" s="412">
        <v>4</v>
      </c>
      <c r="AF33" s="412">
        <v>5</v>
      </c>
      <c r="AG33" s="412"/>
      <c r="AH33" s="534">
        <f t="shared" si="5"/>
        <v>0</v>
      </c>
      <c r="AI33" s="411">
        <v>7</v>
      </c>
      <c r="AJ33" s="412">
        <v>6</v>
      </c>
      <c r="AK33" s="412">
        <v>3</v>
      </c>
      <c r="AL33" s="412"/>
      <c r="AM33" s="534">
        <f t="shared" si="6"/>
        <v>0</v>
      </c>
      <c r="AN33" s="411">
        <v>8</v>
      </c>
      <c r="AO33" s="412">
        <v>4</v>
      </c>
      <c r="AP33" s="412">
        <v>2</v>
      </c>
      <c r="AQ33" s="412" t="s">
        <v>254</v>
      </c>
      <c r="AR33" s="534">
        <f t="shared" si="7"/>
        <v>4.5</v>
      </c>
      <c r="AS33" s="411">
        <v>2</v>
      </c>
      <c r="AT33" s="412">
        <v>1</v>
      </c>
      <c r="AU33" s="412">
        <v>9</v>
      </c>
      <c r="AV33" s="412" t="s">
        <v>254</v>
      </c>
      <c r="AW33" s="534">
        <f t="shared" si="8"/>
        <v>5</v>
      </c>
      <c r="AX33" s="411">
        <v>5</v>
      </c>
      <c r="AY33" s="412">
        <v>1</v>
      </c>
      <c r="AZ33" s="412">
        <v>9</v>
      </c>
      <c r="BA33" s="412"/>
      <c r="BB33" s="534">
        <f t="shared" si="9"/>
        <v>0</v>
      </c>
      <c r="BC33" s="411">
        <v>5</v>
      </c>
      <c r="BD33" s="412">
        <v>2</v>
      </c>
      <c r="BE33" s="412">
        <v>7</v>
      </c>
      <c r="BF33" s="412"/>
      <c r="BG33" s="534">
        <f t="shared" si="10"/>
        <v>1</v>
      </c>
      <c r="BH33" s="411">
        <v>6</v>
      </c>
      <c r="BI33" s="412">
        <v>5</v>
      </c>
      <c r="BJ33" s="412">
        <v>2</v>
      </c>
      <c r="BK33" s="412"/>
      <c r="BL33" s="534">
        <f t="shared" si="11"/>
        <v>5</v>
      </c>
      <c r="BM33" s="411">
        <v>3</v>
      </c>
      <c r="BN33" s="412">
        <v>9</v>
      </c>
      <c r="BO33" s="412">
        <v>5</v>
      </c>
      <c r="BP33" s="412"/>
      <c r="BQ33" s="534">
        <f t="shared" si="12"/>
        <v>2</v>
      </c>
      <c r="BR33" s="411">
        <v>2</v>
      </c>
      <c r="BS33" s="412">
        <v>5</v>
      </c>
      <c r="BT33" s="412">
        <v>1</v>
      </c>
      <c r="BU33" s="412"/>
      <c r="BV33" s="534">
        <f t="shared" si="13"/>
        <v>1</v>
      </c>
      <c r="BW33" s="411"/>
      <c r="BX33" s="412"/>
      <c r="BY33" s="412"/>
      <c r="BZ33" s="412"/>
      <c r="CA33" s="534">
        <f t="shared" si="14"/>
        <v>0</v>
      </c>
      <c r="CB33" s="411"/>
      <c r="CC33" s="412"/>
      <c r="CD33" s="412"/>
      <c r="CE33" s="412"/>
      <c r="CF33" s="534">
        <f t="shared" si="15"/>
        <v>0</v>
      </c>
      <c r="CG33" s="162">
        <f>IF(SEMANA2[[#This Row],[1]]="",0,$B$4)</f>
        <v>14</v>
      </c>
      <c r="CH33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4</v>
      </c>
      <c r="CI33" s="164">
        <f>IF(SEMANA2[[#This Row],[Columna14]]=0,0,(CH33/CG33))</f>
        <v>0.2857142857142857</v>
      </c>
      <c r="CJ33" s="163">
        <f>IF(SEMANA2[[#This Row],[1]]="",0,$B$4)</f>
        <v>14</v>
      </c>
      <c r="CK33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33" s="164">
        <f>IF(SEMANA2[[#This Row],[Columna14]]=0,0,(CK33/CJ33))</f>
        <v>0.42857142857142855</v>
      </c>
      <c r="CM33" s="162">
        <f>IF(SEMANA2[[#This Row],[1]]="",0,$B$4)</f>
        <v>14</v>
      </c>
      <c r="CN33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9</v>
      </c>
      <c r="CO33" s="164">
        <f>IF(SEMANA2[[#This Row],[Columna14]]=0,0,(CN33/CM33))</f>
        <v>0.6428571428571429</v>
      </c>
      <c r="CP33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33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Row],[Columna25]],$AX$5,BA33,"SF")+COUNTIFS(SEMANA2[[#This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33" s="164">
        <f>IFERROR(IF(SEMANA2[[#This Row],[Columna14]]=0,0,(CQ33/CP33)),0)</f>
        <v>0.66666666666666663</v>
      </c>
      <c r="CS33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26.5</v>
      </c>
      <c r="CT33" s="93">
        <f>_xlfn.XLOOKUP(SEMANA2[[#This Row],[COD]],BASE01[COD],BASE01[Columna33])</f>
        <v>32</v>
      </c>
      <c r="CU33" s="536">
        <f t="shared" si="16"/>
        <v>58.5</v>
      </c>
      <c r="CV33" s="445">
        <f>IF(SEMANA2[[#This Row],[TIPO]]="PREMIO",$O$3,"0,00")</f>
        <v>1000</v>
      </c>
      <c r="CW33" s="515"/>
      <c r="CY33" s="387">
        <f t="shared" si="17"/>
        <v>7</v>
      </c>
      <c r="CZ33" s="387" t="str">
        <v>COD 24</v>
      </c>
      <c r="DA33" s="387">
        <f t="array" ref="DA33">IF(CZ33="", "", IF((INDEX(E$8:CE$57, MATCH(CZ33, C$8:C$57, 0), ($CZ$25-1)*5 + 1) &amp; "") = (INDEX(E$5:CE$5, 1, ($CZ$25-1)*5 + 1) &amp; ""), 1, IF((INDEX(E$8:CE$57, MATCH(CZ33, C$8:C$57, 0), ($CZ$25-1)*5 + 2) &amp; "") = (INDEX(E$5:CE$5, 1, ($CZ$25-1)*5 + 1) &amp; ""), 2, IF((INDEX(E$8:CE$57, MATCH(CZ33, C$8:C$57, 0), ($CZ$25-1)*5 + 3) &amp; "") = (INDEX(E$5:CE$5, 1, ($CZ$25-1)*5 + 1) &amp; ""), 3, ""))))</f>
        <v>3</v>
      </c>
      <c r="DB33" s="537" t="str">
        <f>SEMANA2[[#This Row],[COD]]</f>
        <v>COD 26</v>
      </c>
      <c r="DC33" s="390" t="str">
        <f t="array" ref="DC33">IFERROR(IF(AND(INDEX($E$8:$CE$57, MATCH($C33, $C$8:$C$57, 0), (COLUMNS($DC33:DC33)-1)*5 + 1) = INDEX($E$5:$CE$5, 1, (COLUMNS($DC33:DC33)-1)*5 + 1), INDEX($E$8:$CE$57, MATCH($C33, $C$8:$C$57, 0), (COLUMNS($DC33:DC33)-1)*5 + 4) = "F"), INDEX($CZ$8:$CZ$23, COLUMNS($DC33:DC33)), "0"), "")</f>
        <v>0</v>
      </c>
      <c r="DD33" s="390" t="str">
        <f t="array" ref="DD33">IFERROR(IF(AND(INDEX($E$8:$CE$57, MATCH($C33, $C$8:$C$57, 0), (COLUMNS($DC33:DD33)-1)*5 + 1) = INDEX($E$5:$CE$5, 1, (COLUMNS($DC33:DD33)-1)*5 + 1), INDEX($E$8:$CE$57, MATCH($C33, $C$8:$C$57, 0), (COLUMNS($DC33:DD33)-1)*5 + 4) = "F"), INDEX($CZ$8:$CZ$23, COLUMNS($DC33:DD33)), "0"), "")</f>
        <v>0</v>
      </c>
      <c r="DE33" s="390" t="str">
        <f t="array" ref="DE33">IFERROR(IF(AND(INDEX($E$8:$CE$57, MATCH($C33, $C$8:$C$57, 0), (COLUMNS($DC33:DE33)-1)*5 + 1) = INDEX($E$5:$CE$5, 1, (COLUMNS($DC33:DE33)-1)*5 + 1), INDEX($E$8:$CE$57, MATCH($C33, $C$8:$C$57, 0), (COLUMNS($DC33:DE33)-1)*5 + 4) = "F"), INDEX($CZ$8:$CZ$23, COLUMNS($DC33:DE33)), "0"), "")</f>
        <v>0</v>
      </c>
      <c r="DF33" s="390" t="str">
        <f t="array" ref="DF33">IFERROR(IF(AND(INDEX($E$8:$CE$57, MATCH($C33, $C$8:$C$57, 0), (COLUMNS($DC33:DF33)-1)*5 + 1) = INDEX($E$5:$CE$5, 1, (COLUMNS($DC33:DF33)-1)*5 + 1), INDEX($E$8:$CE$57, MATCH($C33, $C$8:$C$57, 0), (COLUMNS($DC33:DF33)-1)*5 + 4) = "F"), INDEX($CZ$8:$CZ$23, COLUMNS($DC33:DF33)), "0"), "")</f>
        <v>0</v>
      </c>
      <c r="DG33" s="390" t="str">
        <f t="array" ref="DG33">IFERROR(IF(AND(INDEX($E$8:$CE$57, MATCH($C33, $C$8:$C$57, 0), (COLUMNS($DC33:DG33)-1)*5 + 1) = INDEX($E$5:$CE$5, 1, (COLUMNS($DC33:DG33)-1)*5 + 1), INDEX($E$8:$CE$57, MATCH($C33, $C$8:$C$57, 0), (COLUMNS($DC33:DG33)-1)*5 + 4) = "F"), INDEX($CZ$8:$CZ$23, COLUMNS($DC33:DG33)), "0"), "")</f>
        <v>0</v>
      </c>
      <c r="DH33" s="390" t="str">
        <f t="array" ref="DH33">IFERROR(IF(AND(INDEX($E$8:$CE$57, MATCH($C33, $C$8:$C$57, 0), (COLUMNS($DC33:DH33)-1)*5 + 1) = INDEX($E$5:$CE$5, 1, (COLUMNS($DC33:DH33)-1)*5 + 1), INDEX($E$8:$CE$57, MATCH($C33, $C$8:$C$57, 0), (COLUMNS($DC33:DH33)-1)*5 + 4) = "F"), INDEX($CZ$8:$CZ$23, COLUMNS($DC33:DH33)), "0"), "")</f>
        <v>0</v>
      </c>
      <c r="DI33" s="390" t="str">
        <f t="array" ref="DI33">IFERROR(IF(AND(INDEX($E$8:$CE$57, MATCH($C33, $C$8:$C$57, 0), (COLUMNS($DC33:DI33)-1)*5 + 1) = INDEX($E$5:$CE$5, 1, (COLUMNS($DC33:DI33)-1)*5 + 1), INDEX($E$8:$CE$57, MATCH($C33, $C$8:$C$57, 0), (COLUMNS($DC33:DI33)-1)*5 + 4) = "F"), INDEX($CZ$8:$CZ$23, COLUMNS($DC33:DI33)), "0"), "")</f>
        <v>0</v>
      </c>
      <c r="DJ33" s="390">
        <f t="array" ref="DJ33">IFERROR(IF(AND(INDEX($E$8:$CE$57, MATCH($C33, $C$8:$C$57, 0), (COLUMNS($DC33:DJ33)-1)*5 + 1) = INDEX($E$5:$CE$5, 1, (COLUMNS($DC33:DJ33)-1)*5 + 1), INDEX($E$8:$CE$57, MATCH($C33, $C$8:$C$57, 0), (COLUMNS($DC33:DJ33)-1)*5 + 4) = "F"), INDEX($CZ$8:$CZ$23, COLUMNS($DC33:DJ33)), "0"), "")</f>
        <v>128.36000000000001</v>
      </c>
      <c r="DK33" s="390">
        <f t="array" ref="DK33">IFERROR(IF(AND(INDEX($E$8:$CE$57, MATCH($C33, $C$8:$C$57, 0), (COLUMNS($DC33:DK33)-1)*5 + 1) = INDEX($E$5:$CE$5, 1, (COLUMNS($DC33:DK33)-1)*5 + 1), INDEX($E$8:$CE$57, MATCH($C33, $C$8:$C$57, 0), (COLUMNS($DC33:DK33)-1)*5 + 4) = "F"), INDEX($CZ$8:$CZ$23, COLUMNS($DC33:DK33)), "0"), "")</f>
        <v>380.3</v>
      </c>
      <c r="DL33" s="390" t="str">
        <f t="array" ref="DL33">IFERROR(IF(AND(INDEX($E$8:$CE$57, MATCH($C33, $C$8:$C$57, 0), (COLUMNS($DC33:DL33)-1)*5 + 1) = INDEX($E$5:$CE$5, 1, (COLUMNS($DC33:DL33)-1)*5 + 1), INDEX($E$8:$CE$57, MATCH($C33, $C$8:$C$57, 0), (COLUMNS($DC33:DL33)-1)*5 + 4) = "F"), INDEX($CZ$8:$CZ$23, COLUMNS($DC33:DL33)), "0"), "")</f>
        <v>0</v>
      </c>
      <c r="DM33" s="390" t="str">
        <f t="array" ref="DM33">IFERROR(IF(AND(INDEX($E$8:$CE$57, MATCH($C33, $C$8:$C$57, 0), (COLUMNS($DC33:DM33)-1)*5 + 1) = INDEX($E$5:$CE$5, 1, (COLUMNS($DC33:DM33)-1)*5 + 1), INDEX($E$8:$CE$57, MATCH($C33, $C$8:$C$57, 0), (COLUMNS($DC33:DM33)-1)*5 + 4) = "F"), INDEX($CZ$8:$CZ$23, COLUMNS($DC33:DM33)), "0"), "")</f>
        <v>0</v>
      </c>
      <c r="DN33" s="390" t="str">
        <f t="array" ref="DN33">IFERROR(IF(AND(INDEX($E$8:$CE$57, MATCH($C33, $C$8:$C$57, 0), (COLUMNS($DC33:DN33)-1)*5 + 1) = INDEX($E$5:$CE$5, 1, (COLUMNS($DC33:DN33)-1)*5 + 1), INDEX($E$8:$CE$57, MATCH($C33, $C$8:$C$57, 0), (COLUMNS($DC33:DN33)-1)*5 + 4) = "F"), INDEX($CZ$8:$CZ$23, COLUMNS($DC33:DN33)), "0"), "")</f>
        <v>0</v>
      </c>
      <c r="DO33" s="390" t="str">
        <f t="array" ref="DO33">IFERROR(IF(AND(INDEX($E$8:$CE$57, MATCH($C33, $C$8:$C$57, 0), (COLUMNS($DC33:DO33)-1)*5 + 1) = INDEX($E$5:$CE$5, 1, (COLUMNS($DC33:DO33)-1)*5 + 1), INDEX($E$8:$CE$57, MATCH($C33, $C$8:$C$57, 0), (COLUMNS($DC33:DO33)-1)*5 + 4) = "F"), INDEX($CZ$8:$CZ$23, COLUMNS($DC33:DO33)), "0"), "")</f>
        <v>0</v>
      </c>
      <c r="DP33" s="390" t="str">
        <f t="array" ref="DP33">IFERROR(IF(AND(INDEX($E$8:$CE$57, MATCH($C33, $C$8:$C$57, 0), (COLUMNS($DC33:DP33)-1)*5 + 1) = INDEX($E$5:$CE$5, 1, (COLUMNS($DC33:DP33)-1)*5 + 1), INDEX($E$8:$CE$57, MATCH($C33, $C$8:$C$57, 0), (COLUMNS($DC33:DP33)-1)*5 + 4) = "F"), INDEX($CZ$8:$CZ$23, COLUMNS($DC33:DP33)), "0"), "")</f>
        <v>0</v>
      </c>
      <c r="DQ33" s="390" t="str">
        <f t="array" ref="DQ33">IFERROR(IF(AND(INDEX($E$8:$CE$57, MATCH($C33, $C$8:$C$57, 0), (COLUMNS($DC33:DQ33)-1)*5 + 1) = INDEX($E$5:$CE$5, 1, (COLUMNS($DC33:DQ33)-1)*5 + 1), INDEX($E$8:$CE$57, MATCH($C33, $C$8:$C$57, 0), (COLUMNS($DC33:DQ33)-1)*5 + 4) = "F"), INDEX($CZ$8:$CZ$23, COLUMNS($DC33:DQ33)), "0"), "")</f>
        <v>0</v>
      </c>
      <c r="DR33" s="390" t="str">
        <f t="array" ref="DR33">IFERROR(IF(AND(INDEX($E$8:$CE$57, MATCH($C33, $C$8:$C$57, 0), (COLUMNS($DC33:DR33)-1)*5 + 1) = INDEX($E$5:$CE$5, 1, (COLUMNS($DC33:DR33)-1)*5 + 1), INDEX($E$8:$CE$57, MATCH($C33, $C$8:$C$57, 0), (COLUMNS($DC33:DR33)-1)*5 + 4) = "F"), INDEX($CZ$8:$CZ$23, COLUMNS($DC33:DR33)), "0"), "")</f>
        <v>0</v>
      </c>
      <c r="DT33" s="537" t="str">
        <f>SEMANA2[[#This Row],[COD]]</f>
        <v>COD 26</v>
      </c>
      <c r="DU33" s="390" t="str">
        <f t="array" ref="DU33">IFERROR(IF(AND(INDEX($E$8:$CE$57, MATCH($C33, $C$8:$C$57, 0), (COLUMNS($DU33:DU33)-1)*5 + 1) = INDEX($E$5:$CE$5, 1, (COLUMNS($DU33:DU33)-1)*5 + 1), INDEX($E$8:$CE$57, MATCH($C33, $C$8:$C$57, 0), (COLUMNS($DU33:DU33)-1)*5 + 4) = "SF"), INDEX($CZ$8:$CZ$23, COLUMNS($DU33:DU33)), "0"), "")</f>
        <v>0</v>
      </c>
      <c r="DV33" s="390" t="str">
        <f t="array" ref="DV33">IFERROR(IF(AND(INDEX($E$8:$CE$57, MATCH($C33, $C$8:$C$57, 0), (COLUMNS($DU33:DV33)-1)*5 + 1) = INDEX($E$5:$CE$5, 1, (COLUMNS($DU33:DV33)-1)*5 + 1), INDEX($E$8:$CE$57, MATCH($C33, $C$8:$C$57, 0), (COLUMNS($DU33:DV33)-1)*5 + 4) = "SF"), INDEX($CZ$8:$CZ$23, COLUMNS($DU33:DV33)), "0"), "")</f>
        <v>0</v>
      </c>
      <c r="DW33" s="390" t="str">
        <f t="array" ref="DW33">IFERROR(IF(AND(INDEX($E$8:$CE$57, MATCH($C33, $C$8:$C$57, 0), (COLUMNS($DU33:DW33)-1)*5 + 1) = INDEX($E$5:$CE$5, 1, (COLUMNS($DU33:DW33)-1)*5 + 1), INDEX($E$8:$CE$57, MATCH($C33, $C$8:$C$57, 0), (COLUMNS($DU33:DW33)-1)*5 + 4) = "SF"), INDEX($CZ$8:$CZ$23, COLUMNS($DU33:DW33)), "0"), "")</f>
        <v>0</v>
      </c>
      <c r="DX33" s="390" t="str">
        <f t="array" ref="DX33">IFERROR(IF(AND(INDEX($E$8:$CE$57, MATCH($C33, $C$8:$C$57, 0), (COLUMNS($DU33:DX33)-1)*5 + 1) = INDEX($E$5:$CE$5, 1, (COLUMNS($DU33:DX33)-1)*5 + 1), INDEX($E$8:$CE$57, MATCH($C33, $C$8:$C$57, 0), (COLUMNS($DU33:DX33)-1)*5 + 4) = "SF"), INDEX($CZ$8:$CZ$23, COLUMNS($DU33:DX33)), "0"), "")</f>
        <v>0</v>
      </c>
      <c r="DY33" s="390" t="str">
        <f t="array" ref="DY33">IFERROR(IF(AND(INDEX($E$8:$CE$57, MATCH($C33, $C$8:$C$57, 0), (COLUMNS($DU33:DY33)-1)*5 + 1) = INDEX($E$5:$CE$5, 1, (COLUMNS($DU33:DY33)-1)*5 + 1), INDEX($E$8:$CE$57, MATCH($C33, $C$8:$C$57, 0), (COLUMNS($DU33:DY33)-1)*5 + 4) = "SF"), INDEX($CZ$8:$CZ$23, COLUMNS($DU33:DY33)), "0"), "")</f>
        <v>0</v>
      </c>
      <c r="DZ33" s="390" t="str">
        <f t="array" ref="DZ33">IFERROR(IF(AND(INDEX($E$8:$CE$57, MATCH($C33, $C$8:$C$57, 0), (COLUMNS($DU33:DZ33)-1)*5 + 1) = INDEX($E$5:$CE$5, 1, (COLUMNS($DU33:DZ33)-1)*5 + 1), INDEX($E$8:$CE$57, MATCH($C33, $C$8:$C$57, 0), (COLUMNS($DU33:DZ33)-1)*5 + 4) = "SF"), INDEX($CZ$8:$CZ$23, COLUMNS($DU33:DZ33)), "0"), "")</f>
        <v>0</v>
      </c>
      <c r="EA33" s="390" t="str">
        <f t="array" ref="EA33">IFERROR(IF(AND(INDEX($E$8:$CE$57, MATCH($C33, $C$8:$C$57, 0), (COLUMNS($DU33:EA33)-1)*5 + 1) = INDEX($E$5:$CE$5, 1, (COLUMNS($DU33:EA33)-1)*5 + 1), INDEX($E$8:$CE$57, MATCH($C33, $C$8:$C$57, 0), (COLUMNS($DU33:EA33)-1)*5 + 4) = "SF"), INDEX($CZ$8:$CZ$23, COLUMNS($DU33:EA33)), "0"), "")</f>
        <v>0</v>
      </c>
      <c r="EB33" s="390" t="str">
        <f t="array" ref="EB33">IFERROR(IF(AND(INDEX($E$8:$CE$57, MATCH($C33, $C$8:$C$57, 0), (COLUMNS($DU33:EB33)-1)*5 + 1) = INDEX($E$5:$CE$5, 1, (COLUMNS($DU33:EB33)-1)*5 + 1), INDEX($E$8:$CE$57, MATCH($C33, $C$8:$C$57, 0), (COLUMNS($DU33:EB33)-1)*5 + 4) = "SF"), INDEX($CZ$8:$CZ$23, COLUMNS($DU33:EB33)), "0"), "")</f>
        <v>0</v>
      </c>
      <c r="EC33" s="390" t="str">
        <f t="array" ref="EC33">IFERROR(IF(AND(INDEX($E$8:$CE$57, MATCH($C33, $C$8:$C$57, 0), (COLUMNS($DU33:EC33)-1)*5 + 1) = INDEX($E$5:$CE$5, 1, (COLUMNS($DU33:EC33)-1)*5 + 1), INDEX($E$8:$CE$57, MATCH($C33, $C$8:$C$57, 0), (COLUMNS($DU33:EC33)-1)*5 + 4) = "SF"), INDEX($CZ$8:$CZ$23, COLUMNS($DU33:EC33)), "0"), "")</f>
        <v>0</v>
      </c>
      <c r="ED33" s="390" t="str">
        <f t="array" ref="ED33">IFERROR(IF(AND(INDEX($E$8:$CE$57, MATCH($C33, $C$8:$C$57, 0), (COLUMNS($DU33:ED33)-1)*5 + 1) = INDEX($E$5:$CE$5, 1, (COLUMNS($DU33:ED33)-1)*5 + 1), INDEX($E$8:$CE$57, MATCH($C33, $C$8:$C$57, 0), (COLUMNS($DU33:ED33)-1)*5 + 4) = "SF"), INDEX($CZ$8:$CZ$23, COLUMNS($DU33:ED33)), "0"), "")</f>
        <v>0</v>
      </c>
      <c r="EE33" s="390" t="str">
        <f t="array" ref="EE33">IFERROR(IF(AND(INDEX($E$8:$CE$57, MATCH($C33, $C$8:$C$57, 0), (COLUMNS($DU33:EE33)-1)*5 + 1) = INDEX($E$5:$CE$5, 1, (COLUMNS($DU33:EE33)-1)*5 + 1), INDEX($E$8:$CE$57, MATCH($C33, $C$8:$C$57, 0), (COLUMNS($DU33:EE33)-1)*5 + 4) = "SF"), INDEX($CZ$8:$CZ$23, COLUMNS($DU33:EE33)), "0"), "")</f>
        <v>0</v>
      </c>
      <c r="EF33" s="390" t="str">
        <f t="array" ref="EF33">IFERROR(IF(AND(INDEX($E$8:$CE$57, MATCH($C33, $C$8:$C$57, 0), (COLUMNS($DU33:EF33)-1)*5 + 1) = INDEX($E$5:$CE$5, 1, (COLUMNS($DU33:EF33)-1)*5 + 1), INDEX($E$8:$CE$57, MATCH($C33, $C$8:$C$57, 0), (COLUMNS($DU33:EF33)-1)*5 + 4) = "SF"), INDEX($CZ$8:$CZ$23, COLUMNS($DU33:EF33)), "0"), "")</f>
        <v>0</v>
      </c>
      <c r="EG33" s="390" t="str">
        <f t="array" ref="EG33">IFERROR(IF(AND(INDEX($E$8:$CE$57, MATCH($C33, $C$8:$C$57, 0), (COLUMNS($DU33:EG33)-1)*5 + 1) = INDEX($E$5:$CE$5, 1, (COLUMNS($DU33:EG33)-1)*5 + 1), INDEX($E$8:$CE$57, MATCH($C33, $C$8:$C$57, 0), (COLUMNS($DU33:EG33)-1)*5 + 4) = "SF"), INDEX($CZ$8:$CZ$23, COLUMNS($DU33:EG33)), "0"), "")</f>
        <v>0</v>
      </c>
      <c r="EH33" s="390" t="str">
        <f t="array" ref="EH33">IFERROR(IF(AND(INDEX($E$8:$CE$57, MATCH($C33, $C$8:$C$57, 0), (COLUMNS($DU33:EH33)-1)*5 + 1) = INDEX($E$5:$CE$5, 1, (COLUMNS($DU33:EH33)-1)*5 + 1), INDEX($E$8:$CE$57, MATCH($C33, $C$8:$C$57, 0), (COLUMNS($DU33:EH33)-1)*5 + 4) = "SF"), INDEX($CZ$8:$CZ$23, COLUMNS($DU33:EH33)), "0"), "")</f>
        <v>0</v>
      </c>
      <c r="EI33" s="390" t="str">
        <f t="array" ref="EI33">IFERROR(IF(AND(INDEX($E$8:$CE$57, MATCH($C33, $C$8:$C$57, 0), (COLUMNS($DU33:EI33)-1)*5 + 1) = INDEX($E$5:$CE$5, 1, (COLUMNS($DU33:EI33)-1)*5 + 1), INDEX($E$8:$CE$57, MATCH($C33, $C$8:$C$57, 0), (COLUMNS($DU33:EI33)-1)*5 + 4) = "SF"), INDEX($CZ$8:$CZ$23, COLUMNS($DU33:EI33)), "0"), "")</f>
        <v>0</v>
      </c>
      <c r="EJ33" s="390" t="str">
        <f t="array" ref="EJ33">IFERROR(IF(AND(INDEX($E$8:$CE$57, MATCH($C33, $C$8:$C$57, 0), (COLUMNS($DU33:EJ33)-1)*5 + 1) = INDEX($E$5:$CE$5, 1, (COLUMNS($DU33:EJ33)-1)*5 + 1), INDEX($E$8:$CE$57, MATCH($C33, $C$8:$C$57, 0), (COLUMNS($DU33:EJ33)-1)*5 + 4) = "SF"), INDEX($CZ$8:$CZ$23, COLUMNS($DU33:EJ33)), "0"), "")</f>
        <v>0</v>
      </c>
    </row>
    <row r="34" spans="1:140" ht="19.5" customHeight="1" x14ac:dyDescent="0.35">
      <c r="A34" s="515"/>
      <c r="B34" s="444">
        <f>IF(SEMANA2[[#This Row],[COD]]&lt;&gt;"",B33+1,"")</f>
        <v>27</v>
      </c>
      <c r="C34" s="554" t="s">
        <v>84</v>
      </c>
      <c r="D34" s="410" t="str">
        <f t="array" ref="D34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34" s="411">
        <v>9</v>
      </c>
      <c r="F34" s="417">
        <v>4</v>
      </c>
      <c r="G34" s="417">
        <v>5</v>
      </c>
      <c r="H34" s="417"/>
      <c r="I34" s="534">
        <f t="shared" si="0"/>
        <v>0</v>
      </c>
      <c r="J34" s="411">
        <v>2</v>
      </c>
      <c r="K34" s="417">
        <v>1</v>
      </c>
      <c r="L34" s="417">
        <v>9</v>
      </c>
      <c r="M34" s="417"/>
      <c r="N34" s="534">
        <f t="shared" si="1"/>
        <v>0</v>
      </c>
      <c r="O34" s="411">
        <v>1</v>
      </c>
      <c r="P34" s="417">
        <v>5</v>
      </c>
      <c r="Q34" s="417">
        <v>9</v>
      </c>
      <c r="R34" s="417"/>
      <c r="S34" s="534">
        <f t="shared" si="2"/>
        <v>4</v>
      </c>
      <c r="T34" s="411">
        <v>5</v>
      </c>
      <c r="U34" s="417">
        <v>3</v>
      </c>
      <c r="V34" s="417">
        <v>4</v>
      </c>
      <c r="W34" s="417"/>
      <c r="X34" s="534">
        <f t="shared" si="3"/>
        <v>0</v>
      </c>
      <c r="Y34" s="411">
        <v>1</v>
      </c>
      <c r="Z34" s="417">
        <v>4</v>
      </c>
      <c r="AA34" s="417">
        <v>7</v>
      </c>
      <c r="AB34" s="417"/>
      <c r="AC34" s="534">
        <f t="shared" si="4"/>
        <v>0</v>
      </c>
      <c r="AD34" s="411">
        <v>6</v>
      </c>
      <c r="AE34" s="417">
        <v>5</v>
      </c>
      <c r="AF34" s="417">
        <v>3</v>
      </c>
      <c r="AG34" s="417"/>
      <c r="AH34" s="534">
        <f t="shared" si="5"/>
        <v>0</v>
      </c>
      <c r="AI34" s="411">
        <v>7</v>
      </c>
      <c r="AJ34" s="417">
        <v>8</v>
      </c>
      <c r="AK34" s="417">
        <v>6</v>
      </c>
      <c r="AL34" s="417"/>
      <c r="AM34" s="534">
        <f t="shared" si="6"/>
        <v>0</v>
      </c>
      <c r="AN34" s="411">
        <v>8</v>
      </c>
      <c r="AO34" s="417">
        <v>1</v>
      </c>
      <c r="AP34" s="417">
        <v>2</v>
      </c>
      <c r="AQ34" s="417" t="s">
        <v>254</v>
      </c>
      <c r="AR34" s="534">
        <f t="shared" si="7"/>
        <v>4.5</v>
      </c>
      <c r="AS34" s="411">
        <v>2</v>
      </c>
      <c r="AT34" s="417">
        <v>9</v>
      </c>
      <c r="AU34" s="417">
        <v>10</v>
      </c>
      <c r="AV34" s="417"/>
      <c r="AW34" s="534">
        <f t="shared" si="8"/>
        <v>4</v>
      </c>
      <c r="AX34" s="411">
        <v>5</v>
      </c>
      <c r="AY34" s="417">
        <v>2</v>
      </c>
      <c r="AZ34" s="417">
        <v>10</v>
      </c>
      <c r="BA34" s="417"/>
      <c r="BB34" s="534">
        <f t="shared" si="9"/>
        <v>2</v>
      </c>
      <c r="BC34" s="411">
        <v>7</v>
      </c>
      <c r="BD34" s="417">
        <v>6</v>
      </c>
      <c r="BE34" s="417">
        <v>3</v>
      </c>
      <c r="BF34" s="417" t="s">
        <v>254</v>
      </c>
      <c r="BG34" s="534">
        <f t="shared" si="10"/>
        <v>6</v>
      </c>
      <c r="BH34" s="411">
        <v>6</v>
      </c>
      <c r="BI34" s="417">
        <v>1</v>
      </c>
      <c r="BJ34" s="417">
        <v>5</v>
      </c>
      <c r="BK34" s="417"/>
      <c r="BL34" s="534">
        <f t="shared" si="11"/>
        <v>6</v>
      </c>
      <c r="BM34" s="411">
        <v>4</v>
      </c>
      <c r="BN34" s="417">
        <v>1</v>
      </c>
      <c r="BO34" s="417">
        <v>8</v>
      </c>
      <c r="BP34" s="417"/>
      <c r="BQ34" s="534">
        <f t="shared" si="12"/>
        <v>0</v>
      </c>
      <c r="BR34" s="411">
        <v>11</v>
      </c>
      <c r="BS34" s="417"/>
      <c r="BT34" s="417"/>
      <c r="BU34" s="417" t="s">
        <v>255</v>
      </c>
      <c r="BV34" s="534">
        <f t="shared" si="13"/>
        <v>0</v>
      </c>
      <c r="BW34" s="411"/>
      <c r="BX34" s="417"/>
      <c r="BY34" s="417"/>
      <c r="BZ34" s="417"/>
      <c r="CA34" s="534">
        <f t="shared" si="14"/>
        <v>0</v>
      </c>
      <c r="CB34" s="411"/>
      <c r="CC34" s="417"/>
      <c r="CD34" s="417"/>
      <c r="CE34" s="417"/>
      <c r="CF34" s="534">
        <f t="shared" si="15"/>
        <v>0</v>
      </c>
      <c r="CG34" s="162">
        <f>IF(SEMANA2[[#This Row],[1]]="",0,$B$4)</f>
        <v>14</v>
      </c>
      <c r="CH34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5</v>
      </c>
      <c r="CI34" s="164">
        <f>IF(SEMANA2[[#This Row],[Columna14]]=0,0,(CH34/CG34))</f>
        <v>0.35714285714285715</v>
      </c>
      <c r="CJ34" s="163">
        <f>IF(SEMANA2[[#This Row],[1]]="",0,$B$4)</f>
        <v>14</v>
      </c>
      <c r="CK34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34" s="164">
        <f>IF(SEMANA2[[#This Row],[Columna14]]=0,0,(CK34/CJ34))</f>
        <v>0.42857142857142855</v>
      </c>
      <c r="CM34" s="162">
        <f>IF(SEMANA2[[#This Row],[1]]="",0,$B$4)</f>
        <v>14</v>
      </c>
      <c r="CN34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6</v>
      </c>
      <c r="CO34" s="164">
        <f>IF(SEMANA2[[#This Row],[Columna14]]=0,0,(CN34/CM34))</f>
        <v>0.42857142857142855</v>
      </c>
      <c r="CP34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34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Row],[Columna25]],$AX$5,BA34,"SF")+COUNTIFS(SEMANA2[[#This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34" s="164">
        <f>IFERROR(IF(SEMANA2[[#This Row],[Columna14]]=0,0,(CQ34/CP34)),0)</f>
        <v>0.66666666666666663</v>
      </c>
      <c r="CS34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26.5</v>
      </c>
      <c r="CT34" s="93">
        <f>_xlfn.XLOOKUP(SEMANA2[[#This Row],[COD]],BASE01[COD],BASE01[Columna33])</f>
        <v>44</v>
      </c>
      <c r="CU34" s="536">
        <f t="shared" si="16"/>
        <v>70.5</v>
      </c>
      <c r="CV34" s="445">
        <f>IF(SEMANA2[[#This Row],[TIPO]]="PREMIO",$O$3,"0,00")</f>
        <v>1000</v>
      </c>
      <c r="CW34" s="515"/>
      <c r="CY34" s="387">
        <f t="shared" si="17"/>
        <v>7</v>
      </c>
      <c r="CZ34" s="387" t="str">
        <v>COD 28</v>
      </c>
      <c r="DA34" s="387">
        <f t="array" ref="DA34">IF(CZ34="", "", IF((INDEX(E$8:CE$57, MATCH(CZ34, C$8:C$57, 0), ($CZ$25-1)*5 + 1) &amp; "") = (INDEX(E$5:CE$5, 1, ($CZ$25-1)*5 + 1) &amp; ""), 1, IF((INDEX(E$8:CE$57, MATCH(CZ34, C$8:C$57, 0), ($CZ$25-1)*5 + 2) &amp; "") = (INDEX(E$5:CE$5, 1, ($CZ$25-1)*5 + 1) &amp; ""), 2, IF((INDEX(E$8:CE$57, MATCH(CZ34, C$8:C$57, 0), ($CZ$25-1)*5 + 3) &amp; "") = (INDEX(E$5:CE$5, 1, ($CZ$25-1)*5 + 1) &amp; ""), 3, ""))))</f>
        <v>3</v>
      </c>
      <c r="DB34" s="537" t="str">
        <f>SEMANA2[[#This Row],[COD]]</f>
        <v>COD 27</v>
      </c>
      <c r="DC34" s="390" t="str">
        <f t="array" ref="DC34">IFERROR(IF(AND(INDEX($E$8:$CE$57, MATCH($C34, $C$8:$C$57, 0), (COLUMNS($DC34:DC34)-1)*5 + 1) = INDEX($E$5:$CE$5, 1, (COLUMNS($DC34:DC34)-1)*5 + 1), INDEX($E$8:$CE$57, MATCH($C34, $C$8:$C$57, 0), (COLUMNS($DC34:DC34)-1)*5 + 4) = "F"), INDEX($CZ$8:$CZ$23, COLUMNS($DC34:DC34)), "0"), "")</f>
        <v>0</v>
      </c>
      <c r="DD34" s="390" t="str">
        <f t="array" ref="DD34">IFERROR(IF(AND(INDEX($E$8:$CE$57, MATCH($C34, $C$8:$C$57, 0), (COLUMNS($DC34:DD34)-1)*5 + 1) = INDEX($E$5:$CE$5, 1, (COLUMNS($DC34:DD34)-1)*5 + 1), INDEX($E$8:$CE$57, MATCH($C34, $C$8:$C$57, 0), (COLUMNS($DC34:DD34)-1)*5 + 4) = "F"), INDEX($CZ$8:$CZ$23, COLUMNS($DC34:DD34)), "0"), "")</f>
        <v>0</v>
      </c>
      <c r="DE34" s="390" t="str">
        <f t="array" ref="DE34">IFERROR(IF(AND(INDEX($E$8:$CE$57, MATCH($C34, $C$8:$C$57, 0), (COLUMNS($DC34:DE34)-1)*5 + 1) = INDEX($E$5:$CE$5, 1, (COLUMNS($DC34:DE34)-1)*5 + 1), INDEX($E$8:$CE$57, MATCH($C34, $C$8:$C$57, 0), (COLUMNS($DC34:DE34)-1)*5 + 4) = "F"), INDEX($CZ$8:$CZ$23, COLUMNS($DC34:DE34)), "0"), "")</f>
        <v>0</v>
      </c>
      <c r="DF34" s="390" t="str">
        <f t="array" ref="DF34">IFERROR(IF(AND(INDEX($E$8:$CE$57, MATCH($C34, $C$8:$C$57, 0), (COLUMNS($DC34:DF34)-1)*5 + 1) = INDEX($E$5:$CE$5, 1, (COLUMNS($DC34:DF34)-1)*5 + 1), INDEX($E$8:$CE$57, MATCH($C34, $C$8:$C$57, 0), (COLUMNS($DC34:DF34)-1)*5 + 4) = "F"), INDEX($CZ$8:$CZ$23, COLUMNS($DC34:DF34)), "0"), "")</f>
        <v>0</v>
      </c>
      <c r="DG34" s="390" t="str">
        <f t="array" ref="DG34">IFERROR(IF(AND(INDEX($E$8:$CE$57, MATCH($C34, $C$8:$C$57, 0), (COLUMNS($DC34:DG34)-1)*5 + 1) = INDEX($E$5:$CE$5, 1, (COLUMNS($DC34:DG34)-1)*5 + 1), INDEX($E$8:$CE$57, MATCH($C34, $C$8:$C$57, 0), (COLUMNS($DC34:DG34)-1)*5 + 4) = "F"), INDEX($CZ$8:$CZ$23, COLUMNS($DC34:DG34)), "0"), "")</f>
        <v>0</v>
      </c>
      <c r="DH34" s="390" t="str">
        <f t="array" ref="DH34">IFERROR(IF(AND(INDEX($E$8:$CE$57, MATCH($C34, $C$8:$C$57, 0), (COLUMNS($DC34:DH34)-1)*5 + 1) = INDEX($E$5:$CE$5, 1, (COLUMNS($DC34:DH34)-1)*5 + 1), INDEX($E$8:$CE$57, MATCH($C34, $C$8:$C$57, 0), (COLUMNS($DC34:DH34)-1)*5 + 4) = "F"), INDEX($CZ$8:$CZ$23, COLUMNS($DC34:DH34)), "0"), "")</f>
        <v>0</v>
      </c>
      <c r="DI34" s="390" t="str">
        <f t="array" ref="DI34">IFERROR(IF(AND(INDEX($E$8:$CE$57, MATCH($C34, $C$8:$C$57, 0), (COLUMNS($DC34:DI34)-1)*5 + 1) = INDEX($E$5:$CE$5, 1, (COLUMNS($DC34:DI34)-1)*5 + 1), INDEX($E$8:$CE$57, MATCH($C34, $C$8:$C$57, 0), (COLUMNS($DC34:DI34)-1)*5 + 4) = "F"), INDEX($CZ$8:$CZ$23, COLUMNS($DC34:DI34)), "0"), "")</f>
        <v>0</v>
      </c>
      <c r="DJ34" s="390">
        <f t="array" ref="DJ34">IFERROR(IF(AND(INDEX($E$8:$CE$57, MATCH($C34, $C$8:$C$57, 0), (COLUMNS($DC34:DJ34)-1)*5 + 1) = INDEX($E$5:$CE$5, 1, (COLUMNS($DC34:DJ34)-1)*5 + 1), INDEX($E$8:$CE$57, MATCH($C34, $C$8:$C$57, 0), (COLUMNS($DC34:DJ34)-1)*5 + 4) = "F"), INDEX($CZ$8:$CZ$23, COLUMNS($DC34:DJ34)), "0"), "")</f>
        <v>128.36000000000001</v>
      </c>
      <c r="DK34" s="390" t="str">
        <f t="array" ref="DK34">IFERROR(IF(AND(INDEX($E$8:$CE$57, MATCH($C34, $C$8:$C$57, 0), (COLUMNS($DC34:DK34)-1)*5 + 1) = INDEX($E$5:$CE$5, 1, (COLUMNS($DC34:DK34)-1)*5 + 1), INDEX($E$8:$CE$57, MATCH($C34, $C$8:$C$57, 0), (COLUMNS($DC34:DK34)-1)*5 + 4) = "F"), INDEX($CZ$8:$CZ$23, COLUMNS($DC34:DK34)), "0"), "")</f>
        <v>0</v>
      </c>
      <c r="DL34" s="390" t="str">
        <f t="array" ref="DL34">IFERROR(IF(AND(INDEX($E$8:$CE$57, MATCH($C34, $C$8:$C$57, 0), (COLUMNS($DC34:DL34)-1)*5 + 1) = INDEX($E$5:$CE$5, 1, (COLUMNS($DC34:DL34)-1)*5 + 1), INDEX($E$8:$CE$57, MATCH($C34, $C$8:$C$57, 0), (COLUMNS($DC34:DL34)-1)*5 + 4) = "F"), INDEX($CZ$8:$CZ$23, COLUMNS($DC34:DL34)), "0"), "")</f>
        <v>0</v>
      </c>
      <c r="DM34" s="390">
        <f t="array" ref="DM34">IFERROR(IF(AND(INDEX($E$8:$CE$57, MATCH($C34, $C$8:$C$57, 0), (COLUMNS($DC34:DM34)-1)*5 + 1) = INDEX($E$5:$CE$5, 1, (COLUMNS($DC34:DM34)-1)*5 + 1), INDEX($E$8:$CE$57, MATCH($C34, $C$8:$C$57, 0), (COLUMNS($DC34:DM34)-1)*5 + 4) = "F"), INDEX($CZ$8:$CZ$23, COLUMNS($DC34:DM34)), "0"), "")</f>
        <v>156.87</v>
      </c>
      <c r="DN34" s="390" t="str">
        <f t="array" ref="DN34">IFERROR(IF(AND(INDEX($E$8:$CE$57, MATCH($C34, $C$8:$C$57, 0), (COLUMNS($DC34:DN34)-1)*5 + 1) = INDEX($E$5:$CE$5, 1, (COLUMNS($DC34:DN34)-1)*5 + 1), INDEX($E$8:$CE$57, MATCH($C34, $C$8:$C$57, 0), (COLUMNS($DC34:DN34)-1)*5 + 4) = "F"), INDEX($CZ$8:$CZ$23, COLUMNS($DC34:DN34)), "0"), "")</f>
        <v>0</v>
      </c>
      <c r="DO34" s="390" t="str">
        <f t="array" ref="DO34">IFERROR(IF(AND(INDEX($E$8:$CE$57, MATCH($C34, $C$8:$C$57, 0), (COLUMNS($DC34:DO34)-1)*5 + 1) = INDEX($E$5:$CE$5, 1, (COLUMNS($DC34:DO34)-1)*5 + 1), INDEX($E$8:$CE$57, MATCH($C34, $C$8:$C$57, 0), (COLUMNS($DC34:DO34)-1)*5 + 4) = "F"), INDEX($CZ$8:$CZ$23, COLUMNS($DC34:DO34)), "0"), "")</f>
        <v>0</v>
      </c>
      <c r="DP34" s="390" t="str">
        <f t="array" ref="DP34">IFERROR(IF(AND(INDEX($E$8:$CE$57, MATCH($C34, $C$8:$C$57, 0), (COLUMNS($DC34:DP34)-1)*5 + 1) = INDEX($E$5:$CE$5, 1, (COLUMNS($DC34:DP34)-1)*5 + 1), INDEX($E$8:$CE$57, MATCH($C34, $C$8:$C$57, 0), (COLUMNS($DC34:DP34)-1)*5 + 4) = "F"), INDEX($CZ$8:$CZ$23, COLUMNS($DC34:DP34)), "0"), "")</f>
        <v>0</v>
      </c>
      <c r="DQ34" s="390" t="str">
        <f t="array" ref="DQ34">IFERROR(IF(AND(INDEX($E$8:$CE$57, MATCH($C34, $C$8:$C$57, 0), (COLUMNS($DC34:DQ34)-1)*5 + 1) = INDEX($E$5:$CE$5, 1, (COLUMNS($DC34:DQ34)-1)*5 + 1), INDEX($E$8:$CE$57, MATCH($C34, $C$8:$C$57, 0), (COLUMNS($DC34:DQ34)-1)*5 + 4) = "F"), INDEX($CZ$8:$CZ$23, COLUMNS($DC34:DQ34)), "0"), "")</f>
        <v>0</v>
      </c>
      <c r="DR34" s="390" t="str">
        <f t="array" ref="DR34">IFERROR(IF(AND(INDEX($E$8:$CE$57, MATCH($C34, $C$8:$C$57, 0), (COLUMNS($DC34:DR34)-1)*5 + 1) = INDEX($E$5:$CE$5, 1, (COLUMNS($DC34:DR34)-1)*5 + 1), INDEX($E$8:$CE$57, MATCH($C34, $C$8:$C$57, 0), (COLUMNS($DC34:DR34)-1)*5 + 4) = "F"), INDEX($CZ$8:$CZ$23, COLUMNS($DC34:DR34)), "0"), "")</f>
        <v>0</v>
      </c>
      <c r="DT34" s="537" t="str">
        <f>SEMANA2[[#This Row],[COD]]</f>
        <v>COD 27</v>
      </c>
      <c r="DU34" s="390" t="str">
        <f t="array" ref="DU34">IFERROR(IF(AND(INDEX($E$8:$CE$57, MATCH($C34, $C$8:$C$57, 0), (COLUMNS($DU34:DU34)-1)*5 + 1) = INDEX($E$5:$CE$5, 1, (COLUMNS($DU34:DU34)-1)*5 + 1), INDEX($E$8:$CE$57, MATCH($C34, $C$8:$C$57, 0), (COLUMNS($DU34:DU34)-1)*5 + 4) = "SF"), INDEX($CZ$8:$CZ$23, COLUMNS($DU34:DU34)), "0"), "")</f>
        <v>0</v>
      </c>
      <c r="DV34" s="390" t="str">
        <f t="array" ref="DV34">IFERROR(IF(AND(INDEX($E$8:$CE$57, MATCH($C34, $C$8:$C$57, 0), (COLUMNS($DU34:DV34)-1)*5 + 1) = INDEX($E$5:$CE$5, 1, (COLUMNS($DU34:DV34)-1)*5 + 1), INDEX($E$8:$CE$57, MATCH($C34, $C$8:$C$57, 0), (COLUMNS($DU34:DV34)-1)*5 + 4) = "SF"), INDEX($CZ$8:$CZ$23, COLUMNS($DU34:DV34)), "0"), "")</f>
        <v>0</v>
      </c>
      <c r="DW34" s="390" t="str">
        <f t="array" ref="DW34">IFERROR(IF(AND(INDEX($E$8:$CE$57, MATCH($C34, $C$8:$C$57, 0), (COLUMNS($DU34:DW34)-1)*5 + 1) = INDEX($E$5:$CE$5, 1, (COLUMNS($DU34:DW34)-1)*5 + 1), INDEX($E$8:$CE$57, MATCH($C34, $C$8:$C$57, 0), (COLUMNS($DU34:DW34)-1)*5 + 4) = "SF"), INDEX($CZ$8:$CZ$23, COLUMNS($DU34:DW34)), "0"), "")</f>
        <v>0</v>
      </c>
      <c r="DX34" s="390" t="str">
        <f t="array" ref="DX34">IFERROR(IF(AND(INDEX($E$8:$CE$57, MATCH($C34, $C$8:$C$57, 0), (COLUMNS($DU34:DX34)-1)*5 + 1) = INDEX($E$5:$CE$5, 1, (COLUMNS($DU34:DX34)-1)*5 + 1), INDEX($E$8:$CE$57, MATCH($C34, $C$8:$C$57, 0), (COLUMNS($DU34:DX34)-1)*5 + 4) = "SF"), INDEX($CZ$8:$CZ$23, COLUMNS($DU34:DX34)), "0"), "")</f>
        <v>0</v>
      </c>
      <c r="DY34" s="390" t="str">
        <f t="array" ref="DY34">IFERROR(IF(AND(INDEX($E$8:$CE$57, MATCH($C34, $C$8:$C$57, 0), (COLUMNS($DU34:DY34)-1)*5 + 1) = INDEX($E$5:$CE$5, 1, (COLUMNS($DU34:DY34)-1)*5 + 1), INDEX($E$8:$CE$57, MATCH($C34, $C$8:$C$57, 0), (COLUMNS($DU34:DY34)-1)*5 + 4) = "SF"), INDEX($CZ$8:$CZ$23, COLUMNS($DU34:DY34)), "0"), "")</f>
        <v>0</v>
      </c>
      <c r="DZ34" s="390" t="str">
        <f t="array" ref="DZ34">IFERROR(IF(AND(INDEX($E$8:$CE$57, MATCH($C34, $C$8:$C$57, 0), (COLUMNS($DU34:DZ34)-1)*5 + 1) = INDEX($E$5:$CE$5, 1, (COLUMNS($DU34:DZ34)-1)*5 + 1), INDEX($E$8:$CE$57, MATCH($C34, $C$8:$C$57, 0), (COLUMNS($DU34:DZ34)-1)*5 + 4) = "SF"), INDEX($CZ$8:$CZ$23, COLUMNS($DU34:DZ34)), "0"), "")</f>
        <v>0</v>
      </c>
      <c r="EA34" s="390" t="str">
        <f t="array" ref="EA34">IFERROR(IF(AND(INDEX($E$8:$CE$57, MATCH($C34, $C$8:$C$57, 0), (COLUMNS($DU34:EA34)-1)*5 + 1) = INDEX($E$5:$CE$5, 1, (COLUMNS($DU34:EA34)-1)*5 + 1), INDEX($E$8:$CE$57, MATCH($C34, $C$8:$C$57, 0), (COLUMNS($DU34:EA34)-1)*5 + 4) = "SF"), INDEX($CZ$8:$CZ$23, COLUMNS($DU34:EA34)), "0"), "")</f>
        <v>0</v>
      </c>
      <c r="EB34" s="390" t="str">
        <f t="array" ref="EB34">IFERROR(IF(AND(INDEX($E$8:$CE$57, MATCH($C34, $C$8:$C$57, 0), (COLUMNS($DU34:EB34)-1)*5 + 1) = INDEX($E$5:$CE$5, 1, (COLUMNS($DU34:EB34)-1)*5 + 1), INDEX($E$8:$CE$57, MATCH($C34, $C$8:$C$57, 0), (COLUMNS($DU34:EB34)-1)*5 + 4) = "SF"), INDEX($CZ$8:$CZ$23, COLUMNS($DU34:EB34)), "0"), "")</f>
        <v>0</v>
      </c>
      <c r="EC34" s="390" t="str">
        <f t="array" ref="EC34">IFERROR(IF(AND(INDEX($E$8:$CE$57, MATCH($C34, $C$8:$C$57, 0), (COLUMNS($DU34:EC34)-1)*5 + 1) = INDEX($E$5:$CE$5, 1, (COLUMNS($DU34:EC34)-1)*5 + 1), INDEX($E$8:$CE$57, MATCH($C34, $C$8:$C$57, 0), (COLUMNS($DU34:EC34)-1)*5 + 4) = "SF"), INDEX($CZ$8:$CZ$23, COLUMNS($DU34:EC34)), "0"), "")</f>
        <v>0</v>
      </c>
      <c r="ED34" s="390" t="str">
        <f t="array" ref="ED34">IFERROR(IF(AND(INDEX($E$8:$CE$57, MATCH($C34, $C$8:$C$57, 0), (COLUMNS($DU34:ED34)-1)*5 + 1) = INDEX($E$5:$CE$5, 1, (COLUMNS($DU34:ED34)-1)*5 + 1), INDEX($E$8:$CE$57, MATCH($C34, $C$8:$C$57, 0), (COLUMNS($DU34:ED34)-1)*5 + 4) = "SF"), INDEX($CZ$8:$CZ$23, COLUMNS($DU34:ED34)), "0"), "")</f>
        <v>0</v>
      </c>
      <c r="EE34" s="390" t="str">
        <f t="array" ref="EE34">IFERROR(IF(AND(INDEX($E$8:$CE$57, MATCH($C34, $C$8:$C$57, 0), (COLUMNS($DU34:EE34)-1)*5 + 1) = INDEX($E$5:$CE$5, 1, (COLUMNS($DU34:EE34)-1)*5 + 1), INDEX($E$8:$CE$57, MATCH($C34, $C$8:$C$57, 0), (COLUMNS($DU34:EE34)-1)*5 + 4) = "SF"), INDEX($CZ$8:$CZ$23, COLUMNS($DU34:EE34)), "0"), "")</f>
        <v>0</v>
      </c>
      <c r="EF34" s="390" t="str">
        <f t="array" ref="EF34">IFERROR(IF(AND(INDEX($E$8:$CE$57, MATCH($C34, $C$8:$C$57, 0), (COLUMNS($DU34:EF34)-1)*5 + 1) = INDEX($E$5:$CE$5, 1, (COLUMNS($DU34:EF34)-1)*5 + 1), INDEX($E$8:$CE$57, MATCH($C34, $C$8:$C$57, 0), (COLUMNS($DU34:EF34)-1)*5 + 4) = "SF"), INDEX($CZ$8:$CZ$23, COLUMNS($DU34:EF34)), "0"), "")</f>
        <v>0</v>
      </c>
      <c r="EG34" s="390" t="str">
        <f t="array" ref="EG34">IFERROR(IF(AND(INDEX($E$8:$CE$57, MATCH($C34, $C$8:$C$57, 0), (COLUMNS($DU34:EG34)-1)*5 + 1) = INDEX($E$5:$CE$5, 1, (COLUMNS($DU34:EG34)-1)*5 + 1), INDEX($E$8:$CE$57, MATCH($C34, $C$8:$C$57, 0), (COLUMNS($DU34:EG34)-1)*5 + 4) = "SF"), INDEX($CZ$8:$CZ$23, COLUMNS($DU34:EG34)), "0"), "")</f>
        <v>0</v>
      </c>
      <c r="EH34" s="390" t="str">
        <f t="array" ref="EH34">IFERROR(IF(AND(INDEX($E$8:$CE$57, MATCH($C34, $C$8:$C$57, 0), (COLUMNS($DU34:EH34)-1)*5 + 1) = INDEX($E$5:$CE$5, 1, (COLUMNS($DU34:EH34)-1)*5 + 1), INDEX($E$8:$CE$57, MATCH($C34, $C$8:$C$57, 0), (COLUMNS($DU34:EH34)-1)*5 + 4) = "SF"), INDEX($CZ$8:$CZ$23, COLUMNS($DU34:EH34)), "0"), "")</f>
        <v>0</v>
      </c>
      <c r="EI34" s="390" t="str">
        <f t="array" ref="EI34">IFERROR(IF(AND(INDEX($E$8:$CE$57, MATCH($C34, $C$8:$C$57, 0), (COLUMNS($DU34:EI34)-1)*5 + 1) = INDEX($E$5:$CE$5, 1, (COLUMNS($DU34:EI34)-1)*5 + 1), INDEX($E$8:$CE$57, MATCH($C34, $C$8:$C$57, 0), (COLUMNS($DU34:EI34)-1)*5 + 4) = "SF"), INDEX($CZ$8:$CZ$23, COLUMNS($DU34:EI34)), "0"), "")</f>
        <v>0</v>
      </c>
      <c r="EJ34" s="390" t="str">
        <f t="array" ref="EJ34">IFERROR(IF(AND(INDEX($E$8:$CE$57, MATCH($C34, $C$8:$C$57, 0), (COLUMNS($DU34:EJ34)-1)*5 + 1) = INDEX($E$5:$CE$5, 1, (COLUMNS($DU34:EJ34)-1)*5 + 1), INDEX($E$8:$CE$57, MATCH($C34, $C$8:$C$57, 0), (COLUMNS($DU34:EJ34)-1)*5 + 4) = "SF"), INDEX($CZ$8:$CZ$23, COLUMNS($DU34:EJ34)), "0"), "")</f>
        <v>0</v>
      </c>
    </row>
    <row r="35" spans="1:140" ht="19.5" customHeight="1" x14ac:dyDescent="0.35">
      <c r="A35" s="515"/>
      <c r="B35" s="444">
        <f>IF(SEMANA2[[#This Row],[COD]]&lt;&gt;"",B34+1,"")</f>
        <v>28</v>
      </c>
      <c r="C35" s="554" t="s">
        <v>86</v>
      </c>
      <c r="D35" s="410" t="str">
        <f t="array" ref="D35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35" s="411">
        <v>2</v>
      </c>
      <c r="F35" s="411">
        <v>6</v>
      </c>
      <c r="G35" s="411">
        <v>4</v>
      </c>
      <c r="H35" s="411"/>
      <c r="I35" s="534">
        <f t="shared" si="0"/>
        <v>2</v>
      </c>
      <c r="J35" s="411">
        <v>1</v>
      </c>
      <c r="K35" s="411"/>
      <c r="L35" s="411"/>
      <c r="M35" s="411" t="s">
        <v>255</v>
      </c>
      <c r="N35" s="534">
        <f t="shared" si="1"/>
        <v>0</v>
      </c>
      <c r="O35" s="411">
        <v>5</v>
      </c>
      <c r="P35" s="411">
        <v>3</v>
      </c>
      <c r="Q35" s="411">
        <v>1</v>
      </c>
      <c r="R35" s="411"/>
      <c r="S35" s="534">
        <f t="shared" si="2"/>
        <v>1</v>
      </c>
      <c r="T35" s="411">
        <v>5</v>
      </c>
      <c r="U35" s="411">
        <v>4</v>
      </c>
      <c r="V35" s="411">
        <v>3</v>
      </c>
      <c r="W35" s="411"/>
      <c r="X35" s="534">
        <f t="shared" si="3"/>
        <v>0</v>
      </c>
      <c r="Y35" s="411">
        <v>7</v>
      </c>
      <c r="Z35" s="411">
        <v>2</v>
      </c>
      <c r="AA35" s="411">
        <v>1</v>
      </c>
      <c r="AB35" s="411"/>
      <c r="AC35" s="534">
        <f t="shared" si="4"/>
        <v>2</v>
      </c>
      <c r="AD35" s="411">
        <v>5</v>
      </c>
      <c r="AE35" s="411">
        <v>4</v>
      </c>
      <c r="AF35" s="411">
        <v>7</v>
      </c>
      <c r="AG35" s="411"/>
      <c r="AH35" s="534">
        <f t="shared" si="5"/>
        <v>2</v>
      </c>
      <c r="AI35" s="411">
        <v>7</v>
      </c>
      <c r="AJ35" s="411">
        <v>6</v>
      </c>
      <c r="AK35" s="411">
        <v>9</v>
      </c>
      <c r="AL35" s="411"/>
      <c r="AM35" s="534">
        <f t="shared" si="6"/>
        <v>4</v>
      </c>
      <c r="AN35" s="411">
        <v>8</v>
      </c>
      <c r="AO35" s="411">
        <v>1</v>
      </c>
      <c r="AP35" s="411">
        <v>3</v>
      </c>
      <c r="AQ35" s="411" t="s">
        <v>254</v>
      </c>
      <c r="AR35" s="534">
        <f t="shared" si="7"/>
        <v>4.5</v>
      </c>
      <c r="AS35" s="411">
        <v>2</v>
      </c>
      <c r="AT35" s="411">
        <v>10</v>
      </c>
      <c r="AU35" s="411">
        <v>8</v>
      </c>
      <c r="AV35" s="411"/>
      <c r="AW35" s="534">
        <f t="shared" si="8"/>
        <v>4</v>
      </c>
      <c r="AX35" s="411">
        <v>4</v>
      </c>
      <c r="AY35" s="411">
        <v>1</v>
      </c>
      <c r="AZ35" s="411">
        <v>10</v>
      </c>
      <c r="BA35" s="411" t="s">
        <v>254</v>
      </c>
      <c r="BB35" s="534">
        <f t="shared" si="9"/>
        <v>0</v>
      </c>
      <c r="BC35" s="411">
        <v>7</v>
      </c>
      <c r="BD35" s="411">
        <v>2</v>
      </c>
      <c r="BE35" s="411">
        <v>5</v>
      </c>
      <c r="BF35" s="411"/>
      <c r="BG35" s="534">
        <f t="shared" si="10"/>
        <v>4</v>
      </c>
      <c r="BH35" s="411">
        <v>2</v>
      </c>
      <c r="BI35" s="411">
        <v>6</v>
      </c>
      <c r="BJ35" s="411">
        <v>1</v>
      </c>
      <c r="BK35" s="411"/>
      <c r="BL35" s="534">
        <f t="shared" si="11"/>
        <v>2</v>
      </c>
      <c r="BM35" s="411">
        <v>1</v>
      </c>
      <c r="BN35" s="411">
        <v>9</v>
      </c>
      <c r="BO35" s="411">
        <v>2</v>
      </c>
      <c r="BP35" s="411"/>
      <c r="BQ35" s="534">
        <f t="shared" si="12"/>
        <v>0</v>
      </c>
      <c r="BR35" s="411">
        <v>11</v>
      </c>
      <c r="BS35" s="411">
        <v>9</v>
      </c>
      <c r="BT35" s="411">
        <v>2</v>
      </c>
      <c r="BU35" s="411"/>
      <c r="BV35" s="534">
        <f t="shared" si="13"/>
        <v>0</v>
      </c>
      <c r="BW35" s="411"/>
      <c r="BX35" s="411"/>
      <c r="BY35" s="411"/>
      <c r="BZ35" s="411"/>
      <c r="CA35" s="534">
        <f t="shared" si="14"/>
        <v>0</v>
      </c>
      <c r="CB35" s="411"/>
      <c r="CC35" s="411"/>
      <c r="CD35" s="411"/>
      <c r="CE35" s="411"/>
      <c r="CF35" s="534">
        <f t="shared" si="15"/>
        <v>0</v>
      </c>
      <c r="CG35" s="162">
        <f>IF(SEMANA2[[#This Row],[1]]="",0,$B$4)</f>
        <v>14</v>
      </c>
      <c r="CH35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3</v>
      </c>
      <c r="CI35" s="164">
        <f>IF(SEMANA2[[#This Row],[Columna14]]=0,0,(CH35/CG35))</f>
        <v>0.21428571428571427</v>
      </c>
      <c r="CJ35" s="163">
        <f>IF(SEMANA2[[#This Row],[1]]="",0,$B$4)</f>
        <v>14</v>
      </c>
      <c r="CK35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35" s="164">
        <f>IF(SEMANA2[[#This Row],[Columna14]]=0,0,(CK35/CJ35))</f>
        <v>0.42857142857142855</v>
      </c>
      <c r="CM35" s="162">
        <f>IF(SEMANA2[[#This Row],[1]]="",0,$B$4)</f>
        <v>14</v>
      </c>
      <c r="CN35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9</v>
      </c>
      <c r="CO35" s="164">
        <f>IF(SEMANA2[[#This Row],[Columna14]]=0,0,(CN35/CM35))</f>
        <v>0.6428571428571429</v>
      </c>
      <c r="CP35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35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Row],[Columna25]],$AX$5,BA35,"SF")+COUNTIFS(SEMANA2[[#This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1</v>
      </c>
      <c r="CR35" s="164">
        <f>IFERROR(IF(SEMANA2[[#This Row],[Columna14]]=0,0,(CQ35/CP35)),0)</f>
        <v>0.33333333333333331</v>
      </c>
      <c r="CS35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25.5</v>
      </c>
      <c r="CT35" s="93">
        <f>_xlfn.XLOOKUP(SEMANA2[[#This Row],[COD]],BASE01[COD],BASE01[Columna33])</f>
        <v>39</v>
      </c>
      <c r="CU35" s="536">
        <f t="shared" si="16"/>
        <v>64.5</v>
      </c>
      <c r="CV35" s="445">
        <f>IF(SEMANA2[[#This Row],[TIPO]]="PREMIO",$O$3,"0,00")</f>
        <v>1000</v>
      </c>
      <c r="CW35" s="515"/>
      <c r="CY35" s="387">
        <f t="shared" si="17"/>
        <v>7</v>
      </c>
      <c r="CZ35" s="387" t="str">
        <v>COD 30</v>
      </c>
      <c r="DA35" s="387">
        <f t="array" ref="DA35">IF(CZ35="", "", IF((INDEX(E$8:CE$57, MATCH(CZ35, C$8:C$57, 0), ($CZ$25-1)*5 + 1) &amp; "") = (INDEX(E$5:CE$5, 1, ($CZ$25-1)*5 + 1) &amp; ""), 1, IF((INDEX(E$8:CE$57, MATCH(CZ35, C$8:C$57, 0), ($CZ$25-1)*5 + 2) &amp; "") = (INDEX(E$5:CE$5, 1, ($CZ$25-1)*5 + 1) &amp; ""), 2, IF((INDEX(E$8:CE$57, MATCH(CZ35, C$8:C$57, 0), ($CZ$25-1)*5 + 3) &amp; "") = (INDEX(E$5:CE$5, 1, ($CZ$25-1)*5 + 1) &amp; ""), 3, ""))))</f>
        <v>2</v>
      </c>
      <c r="DB35" s="537" t="str">
        <f>SEMANA2[[#This Row],[COD]]</f>
        <v>COD 28</v>
      </c>
      <c r="DC35" s="390" t="str">
        <f t="array" ref="DC35">IFERROR(IF(AND(INDEX($E$8:$CE$57, MATCH($C35, $C$8:$C$57, 0), (COLUMNS($DC35:DC35)-1)*5 + 1) = INDEX($E$5:$CE$5, 1, (COLUMNS($DC35:DC35)-1)*5 + 1), INDEX($E$8:$CE$57, MATCH($C35, $C$8:$C$57, 0), (COLUMNS($DC35:DC35)-1)*5 + 4) = "F"), INDEX($CZ$8:$CZ$23, COLUMNS($DC35:DC35)), "0"), "")</f>
        <v>0</v>
      </c>
      <c r="DD35" s="390" t="str">
        <f t="array" ref="DD35">IFERROR(IF(AND(INDEX($E$8:$CE$57, MATCH($C35, $C$8:$C$57, 0), (COLUMNS($DC35:DD35)-1)*5 + 1) = INDEX($E$5:$CE$5, 1, (COLUMNS($DC35:DD35)-1)*5 + 1), INDEX($E$8:$CE$57, MATCH($C35, $C$8:$C$57, 0), (COLUMNS($DC35:DD35)-1)*5 + 4) = "F"), INDEX($CZ$8:$CZ$23, COLUMNS($DC35:DD35)), "0"), "")</f>
        <v>0</v>
      </c>
      <c r="DE35" s="390" t="str">
        <f t="array" ref="DE35">IFERROR(IF(AND(INDEX($E$8:$CE$57, MATCH($C35, $C$8:$C$57, 0), (COLUMNS($DC35:DE35)-1)*5 + 1) = INDEX($E$5:$CE$5, 1, (COLUMNS($DC35:DE35)-1)*5 + 1), INDEX($E$8:$CE$57, MATCH($C35, $C$8:$C$57, 0), (COLUMNS($DC35:DE35)-1)*5 + 4) = "F"), INDEX($CZ$8:$CZ$23, COLUMNS($DC35:DE35)), "0"), "")</f>
        <v>0</v>
      </c>
      <c r="DF35" s="390" t="str">
        <f t="array" ref="DF35">IFERROR(IF(AND(INDEX($E$8:$CE$57, MATCH($C35, $C$8:$C$57, 0), (COLUMNS($DC35:DF35)-1)*5 + 1) = INDEX($E$5:$CE$5, 1, (COLUMNS($DC35:DF35)-1)*5 + 1), INDEX($E$8:$CE$57, MATCH($C35, $C$8:$C$57, 0), (COLUMNS($DC35:DF35)-1)*5 + 4) = "F"), INDEX($CZ$8:$CZ$23, COLUMNS($DC35:DF35)), "0"), "")</f>
        <v>0</v>
      </c>
      <c r="DG35" s="390" t="str">
        <f t="array" ref="DG35">IFERROR(IF(AND(INDEX($E$8:$CE$57, MATCH($C35, $C$8:$C$57, 0), (COLUMNS($DC35:DG35)-1)*5 + 1) = INDEX($E$5:$CE$5, 1, (COLUMNS($DC35:DG35)-1)*5 + 1), INDEX($E$8:$CE$57, MATCH($C35, $C$8:$C$57, 0), (COLUMNS($DC35:DG35)-1)*5 + 4) = "F"), INDEX($CZ$8:$CZ$23, COLUMNS($DC35:DG35)), "0"), "")</f>
        <v>0</v>
      </c>
      <c r="DH35" s="390" t="str">
        <f t="array" ref="DH35">IFERROR(IF(AND(INDEX($E$8:$CE$57, MATCH($C35, $C$8:$C$57, 0), (COLUMNS($DC35:DH35)-1)*5 + 1) = INDEX($E$5:$CE$5, 1, (COLUMNS($DC35:DH35)-1)*5 + 1), INDEX($E$8:$CE$57, MATCH($C35, $C$8:$C$57, 0), (COLUMNS($DC35:DH35)-1)*5 + 4) = "F"), INDEX($CZ$8:$CZ$23, COLUMNS($DC35:DH35)), "0"), "")</f>
        <v>0</v>
      </c>
      <c r="DI35" s="390" t="str">
        <f t="array" ref="DI35">IFERROR(IF(AND(INDEX($E$8:$CE$57, MATCH($C35, $C$8:$C$57, 0), (COLUMNS($DC35:DI35)-1)*5 + 1) = INDEX($E$5:$CE$5, 1, (COLUMNS($DC35:DI35)-1)*5 + 1), INDEX($E$8:$CE$57, MATCH($C35, $C$8:$C$57, 0), (COLUMNS($DC35:DI35)-1)*5 + 4) = "F"), INDEX($CZ$8:$CZ$23, COLUMNS($DC35:DI35)), "0"), "")</f>
        <v>0</v>
      </c>
      <c r="DJ35" s="390">
        <f t="array" ref="DJ35">IFERROR(IF(AND(INDEX($E$8:$CE$57, MATCH($C35, $C$8:$C$57, 0), (COLUMNS($DC35:DJ35)-1)*5 + 1) = INDEX($E$5:$CE$5, 1, (COLUMNS($DC35:DJ35)-1)*5 + 1), INDEX($E$8:$CE$57, MATCH($C35, $C$8:$C$57, 0), (COLUMNS($DC35:DJ35)-1)*5 + 4) = "F"), INDEX($CZ$8:$CZ$23, COLUMNS($DC35:DJ35)), "0"), "")</f>
        <v>128.36000000000001</v>
      </c>
      <c r="DK35" s="390" t="str">
        <f t="array" ref="DK35">IFERROR(IF(AND(INDEX($E$8:$CE$57, MATCH($C35, $C$8:$C$57, 0), (COLUMNS($DC35:DK35)-1)*5 + 1) = INDEX($E$5:$CE$5, 1, (COLUMNS($DC35:DK35)-1)*5 + 1), INDEX($E$8:$CE$57, MATCH($C35, $C$8:$C$57, 0), (COLUMNS($DC35:DK35)-1)*5 + 4) = "F"), INDEX($CZ$8:$CZ$23, COLUMNS($DC35:DK35)), "0"), "")</f>
        <v>0</v>
      </c>
      <c r="DL35" s="390" t="str">
        <f t="array" ref="DL35">IFERROR(IF(AND(INDEX($E$8:$CE$57, MATCH($C35, $C$8:$C$57, 0), (COLUMNS($DC35:DL35)-1)*5 + 1) = INDEX($E$5:$CE$5, 1, (COLUMNS($DC35:DL35)-1)*5 + 1), INDEX($E$8:$CE$57, MATCH($C35, $C$8:$C$57, 0), (COLUMNS($DC35:DL35)-1)*5 + 4) = "F"), INDEX($CZ$8:$CZ$23, COLUMNS($DC35:DL35)), "0"), "")</f>
        <v>0</v>
      </c>
      <c r="DM35" s="390" t="str">
        <f t="array" ref="DM35">IFERROR(IF(AND(INDEX($E$8:$CE$57, MATCH($C35, $C$8:$C$57, 0), (COLUMNS($DC35:DM35)-1)*5 + 1) = INDEX($E$5:$CE$5, 1, (COLUMNS($DC35:DM35)-1)*5 + 1), INDEX($E$8:$CE$57, MATCH($C35, $C$8:$C$57, 0), (COLUMNS($DC35:DM35)-1)*5 + 4) = "F"), INDEX($CZ$8:$CZ$23, COLUMNS($DC35:DM35)), "0"), "")</f>
        <v>0</v>
      </c>
      <c r="DN35" s="390" t="str">
        <f t="array" ref="DN35">IFERROR(IF(AND(INDEX($E$8:$CE$57, MATCH($C35, $C$8:$C$57, 0), (COLUMNS($DC35:DN35)-1)*5 + 1) = INDEX($E$5:$CE$5, 1, (COLUMNS($DC35:DN35)-1)*5 + 1), INDEX($E$8:$CE$57, MATCH($C35, $C$8:$C$57, 0), (COLUMNS($DC35:DN35)-1)*5 + 4) = "F"), INDEX($CZ$8:$CZ$23, COLUMNS($DC35:DN35)), "0"), "")</f>
        <v>0</v>
      </c>
      <c r="DO35" s="390" t="str">
        <f t="array" ref="DO35">IFERROR(IF(AND(INDEX($E$8:$CE$57, MATCH($C35, $C$8:$C$57, 0), (COLUMNS($DC35:DO35)-1)*5 + 1) = INDEX($E$5:$CE$5, 1, (COLUMNS($DC35:DO35)-1)*5 + 1), INDEX($E$8:$CE$57, MATCH($C35, $C$8:$C$57, 0), (COLUMNS($DC35:DO35)-1)*5 + 4) = "F"), INDEX($CZ$8:$CZ$23, COLUMNS($DC35:DO35)), "0"), "")</f>
        <v>0</v>
      </c>
      <c r="DP35" s="390" t="str">
        <f t="array" ref="DP35">IFERROR(IF(AND(INDEX($E$8:$CE$57, MATCH($C35, $C$8:$C$57, 0), (COLUMNS($DC35:DP35)-1)*5 + 1) = INDEX($E$5:$CE$5, 1, (COLUMNS($DC35:DP35)-1)*5 + 1), INDEX($E$8:$CE$57, MATCH($C35, $C$8:$C$57, 0), (COLUMNS($DC35:DP35)-1)*5 + 4) = "F"), INDEX($CZ$8:$CZ$23, COLUMNS($DC35:DP35)), "0"), "")</f>
        <v>0</v>
      </c>
      <c r="DQ35" s="390" t="str">
        <f t="array" ref="DQ35">IFERROR(IF(AND(INDEX($E$8:$CE$57, MATCH($C35, $C$8:$C$57, 0), (COLUMNS($DC35:DQ35)-1)*5 + 1) = INDEX($E$5:$CE$5, 1, (COLUMNS($DC35:DQ35)-1)*5 + 1), INDEX($E$8:$CE$57, MATCH($C35, $C$8:$C$57, 0), (COLUMNS($DC35:DQ35)-1)*5 + 4) = "F"), INDEX($CZ$8:$CZ$23, COLUMNS($DC35:DQ35)), "0"), "")</f>
        <v>0</v>
      </c>
      <c r="DR35" s="390" t="str">
        <f t="array" ref="DR35">IFERROR(IF(AND(INDEX($E$8:$CE$57, MATCH($C35, $C$8:$C$57, 0), (COLUMNS($DC35:DR35)-1)*5 + 1) = INDEX($E$5:$CE$5, 1, (COLUMNS($DC35:DR35)-1)*5 + 1), INDEX($E$8:$CE$57, MATCH($C35, $C$8:$C$57, 0), (COLUMNS($DC35:DR35)-1)*5 + 4) = "F"), INDEX($CZ$8:$CZ$23, COLUMNS($DC35:DR35)), "0"), "")</f>
        <v>0</v>
      </c>
      <c r="DT35" s="537" t="str">
        <f>SEMANA2[[#This Row],[COD]]</f>
        <v>COD 28</v>
      </c>
      <c r="DU35" s="390" t="str">
        <f t="array" ref="DU35">IFERROR(IF(AND(INDEX($E$8:$CE$57, MATCH($C35, $C$8:$C$57, 0), (COLUMNS($DU35:DU35)-1)*5 + 1) = INDEX($E$5:$CE$5, 1, (COLUMNS($DU35:DU35)-1)*5 + 1), INDEX($E$8:$CE$57, MATCH($C35, $C$8:$C$57, 0), (COLUMNS($DU35:DU35)-1)*5 + 4) = "SF"), INDEX($CZ$8:$CZ$23, COLUMNS($DU35:DU35)), "0"), "")</f>
        <v>0</v>
      </c>
      <c r="DV35" s="390" t="str">
        <f t="array" ref="DV35">IFERROR(IF(AND(INDEX($E$8:$CE$57, MATCH($C35, $C$8:$C$57, 0), (COLUMNS($DU35:DV35)-1)*5 + 1) = INDEX($E$5:$CE$5, 1, (COLUMNS($DU35:DV35)-1)*5 + 1), INDEX($E$8:$CE$57, MATCH($C35, $C$8:$C$57, 0), (COLUMNS($DU35:DV35)-1)*5 + 4) = "SF"), INDEX($CZ$8:$CZ$23, COLUMNS($DU35:DV35)), "0"), "")</f>
        <v>0</v>
      </c>
      <c r="DW35" s="390" t="str">
        <f t="array" ref="DW35">IFERROR(IF(AND(INDEX($E$8:$CE$57, MATCH($C35, $C$8:$C$57, 0), (COLUMNS($DU35:DW35)-1)*5 + 1) = INDEX($E$5:$CE$5, 1, (COLUMNS($DU35:DW35)-1)*5 + 1), INDEX($E$8:$CE$57, MATCH($C35, $C$8:$C$57, 0), (COLUMNS($DU35:DW35)-1)*5 + 4) = "SF"), INDEX($CZ$8:$CZ$23, COLUMNS($DU35:DW35)), "0"), "")</f>
        <v>0</v>
      </c>
      <c r="DX35" s="390" t="str">
        <f t="array" ref="DX35">IFERROR(IF(AND(INDEX($E$8:$CE$57, MATCH($C35, $C$8:$C$57, 0), (COLUMNS($DU35:DX35)-1)*5 + 1) = INDEX($E$5:$CE$5, 1, (COLUMNS($DU35:DX35)-1)*5 + 1), INDEX($E$8:$CE$57, MATCH($C35, $C$8:$C$57, 0), (COLUMNS($DU35:DX35)-1)*5 + 4) = "SF"), INDEX($CZ$8:$CZ$23, COLUMNS($DU35:DX35)), "0"), "")</f>
        <v>0</v>
      </c>
      <c r="DY35" s="390" t="str">
        <f t="array" ref="DY35">IFERROR(IF(AND(INDEX($E$8:$CE$57, MATCH($C35, $C$8:$C$57, 0), (COLUMNS($DU35:DY35)-1)*5 + 1) = INDEX($E$5:$CE$5, 1, (COLUMNS($DU35:DY35)-1)*5 + 1), INDEX($E$8:$CE$57, MATCH($C35, $C$8:$C$57, 0), (COLUMNS($DU35:DY35)-1)*5 + 4) = "SF"), INDEX($CZ$8:$CZ$23, COLUMNS($DU35:DY35)), "0"), "")</f>
        <v>0</v>
      </c>
      <c r="DZ35" s="390" t="str">
        <f t="array" ref="DZ35">IFERROR(IF(AND(INDEX($E$8:$CE$57, MATCH($C35, $C$8:$C$57, 0), (COLUMNS($DU35:DZ35)-1)*5 + 1) = INDEX($E$5:$CE$5, 1, (COLUMNS($DU35:DZ35)-1)*5 + 1), INDEX($E$8:$CE$57, MATCH($C35, $C$8:$C$57, 0), (COLUMNS($DU35:DZ35)-1)*5 + 4) = "SF"), INDEX($CZ$8:$CZ$23, COLUMNS($DU35:DZ35)), "0"), "")</f>
        <v>0</v>
      </c>
      <c r="EA35" s="390" t="str">
        <f t="array" ref="EA35">IFERROR(IF(AND(INDEX($E$8:$CE$57, MATCH($C35, $C$8:$C$57, 0), (COLUMNS($DU35:EA35)-1)*5 + 1) = INDEX($E$5:$CE$5, 1, (COLUMNS($DU35:EA35)-1)*5 + 1), INDEX($E$8:$CE$57, MATCH($C35, $C$8:$C$57, 0), (COLUMNS($DU35:EA35)-1)*5 + 4) = "SF"), INDEX($CZ$8:$CZ$23, COLUMNS($DU35:EA35)), "0"), "")</f>
        <v>0</v>
      </c>
      <c r="EB35" s="390" t="str">
        <f t="array" ref="EB35">IFERROR(IF(AND(INDEX($E$8:$CE$57, MATCH($C35, $C$8:$C$57, 0), (COLUMNS($DU35:EB35)-1)*5 + 1) = INDEX($E$5:$CE$5, 1, (COLUMNS($DU35:EB35)-1)*5 + 1), INDEX($E$8:$CE$57, MATCH($C35, $C$8:$C$57, 0), (COLUMNS($DU35:EB35)-1)*5 + 4) = "SF"), INDEX($CZ$8:$CZ$23, COLUMNS($DU35:EB35)), "0"), "")</f>
        <v>0</v>
      </c>
      <c r="EC35" s="390" t="str">
        <f t="array" ref="EC35">IFERROR(IF(AND(INDEX($E$8:$CE$57, MATCH($C35, $C$8:$C$57, 0), (COLUMNS($DU35:EC35)-1)*5 + 1) = INDEX($E$5:$CE$5, 1, (COLUMNS($DU35:EC35)-1)*5 + 1), INDEX($E$8:$CE$57, MATCH($C35, $C$8:$C$57, 0), (COLUMNS($DU35:EC35)-1)*5 + 4) = "SF"), INDEX($CZ$8:$CZ$23, COLUMNS($DU35:EC35)), "0"), "")</f>
        <v>0</v>
      </c>
      <c r="ED35" s="390" t="str">
        <f t="array" ref="ED35">IFERROR(IF(AND(INDEX($E$8:$CE$57, MATCH($C35, $C$8:$C$57, 0), (COLUMNS($DU35:ED35)-1)*5 + 1) = INDEX($E$5:$CE$5, 1, (COLUMNS($DU35:ED35)-1)*5 + 1), INDEX($E$8:$CE$57, MATCH($C35, $C$8:$C$57, 0), (COLUMNS($DU35:ED35)-1)*5 + 4) = "SF"), INDEX($CZ$8:$CZ$23, COLUMNS($DU35:ED35)), "0"), "")</f>
        <v>0</v>
      </c>
      <c r="EE35" s="390" t="str">
        <f t="array" ref="EE35">IFERROR(IF(AND(INDEX($E$8:$CE$57, MATCH($C35, $C$8:$C$57, 0), (COLUMNS($DU35:EE35)-1)*5 + 1) = INDEX($E$5:$CE$5, 1, (COLUMNS($DU35:EE35)-1)*5 + 1), INDEX($E$8:$CE$57, MATCH($C35, $C$8:$C$57, 0), (COLUMNS($DU35:EE35)-1)*5 + 4) = "SF"), INDEX($CZ$8:$CZ$23, COLUMNS($DU35:EE35)), "0"), "")</f>
        <v>0</v>
      </c>
      <c r="EF35" s="390" t="str">
        <f t="array" ref="EF35">IFERROR(IF(AND(INDEX($E$8:$CE$57, MATCH($C35, $C$8:$C$57, 0), (COLUMNS($DU35:EF35)-1)*5 + 1) = INDEX($E$5:$CE$5, 1, (COLUMNS($DU35:EF35)-1)*5 + 1), INDEX($E$8:$CE$57, MATCH($C35, $C$8:$C$57, 0), (COLUMNS($DU35:EF35)-1)*5 + 4) = "SF"), INDEX($CZ$8:$CZ$23, COLUMNS($DU35:EF35)), "0"), "")</f>
        <v>0</v>
      </c>
      <c r="EG35" s="390" t="str">
        <f t="array" ref="EG35">IFERROR(IF(AND(INDEX($E$8:$CE$57, MATCH($C35, $C$8:$C$57, 0), (COLUMNS($DU35:EG35)-1)*5 + 1) = INDEX($E$5:$CE$5, 1, (COLUMNS($DU35:EG35)-1)*5 + 1), INDEX($E$8:$CE$57, MATCH($C35, $C$8:$C$57, 0), (COLUMNS($DU35:EG35)-1)*5 + 4) = "SF"), INDEX($CZ$8:$CZ$23, COLUMNS($DU35:EG35)), "0"), "")</f>
        <v>0</v>
      </c>
      <c r="EH35" s="390" t="str">
        <f t="array" ref="EH35">IFERROR(IF(AND(INDEX($E$8:$CE$57, MATCH($C35, $C$8:$C$57, 0), (COLUMNS($DU35:EH35)-1)*5 + 1) = INDEX($E$5:$CE$5, 1, (COLUMNS($DU35:EH35)-1)*5 + 1), INDEX($E$8:$CE$57, MATCH($C35, $C$8:$C$57, 0), (COLUMNS($DU35:EH35)-1)*5 + 4) = "SF"), INDEX($CZ$8:$CZ$23, COLUMNS($DU35:EH35)), "0"), "")</f>
        <v>0</v>
      </c>
      <c r="EI35" s="390" t="str">
        <f t="array" ref="EI35">IFERROR(IF(AND(INDEX($E$8:$CE$57, MATCH($C35, $C$8:$C$57, 0), (COLUMNS($DU35:EI35)-1)*5 + 1) = INDEX($E$5:$CE$5, 1, (COLUMNS($DU35:EI35)-1)*5 + 1), INDEX($E$8:$CE$57, MATCH($C35, $C$8:$C$57, 0), (COLUMNS($DU35:EI35)-1)*5 + 4) = "SF"), INDEX($CZ$8:$CZ$23, COLUMNS($DU35:EI35)), "0"), "")</f>
        <v>0</v>
      </c>
      <c r="EJ35" s="390" t="str">
        <f t="array" ref="EJ35">IFERROR(IF(AND(INDEX($E$8:$CE$57, MATCH($C35, $C$8:$C$57, 0), (COLUMNS($DU35:EJ35)-1)*5 + 1) = INDEX($E$5:$CE$5, 1, (COLUMNS($DU35:EJ35)-1)*5 + 1), INDEX($E$8:$CE$57, MATCH($C35, $C$8:$C$57, 0), (COLUMNS($DU35:EJ35)-1)*5 + 4) = "SF"), INDEX($CZ$8:$CZ$23, COLUMNS($DU35:EJ35)), "0"), "")</f>
        <v>0</v>
      </c>
    </row>
    <row r="36" spans="1:140" ht="19.5" customHeight="1" x14ac:dyDescent="0.35">
      <c r="A36" s="515"/>
      <c r="B36" s="444">
        <f>IF(SEMANA2[[#This Row],[COD]]&lt;&gt;"",B35+1,"")</f>
        <v>29</v>
      </c>
      <c r="C36" s="554" t="s">
        <v>88</v>
      </c>
      <c r="D36" s="410" t="str">
        <f t="array" ref="D36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NO ENVIÓ</v>
      </c>
      <c r="E36" s="411">
        <v>9</v>
      </c>
      <c r="F36" s="413">
        <v>2</v>
      </c>
      <c r="G36" s="413">
        <v>6</v>
      </c>
      <c r="H36" s="413"/>
      <c r="I36" s="534">
        <f t="shared" si="0"/>
        <v>1</v>
      </c>
      <c r="J36" s="411">
        <v>7</v>
      </c>
      <c r="K36" s="413">
        <v>1</v>
      </c>
      <c r="L36" s="413">
        <v>6</v>
      </c>
      <c r="M36" s="413"/>
      <c r="N36" s="534">
        <f t="shared" si="1"/>
        <v>4</v>
      </c>
      <c r="O36" s="411">
        <v>5</v>
      </c>
      <c r="P36" s="413">
        <v>1</v>
      </c>
      <c r="Q36" s="413">
        <v>7</v>
      </c>
      <c r="R36" s="413"/>
      <c r="S36" s="534">
        <f t="shared" si="2"/>
        <v>2</v>
      </c>
      <c r="T36" s="411">
        <v>3</v>
      </c>
      <c r="U36" s="413">
        <v>5</v>
      </c>
      <c r="V36" s="413">
        <v>4</v>
      </c>
      <c r="W36" s="413"/>
      <c r="X36" s="534">
        <f t="shared" si="3"/>
        <v>0</v>
      </c>
      <c r="Y36" s="411">
        <v>1</v>
      </c>
      <c r="Z36" s="413">
        <v>2</v>
      </c>
      <c r="AA36" s="413">
        <v>5</v>
      </c>
      <c r="AB36" s="413"/>
      <c r="AC36" s="534">
        <f t="shared" si="4"/>
        <v>2</v>
      </c>
      <c r="AD36" s="411">
        <v>5</v>
      </c>
      <c r="AE36" s="413">
        <v>7</v>
      </c>
      <c r="AF36" s="413">
        <v>10</v>
      </c>
      <c r="AG36" s="413"/>
      <c r="AH36" s="534">
        <f t="shared" si="5"/>
        <v>3</v>
      </c>
      <c r="AI36" s="411">
        <v>7</v>
      </c>
      <c r="AJ36" s="413"/>
      <c r="AK36" s="413"/>
      <c r="AL36" s="413" t="s">
        <v>255</v>
      </c>
      <c r="AM36" s="534">
        <f t="shared" si="6"/>
        <v>0</v>
      </c>
      <c r="AN36" s="411">
        <v>8</v>
      </c>
      <c r="AO36" s="413">
        <v>1</v>
      </c>
      <c r="AP36" s="413">
        <v>6</v>
      </c>
      <c r="AQ36" s="413" t="s">
        <v>254</v>
      </c>
      <c r="AR36" s="534">
        <f t="shared" si="7"/>
        <v>4.5</v>
      </c>
      <c r="AS36" s="411">
        <v>10</v>
      </c>
      <c r="AT36" s="413">
        <v>9</v>
      </c>
      <c r="AU36" s="413">
        <v>6</v>
      </c>
      <c r="AV36" s="413"/>
      <c r="AW36" s="534">
        <f t="shared" si="8"/>
        <v>0</v>
      </c>
      <c r="AX36" s="411">
        <v>10</v>
      </c>
      <c r="AY36" s="413">
        <v>6</v>
      </c>
      <c r="AZ36" s="413">
        <v>1</v>
      </c>
      <c r="BA36" s="413"/>
      <c r="BB36" s="534">
        <f t="shared" si="9"/>
        <v>0</v>
      </c>
      <c r="BC36" s="411">
        <v>7</v>
      </c>
      <c r="BD36" s="413">
        <v>5</v>
      </c>
      <c r="BE36" s="413">
        <v>4</v>
      </c>
      <c r="BF36" s="413" t="s">
        <v>254</v>
      </c>
      <c r="BG36" s="534">
        <f t="shared" si="10"/>
        <v>5</v>
      </c>
      <c r="BH36" s="411">
        <v>2</v>
      </c>
      <c r="BI36" s="413">
        <v>6</v>
      </c>
      <c r="BJ36" s="413">
        <v>1</v>
      </c>
      <c r="BK36" s="413"/>
      <c r="BL36" s="534">
        <f t="shared" si="11"/>
        <v>2</v>
      </c>
      <c r="BM36" s="411">
        <v>9</v>
      </c>
      <c r="BN36" s="413">
        <v>4</v>
      </c>
      <c r="BO36" s="413">
        <v>1</v>
      </c>
      <c r="BP36" s="413"/>
      <c r="BQ36" s="534">
        <f t="shared" si="12"/>
        <v>0</v>
      </c>
      <c r="BR36" s="411">
        <v>11</v>
      </c>
      <c r="BS36" s="413">
        <v>1</v>
      </c>
      <c r="BT36" s="413">
        <v>2</v>
      </c>
      <c r="BU36" s="413"/>
      <c r="BV36" s="534">
        <f t="shared" si="13"/>
        <v>2</v>
      </c>
      <c r="BW36" s="411"/>
      <c r="BX36" s="413"/>
      <c r="BY36" s="413"/>
      <c r="BZ36" s="413"/>
      <c r="CA36" s="534">
        <f t="shared" si="14"/>
        <v>0</v>
      </c>
      <c r="CB36" s="411"/>
      <c r="CC36" s="413"/>
      <c r="CD36" s="413"/>
      <c r="CE36" s="413"/>
      <c r="CF36" s="534">
        <f t="shared" si="15"/>
        <v>0</v>
      </c>
      <c r="CG36" s="162">
        <f>IF(SEMANA2[[#This Row],[1]]="",0,$B$4)</f>
        <v>14</v>
      </c>
      <c r="CH36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3</v>
      </c>
      <c r="CI36" s="164">
        <f>IF(SEMANA2[[#This Row],[Columna14]]=0,0,(CH36/CG36))</f>
        <v>0.21428571428571427</v>
      </c>
      <c r="CJ36" s="163">
        <f>IF(SEMANA2[[#This Row],[1]]="",0,$B$4)</f>
        <v>14</v>
      </c>
      <c r="CK36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8</v>
      </c>
      <c r="CL36" s="164">
        <f>IF(SEMANA2[[#This Row],[Columna14]]=0,0,(CK36/CJ36))</f>
        <v>0.5714285714285714</v>
      </c>
      <c r="CM36" s="162">
        <f>IF(SEMANA2[[#This Row],[1]]="",0,$B$4)</f>
        <v>14</v>
      </c>
      <c r="CN36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9</v>
      </c>
      <c r="CO36" s="164">
        <f>IF(SEMANA2[[#This Row],[Columna14]]=0,0,(CN36/CM36))</f>
        <v>0.6428571428571429</v>
      </c>
      <c r="CP36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36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Row],[Columna25]],$AX$5,BA36,"SF")+COUNTIFS(SEMANA2[[#This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36" s="164">
        <f>IFERROR(IF(SEMANA2[[#This Row],[Columna14]]=0,0,(CQ36/CP36)),0)</f>
        <v>0.66666666666666663</v>
      </c>
      <c r="CS36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25.5</v>
      </c>
      <c r="CT36" s="93">
        <f>_xlfn.XLOOKUP(SEMANA2[[#This Row],[COD]],BASE01[COD],BASE01[Columna33])</f>
        <v>39</v>
      </c>
      <c r="CU36" s="536">
        <f t="shared" si="16"/>
        <v>64.5</v>
      </c>
      <c r="CV36" s="445" t="str">
        <f>IF(SEMANA2[[#This Row],[TIPO]]="PREMIO",$O$3,"0,00")</f>
        <v>0,00</v>
      </c>
      <c r="CW36" s="515"/>
      <c r="CY36" s="387">
        <f t="shared" si="17"/>
        <v>7</v>
      </c>
      <c r="CZ36" s="387" t="str">
        <v>COD 33</v>
      </c>
      <c r="DA36" s="387">
        <f t="array" ref="DA36">IF(CZ36="", "", IF((INDEX(E$8:CE$57, MATCH(CZ36, C$8:C$57, 0), ($CZ$25-1)*5 + 1) &amp; "") = (INDEX(E$5:CE$5, 1, ($CZ$25-1)*5 + 1) &amp; ""), 1, IF((INDEX(E$8:CE$57, MATCH(CZ36, C$8:C$57, 0), ($CZ$25-1)*5 + 2) &amp; "") = (INDEX(E$5:CE$5, 1, ($CZ$25-1)*5 + 1) &amp; ""), 2, IF((INDEX(E$8:CE$57, MATCH(CZ36, C$8:C$57, 0), ($CZ$25-1)*5 + 3) &amp; "") = (INDEX(E$5:CE$5, 1, ($CZ$25-1)*5 + 1) &amp; ""), 3, ""))))</f>
        <v>3</v>
      </c>
      <c r="DB36" s="537" t="str">
        <f>SEMANA2[[#This Row],[COD]]</f>
        <v>COD 29</v>
      </c>
      <c r="DC36" s="390" t="str">
        <f t="array" ref="DC36">IFERROR(IF(AND(INDEX($E$8:$CE$57, MATCH($C36, $C$8:$C$57, 0), (COLUMNS($DC36:DC36)-1)*5 + 1) = INDEX($E$5:$CE$5, 1, (COLUMNS($DC36:DC36)-1)*5 + 1), INDEX($E$8:$CE$57, MATCH($C36, $C$8:$C$57, 0), (COLUMNS($DC36:DC36)-1)*5 + 4) = "F"), INDEX($CZ$8:$CZ$23, COLUMNS($DC36:DC36)), "0"), "")</f>
        <v>0</v>
      </c>
      <c r="DD36" s="390" t="str">
        <f t="array" ref="DD36">IFERROR(IF(AND(INDEX($E$8:$CE$57, MATCH($C36, $C$8:$C$57, 0), (COLUMNS($DC36:DD36)-1)*5 + 1) = INDEX($E$5:$CE$5, 1, (COLUMNS($DC36:DD36)-1)*5 + 1), INDEX($E$8:$CE$57, MATCH($C36, $C$8:$C$57, 0), (COLUMNS($DC36:DD36)-1)*5 + 4) = "F"), INDEX($CZ$8:$CZ$23, COLUMNS($DC36:DD36)), "0"), "")</f>
        <v>0</v>
      </c>
      <c r="DE36" s="390" t="str">
        <f t="array" ref="DE36">IFERROR(IF(AND(INDEX($E$8:$CE$57, MATCH($C36, $C$8:$C$57, 0), (COLUMNS($DC36:DE36)-1)*5 + 1) = INDEX($E$5:$CE$5, 1, (COLUMNS($DC36:DE36)-1)*5 + 1), INDEX($E$8:$CE$57, MATCH($C36, $C$8:$C$57, 0), (COLUMNS($DC36:DE36)-1)*5 + 4) = "F"), INDEX($CZ$8:$CZ$23, COLUMNS($DC36:DE36)), "0"), "")</f>
        <v>0</v>
      </c>
      <c r="DF36" s="390" t="str">
        <f t="array" ref="DF36">IFERROR(IF(AND(INDEX($E$8:$CE$57, MATCH($C36, $C$8:$C$57, 0), (COLUMNS($DC36:DF36)-1)*5 + 1) = INDEX($E$5:$CE$5, 1, (COLUMNS($DC36:DF36)-1)*5 + 1), INDEX($E$8:$CE$57, MATCH($C36, $C$8:$C$57, 0), (COLUMNS($DC36:DF36)-1)*5 + 4) = "F"), INDEX($CZ$8:$CZ$23, COLUMNS($DC36:DF36)), "0"), "")</f>
        <v>0</v>
      </c>
      <c r="DG36" s="390" t="str">
        <f t="array" ref="DG36">IFERROR(IF(AND(INDEX($E$8:$CE$57, MATCH($C36, $C$8:$C$57, 0), (COLUMNS($DC36:DG36)-1)*5 + 1) = INDEX($E$5:$CE$5, 1, (COLUMNS($DC36:DG36)-1)*5 + 1), INDEX($E$8:$CE$57, MATCH($C36, $C$8:$C$57, 0), (COLUMNS($DC36:DG36)-1)*5 + 4) = "F"), INDEX($CZ$8:$CZ$23, COLUMNS($DC36:DG36)), "0"), "")</f>
        <v>0</v>
      </c>
      <c r="DH36" s="390" t="str">
        <f t="array" ref="DH36">IFERROR(IF(AND(INDEX($E$8:$CE$57, MATCH($C36, $C$8:$C$57, 0), (COLUMNS($DC36:DH36)-1)*5 + 1) = INDEX($E$5:$CE$5, 1, (COLUMNS($DC36:DH36)-1)*5 + 1), INDEX($E$8:$CE$57, MATCH($C36, $C$8:$C$57, 0), (COLUMNS($DC36:DH36)-1)*5 + 4) = "F"), INDEX($CZ$8:$CZ$23, COLUMNS($DC36:DH36)), "0"), "")</f>
        <v>0</v>
      </c>
      <c r="DI36" s="390" t="str">
        <f t="array" ref="DI36">IFERROR(IF(AND(INDEX($E$8:$CE$57, MATCH($C36, $C$8:$C$57, 0), (COLUMNS($DC36:DI36)-1)*5 + 1) = INDEX($E$5:$CE$5, 1, (COLUMNS($DC36:DI36)-1)*5 + 1), INDEX($E$8:$CE$57, MATCH($C36, $C$8:$C$57, 0), (COLUMNS($DC36:DI36)-1)*5 + 4) = "F"), INDEX($CZ$8:$CZ$23, COLUMNS($DC36:DI36)), "0"), "")</f>
        <v>0</v>
      </c>
      <c r="DJ36" s="390">
        <f t="array" ref="DJ36">IFERROR(IF(AND(INDEX($E$8:$CE$57, MATCH($C36, $C$8:$C$57, 0), (COLUMNS($DC36:DJ36)-1)*5 + 1) = INDEX($E$5:$CE$5, 1, (COLUMNS($DC36:DJ36)-1)*5 + 1), INDEX($E$8:$CE$57, MATCH($C36, $C$8:$C$57, 0), (COLUMNS($DC36:DJ36)-1)*5 + 4) = "F"), INDEX($CZ$8:$CZ$23, COLUMNS($DC36:DJ36)), "0"), "")</f>
        <v>128.36000000000001</v>
      </c>
      <c r="DK36" s="390" t="str">
        <f t="array" ref="DK36">IFERROR(IF(AND(INDEX($E$8:$CE$57, MATCH($C36, $C$8:$C$57, 0), (COLUMNS($DC36:DK36)-1)*5 + 1) = INDEX($E$5:$CE$5, 1, (COLUMNS($DC36:DK36)-1)*5 + 1), INDEX($E$8:$CE$57, MATCH($C36, $C$8:$C$57, 0), (COLUMNS($DC36:DK36)-1)*5 + 4) = "F"), INDEX($CZ$8:$CZ$23, COLUMNS($DC36:DK36)), "0"), "")</f>
        <v>0</v>
      </c>
      <c r="DL36" s="390" t="str">
        <f t="array" ref="DL36">IFERROR(IF(AND(INDEX($E$8:$CE$57, MATCH($C36, $C$8:$C$57, 0), (COLUMNS($DC36:DL36)-1)*5 + 1) = INDEX($E$5:$CE$5, 1, (COLUMNS($DC36:DL36)-1)*5 + 1), INDEX($E$8:$CE$57, MATCH($C36, $C$8:$C$57, 0), (COLUMNS($DC36:DL36)-1)*5 + 4) = "F"), INDEX($CZ$8:$CZ$23, COLUMNS($DC36:DL36)), "0"), "")</f>
        <v>0</v>
      </c>
      <c r="DM36" s="390">
        <f t="array" ref="DM36">IFERROR(IF(AND(INDEX($E$8:$CE$57, MATCH($C36, $C$8:$C$57, 0), (COLUMNS($DC36:DM36)-1)*5 + 1) = INDEX($E$5:$CE$5, 1, (COLUMNS($DC36:DM36)-1)*5 + 1), INDEX($E$8:$CE$57, MATCH($C36, $C$8:$C$57, 0), (COLUMNS($DC36:DM36)-1)*5 + 4) = "F"), INDEX($CZ$8:$CZ$23, COLUMNS($DC36:DM36)), "0"), "")</f>
        <v>156.87</v>
      </c>
      <c r="DN36" s="390" t="str">
        <f t="array" ref="DN36">IFERROR(IF(AND(INDEX($E$8:$CE$57, MATCH($C36, $C$8:$C$57, 0), (COLUMNS($DC36:DN36)-1)*5 + 1) = INDEX($E$5:$CE$5, 1, (COLUMNS($DC36:DN36)-1)*5 + 1), INDEX($E$8:$CE$57, MATCH($C36, $C$8:$C$57, 0), (COLUMNS($DC36:DN36)-1)*5 + 4) = "F"), INDEX($CZ$8:$CZ$23, COLUMNS($DC36:DN36)), "0"), "")</f>
        <v>0</v>
      </c>
      <c r="DO36" s="390" t="str">
        <f t="array" ref="DO36">IFERROR(IF(AND(INDEX($E$8:$CE$57, MATCH($C36, $C$8:$C$57, 0), (COLUMNS($DC36:DO36)-1)*5 + 1) = INDEX($E$5:$CE$5, 1, (COLUMNS($DC36:DO36)-1)*5 + 1), INDEX($E$8:$CE$57, MATCH($C36, $C$8:$C$57, 0), (COLUMNS($DC36:DO36)-1)*5 + 4) = "F"), INDEX($CZ$8:$CZ$23, COLUMNS($DC36:DO36)), "0"), "")</f>
        <v>0</v>
      </c>
      <c r="DP36" s="390" t="str">
        <f t="array" ref="DP36">IFERROR(IF(AND(INDEX($E$8:$CE$57, MATCH($C36, $C$8:$C$57, 0), (COLUMNS($DC36:DP36)-1)*5 + 1) = INDEX($E$5:$CE$5, 1, (COLUMNS($DC36:DP36)-1)*5 + 1), INDEX($E$8:$CE$57, MATCH($C36, $C$8:$C$57, 0), (COLUMNS($DC36:DP36)-1)*5 + 4) = "F"), INDEX($CZ$8:$CZ$23, COLUMNS($DC36:DP36)), "0"), "")</f>
        <v>0</v>
      </c>
      <c r="DQ36" s="390" t="str">
        <f t="array" ref="DQ36">IFERROR(IF(AND(INDEX($E$8:$CE$57, MATCH($C36, $C$8:$C$57, 0), (COLUMNS($DC36:DQ36)-1)*5 + 1) = INDEX($E$5:$CE$5, 1, (COLUMNS($DC36:DQ36)-1)*5 + 1), INDEX($E$8:$CE$57, MATCH($C36, $C$8:$C$57, 0), (COLUMNS($DC36:DQ36)-1)*5 + 4) = "F"), INDEX($CZ$8:$CZ$23, COLUMNS($DC36:DQ36)), "0"), "")</f>
        <v>0</v>
      </c>
      <c r="DR36" s="390" t="str">
        <f t="array" ref="DR36">IFERROR(IF(AND(INDEX($E$8:$CE$57, MATCH($C36, $C$8:$C$57, 0), (COLUMNS($DC36:DR36)-1)*5 + 1) = INDEX($E$5:$CE$5, 1, (COLUMNS($DC36:DR36)-1)*5 + 1), INDEX($E$8:$CE$57, MATCH($C36, $C$8:$C$57, 0), (COLUMNS($DC36:DR36)-1)*5 + 4) = "F"), INDEX($CZ$8:$CZ$23, COLUMNS($DC36:DR36)), "0"), "")</f>
        <v>0</v>
      </c>
      <c r="DT36" s="537" t="str">
        <f>SEMANA2[[#This Row],[COD]]</f>
        <v>COD 29</v>
      </c>
      <c r="DU36" s="390" t="str">
        <f t="array" ref="DU36">IFERROR(IF(AND(INDEX($E$8:$CE$57, MATCH($C36, $C$8:$C$57, 0), (COLUMNS($DU36:DU36)-1)*5 + 1) = INDEX($E$5:$CE$5, 1, (COLUMNS($DU36:DU36)-1)*5 + 1), INDEX($E$8:$CE$57, MATCH($C36, $C$8:$C$57, 0), (COLUMNS($DU36:DU36)-1)*5 + 4) = "SF"), INDEX($CZ$8:$CZ$23, COLUMNS($DU36:DU36)), "0"), "")</f>
        <v>0</v>
      </c>
      <c r="DV36" s="390" t="str">
        <f t="array" ref="DV36">IFERROR(IF(AND(INDEX($E$8:$CE$57, MATCH($C36, $C$8:$C$57, 0), (COLUMNS($DU36:DV36)-1)*5 + 1) = INDEX($E$5:$CE$5, 1, (COLUMNS($DU36:DV36)-1)*5 + 1), INDEX($E$8:$CE$57, MATCH($C36, $C$8:$C$57, 0), (COLUMNS($DU36:DV36)-1)*5 + 4) = "SF"), INDEX($CZ$8:$CZ$23, COLUMNS($DU36:DV36)), "0"), "")</f>
        <v>0</v>
      </c>
      <c r="DW36" s="390" t="str">
        <f t="array" ref="DW36">IFERROR(IF(AND(INDEX($E$8:$CE$57, MATCH($C36, $C$8:$C$57, 0), (COLUMNS($DU36:DW36)-1)*5 + 1) = INDEX($E$5:$CE$5, 1, (COLUMNS($DU36:DW36)-1)*5 + 1), INDEX($E$8:$CE$57, MATCH($C36, $C$8:$C$57, 0), (COLUMNS($DU36:DW36)-1)*5 + 4) = "SF"), INDEX($CZ$8:$CZ$23, COLUMNS($DU36:DW36)), "0"), "")</f>
        <v>0</v>
      </c>
      <c r="DX36" s="390" t="str">
        <f t="array" ref="DX36">IFERROR(IF(AND(INDEX($E$8:$CE$57, MATCH($C36, $C$8:$C$57, 0), (COLUMNS($DU36:DX36)-1)*5 + 1) = INDEX($E$5:$CE$5, 1, (COLUMNS($DU36:DX36)-1)*5 + 1), INDEX($E$8:$CE$57, MATCH($C36, $C$8:$C$57, 0), (COLUMNS($DU36:DX36)-1)*5 + 4) = "SF"), INDEX($CZ$8:$CZ$23, COLUMNS($DU36:DX36)), "0"), "")</f>
        <v>0</v>
      </c>
      <c r="DY36" s="390" t="str">
        <f t="array" ref="DY36">IFERROR(IF(AND(INDEX($E$8:$CE$57, MATCH($C36, $C$8:$C$57, 0), (COLUMNS($DU36:DY36)-1)*5 + 1) = INDEX($E$5:$CE$5, 1, (COLUMNS($DU36:DY36)-1)*5 + 1), INDEX($E$8:$CE$57, MATCH($C36, $C$8:$C$57, 0), (COLUMNS($DU36:DY36)-1)*5 + 4) = "SF"), INDEX($CZ$8:$CZ$23, COLUMNS($DU36:DY36)), "0"), "")</f>
        <v>0</v>
      </c>
      <c r="DZ36" s="390" t="str">
        <f t="array" ref="DZ36">IFERROR(IF(AND(INDEX($E$8:$CE$57, MATCH($C36, $C$8:$C$57, 0), (COLUMNS($DU36:DZ36)-1)*5 + 1) = INDEX($E$5:$CE$5, 1, (COLUMNS($DU36:DZ36)-1)*5 + 1), INDEX($E$8:$CE$57, MATCH($C36, $C$8:$C$57, 0), (COLUMNS($DU36:DZ36)-1)*5 + 4) = "SF"), INDEX($CZ$8:$CZ$23, COLUMNS($DU36:DZ36)), "0"), "")</f>
        <v>0</v>
      </c>
      <c r="EA36" s="390" t="str">
        <f t="array" ref="EA36">IFERROR(IF(AND(INDEX($E$8:$CE$57, MATCH($C36, $C$8:$C$57, 0), (COLUMNS($DU36:EA36)-1)*5 + 1) = INDEX($E$5:$CE$5, 1, (COLUMNS($DU36:EA36)-1)*5 + 1), INDEX($E$8:$CE$57, MATCH($C36, $C$8:$C$57, 0), (COLUMNS($DU36:EA36)-1)*5 + 4) = "SF"), INDEX($CZ$8:$CZ$23, COLUMNS($DU36:EA36)), "0"), "")</f>
        <v>0</v>
      </c>
      <c r="EB36" s="390" t="str">
        <f t="array" ref="EB36">IFERROR(IF(AND(INDEX($E$8:$CE$57, MATCH($C36, $C$8:$C$57, 0), (COLUMNS($DU36:EB36)-1)*5 + 1) = INDEX($E$5:$CE$5, 1, (COLUMNS($DU36:EB36)-1)*5 + 1), INDEX($E$8:$CE$57, MATCH($C36, $C$8:$C$57, 0), (COLUMNS($DU36:EB36)-1)*5 + 4) = "SF"), INDEX($CZ$8:$CZ$23, COLUMNS($DU36:EB36)), "0"), "")</f>
        <v>0</v>
      </c>
      <c r="EC36" s="390" t="str">
        <f t="array" ref="EC36">IFERROR(IF(AND(INDEX($E$8:$CE$57, MATCH($C36, $C$8:$C$57, 0), (COLUMNS($DU36:EC36)-1)*5 + 1) = INDEX($E$5:$CE$5, 1, (COLUMNS($DU36:EC36)-1)*5 + 1), INDEX($E$8:$CE$57, MATCH($C36, $C$8:$C$57, 0), (COLUMNS($DU36:EC36)-1)*5 + 4) = "SF"), INDEX($CZ$8:$CZ$23, COLUMNS($DU36:EC36)), "0"), "")</f>
        <v>0</v>
      </c>
      <c r="ED36" s="390" t="str">
        <f t="array" ref="ED36">IFERROR(IF(AND(INDEX($E$8:$CE$57, MATCH($C36, $C$8:$C$57, 0), (COLUMNS($DU36:ED36)-1)*5 + 1) = INDEX($E$5:$CE$5, 1, (COLUMNS($DU36:ED36)-1)*5 + 1), INDEX($E$8:$CE$57, MATCH($C36, $C$8:$C$57, 0), (COLUMNS($DU36:ED36)-1)*5 + 4) = "SF"), INDEX($CZ$8:$CZ$23, COLUMNS($DU36:ED36)), "0"), "")</f>
        <v>0</v>
      </c>
      <c r="EE36" s="390" t="str">
        <f t="array" ref="EE36">IFERROR(IF(AND(INDEX($E$8:$CE$57, MATCH($C36, $C$8:$C$57, 0), (COLUMNS($DU36:EE36)-1)*5 + 1) = INDEX($E$5:$CE$5, 1, (COLUMNS($DU36:EE36)-1)*5 + 1), INDEX($E$8:$CE$57, MATCH($C36, $C$8:$C$57, 0), (COLUMNS($DU36:EE36)-1)*5 + 4) = "SF"), INDEX($CZ$8:$CZ$23, COLUMNS($DU36:EE36)), "0"), "")</f>
        <v>0</v>
      </c>
      <c r="EF36" s="390" t="str">
        <f t="array" ref="EF36">IFERROR(IF(AND(INDEX($E$8:$CE$57, MATCH($C36, $C$8:$C$57, 0), (COLUMNS($DU36:EF36)-1)*5 + 1) = INDEX($E$5:$CE$5, 1, (COLUMNS($DU36:EF36)-1)*5 + 1), INDEX($E$8:$CE$57, MATCH($C36, $C$8:$C$57, 0), (COLUMNS($DU36:EF36)-1)*5 + 4) = "SF"), INDEX($CZ$8:$CZ$23, COLUMNS($DU36:EF36)), "0"), "")</f>
        <v>0</v>
      </c>
      <c r="EG36" s="390" t="str">
        <f t="array" ref="EG36">IFERROR(IF(AND(INDEX($E$8:$CE$57, MATCH($C36, $C$8:$C$57, 0), (COLUMNS($DU36:EG36)-1)*5 + 1) = INDEX($E$5:$CE$5, 1, (COLUMNS($DU36:EG36)-1)*5 + 1), INDEX($E$8:$CE$57, MATCH($C36, $C$8:$C$57, 0), (COLUMNS($DU36:EG36)-1)*5 + 4) = "SF"), INDEX($CZ$8:$CZ$23, COLUMNS($DU36:EG36)), "0"), "")</f>
        <v>0</v>
      </c>
      <c r="EH36" s="390" t="str">
        <f t="array" ref="EH36">IFERROR(IF(AND(INDEX($E$8:$CE$57, MATCH($C36, $C$8:$C$57, 0), (COLUMNS($DU36:EH36)-1)*5 + 1) = INDEX($E$5:$CE$5, 1, (COLUMNS($DU36:EH36)-1)*5 + 1), INDEX($E$8:$CE$57, MATCH($C36, $C$8:$C$57, 0), (COLUMNS($DU36:EH36)-1)*5 + 4) = "SF"), INDEX($CZ$8:$CZ$23, COLUMNS($DU36:EH36)), "0"), "")</f>
        <v>0</v>
      </c>
      <c r="EI36" s="390" t="str">
        <f t="array" ref="EI36">IFERROR(IF(AND(INDEX($E$8:$CE$57, MATCH($C36, $C$8:$C$57, 0), (COLUMNS($DU36:EI36)-1)*5 + 1) = INDEX($E$5:$CE$5, 1, (COLUMNS($DU36:EI36)-1)*5 + 1), INDEX($E$8:$CE$57, MATCH($C36, $C$8:$C$57, 0), (COLUMNS($DU36:EI36)-1)*5 + 4) = "SF"), INDEX($CZ$8:$CZ$23, COLUMNS($DU36:EI36)), "0"), "")</f>
        <v>0</v>
      </c>
      <c r="EJ36" s="390" t="str">
        <f t="array" ref="EJ36">IFERROR(IF(AND(INDEX($E$8:$CE$57, MATCH($C36, $C$8:$C$57, 0), (COLUMNS($DU36:EJ36)-1)*5 + 1) = INDEX($E$5:$CE$5, 1, (COLUMNS($DU36:EJ36)-1)*5 + 1), INDEX($E$8:$CE$57, MATCH($C36, $C$8:$C$57, 0), (COLUMNS($DU36:EJ36)-1)*5 + 4) = "SF"), INDEX($CZ$8:$CZ$23, COLUMNS($DU36:EJ36)), "0"), "")</f>
        <v>0</v>
      </c>
    </row>
    <row r="37" spans="1:140" ht="19.5" customHeight="1" x14ac:dyDescent="0.35">
      <c r="A37" s="515"/>
      <c r="B37" s="444">
        <f>IF(SEMANA2[[#This Row],[COD]]&lt;&gt;"",B36+1,"")</f>
        <v>30</v>
      </c>
      <c r="C37" s="554" t="s">
        <v>89</v>
      </c>
      <c r="D37" s="410" t="str">
        <f t="array" ref="D37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37" s="411">
        <v>9</v>
      </c>
      <c r="F37" s="412">
        <v>6</v>
      </c>
      <c r="G37" s="412">
        <v>8</v>
      </c>
      <c r="H37" s="412"/>
      <c r="I37" s="534">
        <f t="shared" si="0"/>
        <v>2</v>
      </c>
      <c r="J37" s="411">
        <v>1</v>
      </c>
      <c r="K37" s="412"/>
      <c r="L37" s="412"/>
      <c r="M37" s="412" t="s">
        <v>255</v>
      </c>
      <c r="N37" s="534">
        <f t="shared" si="1"/>
        <v>0</v>
      </c>
      <c r="O37" s="411">
        <v>5</v>
      </c>
      <c r="P37" s="412">
        <v>7</v>
      </c>
      <c r="Q37" s="412">
        <v>1</v>
      </c>
      <c r="R37" s="412"/>
      <c r="S37" s="534">
        <f t="shared" si="2"/>
        <v>1</v>
      </c>
      <c r="T37" s="411">
        <v>4</v>
      </c>
      <c r="U37" s="412">
        <v>3</v>
      </c>
      <c r="V37" s="412">
        <v>5</v>
      </c>
      <c r="W37" s="412"/>
      <c r="X37" s="534">
        <f t="shared" si="3"/>
        <v>0</v>
      </c>
      <c r="Y37" s="411">
        <v>7</v>
      </c>
      <c r="Z37" s="412">
        <v>1</v>
      </c>
      <c r="AA37" s="412">
        <v>2</v>
      </c>
      <c r="AB37" s="412"/>
      <c r="AC37" s="534">
        <f t="shared" si="4"/>
        <v>1</v>
      </c>
      <c r="AD37" s="411">
        <v>3</v>
      </c>
      <c r="AE37" s="412">
        <v>5</v>
      </c>
      <c r="AF37" s="412">
        <v>7</v>
      </c>
      <c r="AG37" s="412"/>
      <c r="AH37" s="534">
        <f t="shared" si="5"/>
        <v>2</v>
      </c>
      <c r="AI37" s="411">
        <v>6</v>
      </c>
      <c r="AJ37" s="412">
        <v>9</v>
      </c>
      <c r="AK37" s="412">
        <v>1</v>
      </c>
      <c r="AL37" s="412"/>
      <c r="AM37" s="534">
        <f t="shared" si="6"/>
        <v>3</v>
      </c>
      <c r="AN37" s="411">
        <v>8</v>
      </c>
      <c r="AO37" s="412">
        <v>1</v>
      </c>
      <c r="AP37" s="412">
        <v>2</v>
      </c>
      <c r="AQ37" s="412" t="s">
        <v>254</v>
      </c>
      <c r="AR37" s="534">
        <f t="shared" si="7"/>
        <v>4.5</v>
      </c>
      <c r="AS37" s="411">
        <v>9</v>
      </c>
      <c r="AT37" s="412">
        <v>5</v>
      </c>
      <c r="AU37" s="412">
        <v>2</v>
      </c>
      <c r="AV37" s="412"/>
      <c r="AW37" s="534">
        <f t="shared" si="8"/>
        <v>1</v>
      </c>
      <c r="AX37" s="411">
        <v>6</v>
      </c>
      <c r="AY37" s="412">
        <v>1</v>
      </c>
      <c r="AZ37" s="412">
        <v>11</v>
      </c>
      <c r="BA37" s="412"/>
      <c r="BB37" s="534">
        <f t="shared" si="9"/>
        <v>0</v>
      </c>
      <c r="BC37" s="411">
        <v>7</v>
      </c>
      <c r="BD37" s="412">
        <v>2</v>
      </c>
      <c r="BE37" s="412">
        <v>6</v>
      </c>
      <c r="BF37" s="412"/>
      <c r="BG37" s="534">
        <f t="shared" si="10"/>
        <v>4</v>
      </c>
      <c r="BH37" s="411">
        <v>1</v>
      </c>
      <c r="BI37" s="412">
        <v>6</v>
      </c>
      <c r="BJ37" s="412">
        <v>2</v>
      </c>
      <c r="BK37" s="412"/>
      <c r="BL37" s="534">
        <f t="shared" si="11"/>
        <v>2</v>
      </c>
      <c r="BM37" s="411">
        <v>1</v>
      </c>
      <c r="BN37" s="412">
        <v>9</v>
      </c>
      <c r="BO37" s="412">
        <v>4</v>
      </c>
      <c r="BP37" s="412"/>
      <c r="BQ37" s="534">
        <f t="shared" si="12"/>
        <v>0</v>
      </c>
      <c r="BR37" s="411">
        <v>5</v>
      </c>
      <c r="BS37" s="412">
        <v>1</v>
      </c>
      <c r="BT37" s="412">
        <v>11</v>
      </c>
      <c r="BU37" s="412" t="s">
        <v>254</v>
      </c>
      <c r="BV37" s="534">
        <f t="shared" si="13"/>
        <v>4</v>
      </c>
      <c r="BW37" s="411"/>
      <c r="BX37" s="412"/>
      <c r="BY37" s="412"/>
      <c r="BZ37" s="412"/>
      <c r="CA37" s="534">
        <f t="shared" si="14"/>
        <v>0</v>
      </c>
      <c r="CB37" s="411"/>
      <c r="CC37" s="412"/>
      <c r="CD37" s="412"/>
      <c r="CE37" s="412"/>
      <c r="CF37" s="534">
        <f t="shared" si="15"/>
        <v>0</v>
      </c>
      <c r="CG37" s="162">
        <f>IF(SEMANA2[[#This Row],[1]]="",0,$B$4)</f>
        <v>14</v>
      </c>
      <c r="CH37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2</v>
      </c>
      <c r="CI37" s="164">
        <f>IF(SEMANA2[[#This Row],[Columna14]]=0,0,(CH37/CG37))</f>
        <v>0.14285714285714285</v>
      </c>
      <c r="CJ37" s="163">
        <f>IF(SEMANA2[[#This Row],[1]]="",0,$B$4)</f>
        <v>14</v>
      </c>
      <c r="CK37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37" s="164">
        <f>IF(SEMANA2[[#This Row],[Columna14]]=0,0,(CK37/CJ37))</f>
        <v>0.42857142857142855</v>
      </c>
      <c r="CM37" s="162">
        <f>IF(SEMANA2[[#This Row],[1]]="",0,$B$4)</f>
        <v>14</v>
      </c>
      <c r="CN37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10</v>
      </c>
      <c r="CO37" s="164">
        <f>IF(SEMANA2[[#This Row],[Columna14]]=0,0,(CN37/CM37))</f>
        <v>0.7142857142857143</v>
      </c>
      <c r="CP37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37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Row],[Columna25]],$AX$5,BA37,"SF")+COUNTIFS(SEMANA2[[#This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1</v>
      </c>
      <c r="CR37" s="164">
        <f>IFERROR(IF(SEMANA2[[#This Row],[Columna14]]=0,0,(CQ37/CP37)),0)</f>
        <v>0.33333333333333331</v>
      </c>
      <c r="CS37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24.5</v>
      </c>
      <c r="CT37" s="93">
        <f>_xlfn.XLOOKUP(SEMANA2[[#This Row],[COD]],BASE01[COD],BASE01[Columna33])</f>
        <v>22</v>
      </c>
      <c r="CU37" s="536">
        <f t="shared" si="16"/>
        <v>46.5</v>
      </c>
      <c r="CV37" s="445">
        <f>IF(SEMANA2[[#This Row],[TIPO]]="PREMIO",$O$3,"0,00")</f>
        <v>1000</v>
      </c>
      <c r="CW37" s="515"/>
      <c r="CY37" s="387" t="str">
        <f t="shared" si="17"/>
        <v/>
      </c>
      <c r="CZ37" s="387"/>
      <c r="DA37" s="387" t="str">
        <f t="array" ref="DA37">IF(CZ37="", "", IF((INDEX(E$8:CE$57, MATCH(CZ37, C$8:C$57, 0), ($CZ$25-1)*5 + 1) &amp; "") = (INDEX(E$5:CE$5, 1, ($CZ$25-1)*5 + 1) &amp; ""), 1, IF((INDEX(E$8:CE$57, MATCH(CZ37, C$8:C$57, 0), ($CZ$25-1)*5 + 2) &amp; "") = (INDEX(E$5:CE$5, 1, ($CZ$25-1)*5 + 1) &amp; ""), 2, IF((INDEX(E$8:CE$57, MATCH(CZ37, C$8:C$57, 0), ($CZ$25-1)*5 + 3) &amp; "") = (INDEX(E$5:CE$5, 1, ($CZ$25-1)*5 + 1) &amp; ""), 3, ""))))</f>
        <v/>
      </c>
      <c r="DB37" s="537" t="str">
        <f>SEMANA2[[#This Row],[COD]]</f>
        <v>COD 30</v>
      </c>
      <c r="DC37" s="390" t="str">
        <f t="array" ref="DC37">IFERROR(IF(AND(INDEX($E$8:$CE$57, MATCH($C37, $C$8:$C$57, 0), (COLUMNS($DC37:DC37)-1)*5 + 1) = INDEX($E$5:$CE$5, 1, (COLUMNS($DC37:DC37)-1)*5 + 1), INDEX($E$8:$CE$57, MATCH($C37, $C$8:$C$57, 0), (COLUMNS($DC37:DC37)-1)*5 + 4) = "F"), INDEX($CZ$8:$CZ$23, COLUMNS($DC37:DC37)), "0"), "")</f>
        <v>0</v>
      </c>
      <c r="DD37" s="390" t="str">
        <f t="array" ref="DD37">IFERROR(IF(AND(INDEX($E$8:$CE$57, MATCH($C37, $C$8:$C$57, 0), (COLUMNS($DC37:DD37)-1)*5 + 1) = INDEX($E$5:$CE$5, 1, (COLUMNS($DC37:DD37)-1)*5 + 1), INDEX($E$8:$CE$57, MATCH($C37, $C$8:$C$57, 0), (COLUMNS($DC37:DD37)-1)*5 + 4) = "F"), INDEX($CZ$8:$CZ$23, COLUMNS($DC37:DD37)), "0"), "")</f>
        <v>0</v>
      </c>
      <c r="DE37" s="390" t="str">
        <f t="array" ref="DE37">IFERROR(IF(AND(INDEX($E$8:$CE$57, MATCH($C37, $C$8:$C$57, 0), (COLUMNS($DC37:DE37)-1)*5 + 1) = INDEX($E$5:$CE$5, 1, (COLUMNS($DC37:DE37)-1)*5 + 1), INDEX($E$8:$CE$57, MATCH($C37, $C$8:$C$57, 0), (COLUMNS($DC37:DE37)-1)*5 + 4) = "F"), INDEX($CZ$8:$CZ$23, COLUMNS($DC37:DE37)), "0"), "")</f>
        <v>0</v>
      </c>
      <c r="DF37" s="390" t="str">
        <f t="array" ref="DF37">IFERROR(IF(AND(INDEX($E$8:$CE$57, MATCH($C37, $C$8:$C$57, 0), (COLUMNS($DC37:DF37)-1)*5 + 1) = INDEX($E$5:$CE$5, 1, (COLUMNS($DC37:DF37)-1)*5 + 1), INDEX($E$8:$CE$57, MATCH($C37, $C$8:$C$57, 0), (COLUMNS($DC37:DF37)-1)*5 + 4) = "F"), INDEX($CZ$8:$CZ$23, COLUMNS($DC37:DF37)), "0"), "")</f>
        <v>0</v>
      </c>
      <c r="DG37" s="390" t="str">
        <f t="array" ref="DG37">IFERROR(IF(AND(INDEX($E$8:$CE$57, MATCH($C37, $C$8:$C$57, 0), (COLUMNS($DC37:DG37)-1)*5 + 1) = INDEX($E$5:$CE$5, 1, (COLUMNS($DC37:DG37)-1)*5 + 1), INDEX($E$8:$CE$57, MATCH($C37, $C$8:$C$57, 0), (COLUMNS($DC37:DG37)-1)*5 + 4) = "F"), INDEX($CZ$8:$CZ$23, COLUMNS($DC37:DG37)), "0"), "")</f>
        <v>0</v>
      </c>
      <c r="DH37" s="390" t="str">
        <f t="array" ref="DH37">IFERROR(IF(AND(INDEX($E$8:$CE$57, MATCH($C37, $C$8:$C$57, 0), (COLUMNS($DC37:DH37)-1)*5 + 1) = INDEX($E$5:$CE$5, 1, (COLUMNS($DC37:DH37)-1)*5 + 1), INDEX($E$8:$CE$57, MATCH($C37, $C$8:$C$57, 0), (COLUMNS($DC37:DH37)-1)*5 + 4) = "F"), INDEX($CZ$8:$CZ$23, COLUMNS($DC37:DH37)), "0"), "")</f>
        <v>0</v>
      </c>
      <c r="DI37" s="390" t="str">
        <f t="array" ref="DI37">IFERROR(IF(AND(INDEX($E$8:$CE$57, MATCH($C37, $C$8:$C$57, 0), (COLUMNS($DC37:DI37)-1)*5 + 1) = INDEX($E$5:$CE$5, 1, (COLUMNS($DC37:DI37)-1)*5 + 1), INDEX($E$8:$CE$57, MATCH($C37, $C$8:$C$57, 0), (COLUMNS($DC37:DI37)-1)*5 + 4) = "F"), INDEX($CZ$8:$CZ$23, COLUMNS($DC37:DI37)), "0"), "")</f>
        <v>0</v>
      </c>
      <c r="DJ37" s="390">
        <f t="array" ref="DJ37">IFERROR(IF(AND(INDEX($E$8:$CE$57, MATCH($C37, $C$8:$C$57, 0), (COLUMNS($DC37:DJ37)-1)*5 + 1) = INDEX($E$5:$CE$5, 1, (COLUMNS($DC37:DJ37)-1)*5 + 1), INDEX($E$8:$CE$57, MATCH($C37, $C$8:$C$57, 0), (COLUMNS($DC37:DJ37)-1)*5 + 4) = "F"), INDEX($CZ$8:$CZ$23, COLUMNS($DC37:DJ37)), "0"), "")</f>
        <v>128.36000000000001</v>
      </c>
      <c r="DK37" s="390" t="str">
        <f t="array" ref="DK37">IFERROR(IF(AND(INDEX($E$8:$CE$57, MATCH($C37, $C$8:$C$57, 0), (COLUMNS($DC37:DK37)-1)*5 + 1) = INDEX($E$5:$CE$5, 1, (COLUMNS($DC37:DK37)-1)*5 + 1), INDEX($E$8:$CE$57, MATCH($C37, $C$8:$C$57, 0), (COLUMNS($DC37:DK37)-1)*5 + 4) = "F"), INDEX($CZ$8:$CZ$23, COLUMNS($DC37:DK37)), "0"), "")</f>
        <v>0</v>
      </c>
      <c r="DL37" s="390" t="str">
        <f t="array" ref="DL37">IFERROR(IF(AND(INDEX($E$8:$CE$57, MATCH($C37, $C$8:$C$57, 0), (COLUMNS($DC37:DL37)-1)*5 + 1) = INDEX($E$5:$CE$5, 1, (COLUMNS($DC37:DL37)-1)*5 + 1), INDEX($E$8:$CE$57, MATCH($C37, $C$8:$C$57, 0), (COLUMNS($DC37:DL37)-1)*5 + 4) = "F"), INDEX($CZ$8:$CZ$23, COLUMNS($DC37:DL37)), "0"), "")</f>
        <v>0</v>
      </c>
      <c r="DM37" s="390" t="str">
        <f t="array" ref="DM37">IFERROR(IF(AND(INDEX($E$8:$CE$57, MATCH($C37, $C$8:$C$57, 0), (COLUMNS($DC37:DM37)-1)*5 + 1) = INDEX($E$5:$CE$5, 1, (COLUMNS($DC37:DM37)-1)*5 + 1), INDEX($E$8:$CE$57, MATCH($C37, $C$8:$C$57, 0), (COLUMNS($DC37:DM37)-1)*5 + 4) = "F"), INDEX($CZ$8:$CZ$23, COLUMNS($DC37:DM37)), "0"), "")</f>
        <v>0</v>
      </c>
      <c r="DN37" s="390" t="str">
        <f t="array" ref="DN37">IFERROR(IF(AND(INDEX($E$8:$CE$57, MATCH($C37, $C$8:$C$57, 0), (COLUMNS($DC37:DN37)-1)*5 + 1) = INDEX($E$5:$CE$5, 1, (COLUMNS($DC37:DN37)-1)*5 + 1), INDEX($E$8:$CE$57, MATCH($C37, $C$8:$C$57, 0), (COLUMNS($DC37:DN37)-1)*5 + 4) = "F"), INDEX($CZ$8:$CZ$23, COLUMNS($DC37:DN37)), "0"), "")</f>
        <v>0</v>
      </c>
      <c r="DO37" s="390" t="str">
        <f t="array" ref="DO37">IFERROR(IF(AND(INDEX($E$8:$CE$57, MATCH($C37, $C$8:$C$57, 0), (COLUMNS($DC37:DO37)-1)*5 + 1) = INDEX($E$5:$CE$5, 1, (COLUMNS($DC37:DO37)-1)*5 + 1), INDEX($E$8:$CE$57, MATCH($C37, $C$8:$C$57, 0), (COLUMNS($DC37:DO37)-1)*5 + 4) = "F"), INDEX($CZ$8:$CZ$23, COLUMNS($DC37:DO37)), "0"), "")</f>
        <v>0</v>
      </c>
      <c r="DP37" s="390" t="str">
        <f t="array" ref="DP37">IFERROR(IF(AND(INDEX($E$8:$CE$57, MATCH($C37, $C$8:$C$57, 0), (COLUMNS($DC37:DP37)-1)*5 + 1) = INDEX($E$5:$CE$5, 1, (COLUMNS($DC37:DP37)-1)*5 + 1), INDEX($E$8:$CE$57, MATCH($C37, $C$8:$C$57, 0), (COLUMNS($DC37:DP37)-1)*5 + 4) = "F"), INDEX($CZ$8:$CZ$23, COLUMNS($DC37:DP37)), "0"), "")</f>
        <v>0</v>
      </c>
      <c r="DQ37" s="390" t="str">
        <f t="array" ref="DQ37">IFERROR(IF(AND(INDEX($E$8:$CE$57, MATCH($C37, $C$8:$C$57, 0), (COLUMNS($DC37:DQ37)-1)*5 + 1) = INDEX($E$5:$CE$5, 1, (COLUMNS($DC37:DQ37)-1)*5 + 1), INDEX($E$8:$CE$57, MATCH($C37, $C$8:$C$57, 0), (COLUMNS($DC37:DQ37)-1)*5 + 4) = "F"), INDEX($CZ$8:$CZ$23, COLUMNS($DC37:DQ37)), "0"), "")</f>
        <v>0</v>
      </c>
      <c r="DR37" s="390" t="str">
        <f t="array" ref="DR37">IFERROR(IF(AND(INDEX($E$8:$CE$57, MATCH($C37, $C$8:$C$57, 0), (COLUMNS($DC37:DR37)-1)*5 + 1) = INDEX($E$5:$CE$5, 1, (COLUMNS($DC37:DR37)-1)*5 + 1), INDEX($E$8:$CE$57, MATCH($C37, $C$8:$C$57, 0), (COLUMNS($DC37:DR37)-1)*5 + 4) = "F"), INDEX($CZ$8:$CZ$23, COLUMNS($DC37:DR37)), "0"), "")</f>
        <v>0</v>
      </c>
      <c r="DT37" s="537" t="str">
        <f>SEMANA2[[#This Row],[COD]]</f>
        <v>COD 30</v>
      </c>
      <c r="DU37" s="390" t="str">
        <f t="array" ref="DU37">IFERROR(IF(AND(INDEX($E$8:$CE$57, MATCH($C37, $C$8:$C$57, 0), (COLUMNS($DU37:DU37)-1)*5 + 1) = INDEX($E$5:$CE$5, 1, (COLUMNS($DU37:DU37)-1)*5 + 1), INDEX($E$8:$CE$57, MATCH($C37, $C$8:$C$57, 0), (COLUMNS($DU37:DU37)-1)*5 + 4) = "SF"), INDEX($CZ$8:$CZ$23, COLUMNS($DU37:DU37)), "0"), "")</f>
        <v>0</v>
      </c>
      <c r="DV37" s="390" t="str">
        <f t="array" ref="DV37">IFERROR(IF(AND(INDEX($E$8:$CE$57, MATCH($C37, $C$8:$C$57, 0), (COLUMNS($DU37:DV37)-1)*5 + 1) = INDEX($E$5:$CE$5, 1, (COLUMNS($DU37:DV37)-1)*5 + 1), INDEX($E$8:$CE$57, MATCH($C37, $C$8:$C$57, 0), (COLUMNS($DU37:DV37)-1)*5 + 4) = "SF"), INDEX($CZ$8:$CZ$23, COLUMNS($DU37:DV37)), "0"), "")</f>
        <v>0</v>
      </c>
      <c r="DW37" s="390" t="str">
        <f t="array" ref="DW37">IFERROR(IF(AND(INDEX($E$8:$CE$57, MATCH($C37, $C$8:$C$57, 0), (COLUMNS($DU37:DW37)-1)*5 + 1) = INDEX($E$5:$CE$5, 1, (COLUMNS($DU37:DW37)-1)*5 + 1), INDEX($E$8:$CE$57, MATCH($C37, $C$8:$C$57, 0), (COLUMNS($DU37:DW37)-1)*5 + 4) = "SF"), INDEX($CZ$8:$CZ$23, COLUMNS($DU37:DW37)), "0"), "")</f>
        <v>0</v>
      </c>
      <c r="DX37" s="390" t="str">
        <f t="array" ref="DX37">IFERROR(IF(AND(INDEX($E$8:$CE$57, MATCH($C37, $C$8:$C$57, 0), (COLUMNS($DU37:DX37)-1)*5 + 1) = INDEX($E$5:$CE$5, 1, (COLUMNS($DU37:DX37)-1)*5 + 1), INDEX($E$8:$CE$57, MATCH($C37, $C$8:$C$57, 0), (COLUMNS($DU37:DX37)-1)*5 + 4) = "SF"), INDEX($CZ$8:$CZ$23, COLUMNS($DU37:DX37)), "0"), "")</f>
        <v>0</v>
      </c>
      <c r="DY37" s="390" t="str">
        <f t="array" ref="DY37">IFERROR(IF(AND(INDEX($E$8:$CE$57, MATCH($C37, $C$8:$C$57, 0), (COLUMNS($DU37:DY37)-1)*5 + 1) = INDEX($E$5:$CE$5, 1, (COLUMNS($DU37:DY37)-1)*5 + 1), INDEX($E$8:$CE$57, MATCH($C37, $C$8:$C$57, 0), (COLUMNS($DU37:DY37)-1)*5 + 4) = "SF"), INDEX($CZ$8:$CZ$23, COLUMNS($DU37:DY37)), "0"), "")</f>
        <v>0</v>
      </c>
      <c r="DZ37" s="390" t="str">
        <f t="array" ref="DZ37">IFERROR(IF(AND(INDEX($E$8:$CE$57, MATCH($C37, $C$8:$C$57, 0), (COLUMNS($DU37:DZ37)-1)*5 + 1) = INDEX($E$5:$CE$5, 1, (COLUMNS($DU37:DZ37)-1)*5 + 1), INDEX($E$8:$CE$57, MATCH($C37, $C$8:$C$57, 0), (COLUMNS($DU37:DZ37)-1)*5 + 4) = "SF"), INDEX($CZ$8:$CZ$23, COLUMNS($DU37:DZ37)), "0"), "")</f>
        <v>0</v>
      </c>
      <c r="EA37" s="390" t="str">
        <f t="array" ref="EA37">IFERROR(IF(AND(INDEX($E$8:$CE$57, MATCH($C37, $C$8:$C$57, 0), (COLUMNS($DU37:EA37)-1)*5 + 1) = INDEX($E$5:$CE$5, 1, (COLUMNS($DU37:EA37)-1)*5 + 1), INDEX($E$8:$CE$57, MATCH($C37, $C$8:$C$57, 0), (COLUMNS($DU37:EA37)-1)*5 + 4) = "SF"), INDEX($CZ$8:$CZ$23, COLUMNS($DU37:EA37)), "0"), "")</f>
        <v>0</v>
      </c>
      <c r="EB37" s="390" t="str">
        <f t="array" ref="EB37">IFERROR(IF(AND(INDEX($E$8:$CE$57, MATCH($C37, $C$8:$C$57, 0), (COLUMNS($DU37:EB37)-1)*5 + 1) = INDEX($E$5:$CE$5, 1, (COLUMNS($DU37:EB37)-1)*5 + 1), INDEX($E$8:$CE$57, MATCH($C37, $C$8:$C$57, 0), (COLUMNS($DU37:EB37)-1)*5 + 4) = "SF"), INDEX($CZ$8:$CZ$23, COLUMNS($DU37:EB37)), "0"), "")</f>
        <v>0</v>
      </c>
      <c r="EC37" s="390" t="str">
        <f t="array" ref="EC37">IFERROR(IF(AND(INDEX($E$8:$CE$57, MATCH($C37, $C$8:$C$57, 0), (COLUMNS($DU37:EC37)-1)*5 + 1) = INDEX($E$5:$CE$5, 1, (COLUMNS($DU37:EC37)-1)*5 + 1), INDEX($E$8:$CE$57, MATCH($C37, $C$8:$C$57, 0), (COLUMNS($DU37:EC37)-1)*5 + 4) = "SF"), INDEX($CZ$8:$CZ$23, COLUMNS($DU37:EC37)), "0"), "")</f>
        <v>0</v>
      </c>
      <c r="ED37" s="390" t="str">
        <f t="array" ref="ED37">IFERROR(IF(AND(INDEX($E$8:$CE$57, MATCH($C37, $C$8:$C$57, 0), (COLUMNS($DU37:ED37)-1)*5 + 1) = INDEX($E$5:$CE$5, 1, (COLUMNS($DU37:ED37)-1)*5 + 1), INDEX($E$8:$CE$57, MATCH($C37, $C$8:$C$57, 0), (COLUMNS($DU37:ED37)-1)*5 + 4) = "SF"), INDEX($CZ$8:$CZ$23, COLUMNS($DU37:ED37)), "0"), "")</f>
        <v>0</v>
      </c>
      <c r="EE37" s="390" t="str">
        <f t="array" ref="EE37">IFERROR(IF(AND(INDEX($E$8:$CE$57, MATCH($C37, $C$8:$C$57, 0), (COLUMNS($DU37:EE37)-1)*5 + 1) = INDEX($E$5:$CE$5, 1, (COLUMNS($DU37:EE37)-1)*5 + 1), INDEX($E$8:$CE$57, MATCH($C37, $C$8:$C$57, 0), (COLUMNS($DU37:EE37)-1)*5 + 4) = "SF"), INDEX($CZ$8:$CZ$23, COLUMNS($DU37:EE37)), "0"), "")</f>
        <v>0</v>
      </c>
      <c r="EF37" s="390" t="str">
        <f t="array" ref="EF37">IFERROR(IF(AND(INDEX($E$8:$CE$57, MATCH($C37, $C$8:$C$57, 0), (COLUMNS($DU37:EF37)-1)*5 + 1) = INDEX($E$5:$CE$5, 1, (COLUMNS($DU37:EF37)-1)*5 + 1), INDEX($E$8:$CE$57, MATCH($C37, $C$8:$C$57, 0), (COLUMNS($DU37:EF37)-1)*5 + 4) = "SF"), INDEX($CZ$8:$CZ$23, COLUMNS($DU37:EF37)), "0"), "")</f>
        <v>0</v>
      </c>
      <c r="EG37" s="390" t="str">
        <f t="array" ref="EG37">IFERROR(IF(AND(INDEX($E$8:$CE$57, MATCH($C37, $C$8:$C$57, 0), (COLUMNS($DU37:EG37)-1)*5 + 1) = INDEX($E$5:$CE$5, 1, (COLUMNS($DU37:EG37)-1)*5 + 1), INDEX($E$8:$CE$57, MATCH($C37, $C$8:$C$57, 0), (COLUMNS($DU37:EG37)-1)*5 + 4) = "SF"), INDEX($CZ$8:$CZ$23, COLUMNS($DU37:EG37)), "0"), "")</f>
        <v>0</v>
      </c>
      <c r="EH37" s="390" t="str">
        <f t="array" ref="EH37">IFERROR(IF(AND(INDEX($E$8:$CE$57, MATCH($C37, $C$8:$C$57, 0), (COLUMNS($DU37:EH37)-1)*5 + 1) = INDEX($E$5:$CE$5, 1, (COLUMNS($DU37:EH37)-1)*5 + 1), INDEX($E$8:$CE$57, MATCH($C37, $C$8:$C$57, 0), (COLUMNS($DU37:EH37)-1)*5 + 4) = "SF"), INDEX($CZ$8:$CZ$23, COLUMNS($DU37:EH37)), "0"), "")</f>
        <v>0</v>
      </c>
      <c r="EI37" s="390" t="str">
        <f t="array" ref="EI37">IFERROR(IF(AND(INDEX($E$8:$CE$57, MATCH($C37, $C$8:$C$57, 0), (COLUMNS($DU37:EI37)-1)*5 + 1) = INDEX($E$5:$CE$5, 1, (COLUMNS($DU37:EI37)-1)*5 + 1), INDEX($E$8:$CE$57, MATCH($C37, $C$8:$C$57, 0), (COLUMNS($DU37:EI37)-1)*5 + 4) = "SF"), INDEX($CZ$8:$CZ$23, COLUMNS($DU37:EI37)), "0"), "")</f>
        <v>0</v>
      </c>
      <c r="EJ37" s="390" t="str">
        <f t="array" ref="EJ37">IFERROR(IF(AND(INDEX($E$8:$CE$57, MATCH($C37, $C$8:$C$57, 0), (COLUMNS($DU37:EJ37)-1)*5 + 1) = INDEX($E$5:$CE$5, 1, (COLUMNS($DU37:EJ37)-1)*5 + 1), INDEX($E$8:$CE$57, MATCH($C37, $C$8:$C$57, 0), (COLUMNS($DU37:EJ37)-1)*5 + 4) = "SF"), INDEX($CZ$8:$CZ$23, COLUMNS($DU37:EJ37)), "0"), "")</f>
        <v>0</v>
      </c>
    </row>
    <row r="38" spans="1:140" ht="19.5" customHeight="1" x14ac:dyDescent="0.35">
      <c r="A38" s="515"/>
      <c r="B38" s="444">
        <f>IF(SEMANA2[[#This Row],[COD]]&lt;&gt;"",B37+1,"")</f>
        <v>31</v>
      </c>
      <c r="C38" s="554" t="s">
        <v>91</v>
      </c>
      <c r="D38" s="410" t="str">
        <f t="array" ref="D38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38" s="414">
        <v>9</v>
      </c>
      <c r="F38" s="416"/>
      <c r="G38" s="415"/>
      <c r="H38" s="416" t="s">
        <v>255</v>
      </c>
      <c r="I38" s="534">
        <f t="shared" si="0"/>
        <v>0</v>
      </c>
      <c r="J38" s="414">
        <v>1</v>
      </c>
      <c r="K38" s="416">
        <v>7</v>
      </c>
      <c r="L38" s="415">
        <v>10</v>
      </c>
      <c r="M38" s="416" t="s">
        <v>254</v>
      </c>
      <c r="N38" s="534">
        <f t="shared" si="1"/>
        <v>2</v>
      </c>
      <c r="O38" s="414">
        <v>5</v>
      </c>
      <c r="P38" s="416">
        <v>8</v>
      </c>
      <c r="Q38" s="415">
        <v>1</v>
      </c>
      <c r="R38" s="416"/>
      <c r="S38" s="534">
        <f t="shared" si="2"/>
        <v>1</v>
      </c>
      <c r="T38" s="414">
        <v>5</v>
      </c>
      <c r="U38" s="416">
        <v>3</v>
      </c>
      <c r="V38" s="415">
        <v>4</v>
      </c>
      <c r="W38" s="416"/>
      <c r="X38" s="534">
        <f t="shared" si="3"/>
        <v>0</v>
      </c>
      <c r="Y38" s="414">
        <v>2</v>
      </c>
      <c r="Z38" s="416">
        <v>4</v>
      </c>
      <c r="AA38" s="415">
        <v>5</v>
      </c>
      <c r="AB38" s="416"/>
      <c r="AC38" s="534">
        <f t="shared" si="4"/>
        <v>5</v>
      </c>
      <c r="AD38" s="414">
        <v>5</v>
      </c>
      <c r="AE38" s="416">
        <v>4</v>
      </c>
      <c r="AF38" s="415">
        <v>10</v>
      </c>
      <c r="AG38" s="416"/>
      <c r="AH38" s="534">
        <f t="shared" si="5"/>
        <v>0</v>
      </c>
      <c r="AI38" s="414">
        <v>6</v>
      </c>
      <c r="AJ38" s="416">
        <v>2</v>
      </c>
      <c r="AK38" s="415">
        <v>7</v>
      </c>
      <c r="AL38" s="416"/>
      <c r="AM38" s="534">
        <f t="shared" si="6"/>
        <v>0</v>
      </c>
      <c r="AN38" s="414">
        <v>8</v>
      </c>
      <c r="AO38" s="416">
        <v>1</v>
      </c>
      <c r="AP38" s="415">
        <v>2</v>
      </c>
      <c r="AQ38" s="416"/>
      <c r="AR38" s="534">
        <f t="shared" si="7"/>
        <v>3.5</v>
      </c>
      <c r="AS38" s="414">
        <v>6</v>
      </c>
      <c r="AT38" s="416">
        <v>10</v>
      </c>
      <c r="AU38" s="415">
        <v>9</v>
      </c>
      <c r="AV38" s="416"/>
      <c r="AW38" s="534">
        <f t="shared" si="8"/>
        <v>0</v>
      </c>
      <c r="AX38" s="414">
        <v>6</v>
      </c>
      <c r="AY38" s="416">
        <v>10</v>
      </c>
      <c r="AZ38" s="415">
        <v>1</v>
      </c>
      <c r="BA38" s="416"/>
      <c r="BB38" s="534">
        <f t="shared" si="9"/>
        <v>0</v>
      </c>
      <c r="BC38" s="414">
        <v>7</v>
      </c>
      <c r="BD38" s="416">
        <v>5</v>
      </c>
      <c r="BE38" s="415">
        <v>3</v>
      </c>
      <c r="BF38" s="416" t="s">
        <v>254</v>
      </c>
      <c r="BG38" s="534">
        <f t="shared" si="10"/>
        <v>5</v>
      </c>
      <c r="BH38" s="414">
        <v>1</v>
      </c>
      <c r="BI38" s="416">
        <v>6</v>
      </c>
      <c r="BJ38" s="415">
        <v>2</v>
      </c>
      <c r="BK38" s="416"/>
      <c r="BL38" s="534">
        <f t="shared" si="11"/>
        <v>2</v>
      </c>
      <c r="BM38" s="414">
        <v>1</v>
      </c>
      <c r="BN38" s="416">
        <v>9</v>
      </c>
      <c r="BO38" s="415">
        <v>5</v>
      </c>
      <c r="BP38" s="416"/>
      <c r="BQ38" s="534">
        <f t="shared" si="12"/>
        <v>2</v>
      </c>
      <c r="BR38" s="414">
        <v>1</v>
      </c>
      <c r="BS38" s="416">
        <v>2</v>
      </c>
      <c r="BT38" s="415">
        <v>5</v>
      </c>
      <c r="BU38" s="416"/>
      <c r="BV38" s="534">
        <f t="shared" si="13"/>
        <v>4</v>
      </c>
      <c r="BW38" s="414"/>
      <c r="BX38" s="416"/>
      <c r="BY38" s="415"/>
      <c r="BZ38" s="416"/>
      <c r="CA38" s="534">
        <f t="shared" si="14"/>
        <v>0</v>
      </c>
      <c r="CB38" s="414"/>
      <c r="CC38" s="416"/>
      <c r="CD38" s="415"/>
      <c r="CE38" s="416"/>
      <c r="CF38" s="534">
        <f t="shared" si="15"/>
        <v>0</v>
      </c>
      <c r="CG38" s="162">
        <f>IF(SEMANA2[[#This Row],[1]]="",0,$B$4)</f>
        <v>14</v>
      </c>
      <c r="CH38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4</v>
      </c>
      <c r="CI38" s="164">
        <f>IF(SEMANA2[[#This Row],[Columna14]]=0,0,(CH38/CG38))</f>
        <v>0.2857142857142857</v>
      </c>
      <c r="CJ38" s="163">
        <f>IF(SEMANA2[[#This Row],[1]]="",0,$B$4)</f>
        <v>14</v>
      </c>
      <c r="CK38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38" s="164">
        <f>IF(SEMANA2[[#This Row],[Columna14]]=0,0,(CK38/CJ38))</f>
        <v>0.42857142857142855</v>
      </c>
      <c r="CM38" s="162">
        <f>IF(SEMANA2[[#This Row],[1]]="",0,$B$4)</f>
        <v>14</v>
      </c>
      <c r="CN38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8</v>
      </c>
      <c r="CO38" s="164">
        <f>IF(SEMANA2[[#This Row],[Columna14]]=0,0,(CN38/CM38))</f>
        <v>0.5714285714285714</v>
      </c>
      <c r="CP38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38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Row],[Columna25]],$AX$5,BA38,"SF")+COUNTIFS(SEMANA2[[#This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1</v>
      </c>
      <c r="CR38" s="164">
        <f>IFERROR(IF(SEMANA2[[#This Row],[Columna14]]=0,0,(CQ38/CP38)),0)</f>
        <v>0.33333333333333331</v>
      </c>
      <c r="CS38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24.5</v>
      </c>
      <c r="CT38" s="93">
        <f>_xlfn.XLOOKUP(SEMANA2[[#This Row],[COD]],BASE01[COD],BASE01[Columna33])</f>
        <v>35</v>
      </c>
      <c r="CU38" s="536">
        <f t="shared" si="16"/>
        <v>59.5</v>
      </c>
      <c r="CV38" s="445">
        <f>IF(SEMANA2[[#This Row],[TIPO]]="PREMIO",$O$3,"0,00")</f>
        <v>1000</v>
      </c>
      <c r="CW38" s="515"/>
      <c r="CY38" s="387" t="str">
        <f t="shared" si="17"/>
        <v/>
      </c>
      <c r="CZ38" s="387"/>
      <c r="DA38" s="387" t="str">
        <f t="array" ref="DA38">IF(CZ38="", "", IF((INDEX(E$8:CE$57, MATCH(CZ38, C$8:C$57, 0), ($CZ$25-1)*5 + 1) &amp; "") = (INDEX(E$5:CE$5, 1, ($CZ$25-1)*5 + 1) &amp; ""), 1, IF((INDEX(E$8:CE$57, MATCH(CZ38, C$8:C$57, 0), ($CZ$25-1)*5 + 2) &amp; "") = (INDEX(E$5:CE$5, 1, ($CZ$25-1)*5 + 1) &amp; ""), 2, IF((INDEX(E$8:CE$57, MATCH(CZ38, C$8:C$57, 0), ($CZ$25-1)*5 + 3) &amp; "") = (INDEX(E$5:CE$5, 1, ($CZ$25-1)*5 + 1) &amp; ""), 3, ""))))</f>
        <v/>
      </c>
      <c r="DB38" s="537" t="str">
        <f>SEMANA2[[#This Row],[COD]]</f>
        <v>COD 31</v>
      </c>
      <c r="DC38" s="390" t="str">
        <f t="array" ref="DC38">IFERROR(IF(AND(INDEX($E$8:$CE$57, MATCH($C38, $C$8:$C$57, 0), (COLUMNS($DC38:DC38)-1)*5 + 1) = INDEX($E$5:$CE$5, 1, (COLUMNS($DC38:DC38)-1)*5 + 1), INDEX($E$8:$CE$57, MATCH($C38, $C$8:$C$57, 0), (COLUMNS($DC38:DC38)-1)*5 + 4) = "F"), INDEX($CZ$8:$CZ$23, COLUMNS($DC38:DC38)), "0"), "")</f>
        <v>0</v>
      </c>
      <c r="DD38" s="390" t="str">
        <f t="array" ref="DD38">IFERROR(IF(AND(INDEX($E$8:$CE$57, MATCH($C38, $C$8:$C$57, 0), (COLUMNS($DC38:DD38)-1)*5 + 1) = INDEX($E$5:$CE$5, 1, (COLUMNS($DC38:DD38)-1)*5 + 1), INDEX($E$8:$CE$57, MATCH($C38, $C$8:$C$57, 0), (COLUMNS($DC38:DD38)-1)*5 + 4) = "F"), INDEX($CZ$8:$CZ$23, COLUMNS($DC38:DD38)), "0"), "")</f>
        <v>0</v>
      </c>
      <c r="DE38" s="390" t="str">
        <f t="array" ref="DE38">IFERROR(IF(AND(INDEX($E$8:$CE$57, MATCH($C38, $C$8:$C$57, 0), (COLUMNS($DC38:DE38)-1)*5 + 1) = INDEX($E$5:$CE$5, 1, (COLUMNS($DC38:DE38)-1)*5 + 1), INDEX($E$8:$CE$57, MATCH($C38, $C$8:$C$57, 0), (COLUMNS($DC38:DE38)-1)*5 + 4) = "F"), INDEX($CZ$8:$CZ$23, COLUMNS($DC38:DE38)), "0"), "")</f>
        <v>0</v>
      </c>
      <c r="DF38" s="390" t="str">
        <f t="array" ref="DF38">IFERROR(IF(AND(INDEX($E$8:$CE$57, MATCH($C38, $C$8:$C$57, 0), (COLUMNS($DC38:DF38)-1)*5 + 1) = INDEX($E$5:$CE$5, 1, (COLUMNS($DC38:DF38)-1)*5 + 1), INDEX($E$8:$CE$57, MATCH($C38, $C$8:$C$57, 0), (COLUMNS($DC38:DF38)-1)*5 + 4) = "F"), INDEX($CZ$8:$CZ$23, COLUMNS($DC38:DF38)), "0"), "")</f>
        <v>0</v>
      </c>
      <c r="DG38" s="390" t="str">
        <f t="array" ref="DG38">IFERROR(IF(AND(INDEX($E$8:$CE$57, MATCH($C38, $C$8:$C$57, 0), (COLUMNS($DC38:DG38)-1)*5 + 1) = INDEX($E$5:$CE$5, 1, (COLUMNS($DC38:DG38)-1)*5 + 1), INDEX($E$8:$CE$57, MATCH($C38, $C$8:$C$57, 0), (COLUMNS($DC38:DG38)-1)*5 + 4) = "F"), INDEX($CZ$8:$CZ$23, COLUMNS($DC38:DG38)), "0"), "")</f>
        <v>0</v>
      </c>
      <c r="DH38" s="390" t="str">
        <f t="array" ref="DH38">IFERROR(IF(AND(INDEX($E$8:$CE$57, MATCH($C38, $C$8:$C$57, 0), (COLUMNS($DC38:DH38)-1)*5 + 1) = INDEX($E$5:$CE$5, 1, (COLUMNS($DC38:DH38)-1)*5 + 1), INDEX($E$8:$CE$57, MATCH($C38, $C$8:$C$57, 0), (COLUMNS($DC38:DH38)-1)*5 + 4) = "F"), INDEX($CZ$8:$CZ$23, COLUMNS($DC38:DH38)), "0"), "")</f>
        <v>0</v>
      </c>
      <c r="DI38" s="390" t="str">
        <f t="array" ref="DI38">IFERROR(IF(AND(INDEX($E$8:$CE$57, MATCH($C38, $C$8:$C$57, 0), (COLUMNS($DC38:DI38)-1)*5 + 1) = INDEX($E$5:$CE$5, 1, (COLUMNS($DC38:DI38)-1)*5 + 1), INDEX($E$8:$CE$57, MATCH($C38, $C$8:$C$57, 0), (COLUMNS($DC38:DI38)-1)*5 + 4) = "F"), INDEX($CZ$8:$CZ$23, COLUMNS($DC38:DI38)), "0"), "")</f>
        <v>0</v>
      </c>
      <c r="DJ38" s="390" t="str">
        <f t="array" ref="DJ38">IFERROR(IF(AND(INDEX($E$8:$CE$57, MATCH($C38, $C$8:$C$57, 0), (COLUMNS($DC38:DJ38)-1)*5 + 1) = INDEX($E$5:$CE$5, 1, (COLUMNS($DC38:DJ38)-1)*5 + 1), INDEX($E$8:$CE$57, MATCH($C38, $C$8:$C$57, 0), (COLUMNS($DC38:DJ38)-1)*5 + 4) = "F"), INDEX($CZ$8:$CZ$23, COLUMNS($DC38:DJ38)), "0"), "")</f>
        <v>0</v>
      </c>
      <c r="DK38" s="390" t="str">
        <f t="array" ref="DK38">IFERROR(IF(AND(INDEX($E$8:$CE$57, MATCH($C38, $C$8:$C$57, 0), (COLUMNS($DC38:DK38)-1)*5 + 1) = INDEX($E$5:$CE$5, 1, (COLUMNS($DC38:DK38)-1)*5 + 1), INDEX($E$8:$CE$57, MATCH($C38, $C$8:$C$57, 0), (COLUMNS($DC38:DK38)-1)*5 + 4) = "F"), INDEX($CZ$8:$CZ$23, COLUMNS($DC38:DK38)), "0"), "")</f>
        <v>0</v>
      </c>
      <c r="DL38" s="390" t="str">
        <f t="array" ref="DL38">IFERROR(IF(AND(INDEX($E$8:$CE$57, MATCH($C38, $C$8:$C$57, 0), (COLUMNS($DC38:DL38)-1)*5 + 1) = INDEX($E$5:$CE$5, 1, (COLUMNS($DC38:DL38)-1)*5 + 1), INDEX($E$8:$CE$57, MATCH($C38, $C$8:$C$57, 0), (COLUMNS($DC38:DL38)-1)*5 + 4) = "F"), INDEX($CZ$8:$CZ$23, COLUMNS($DC38:DL38)), "0"), "")</f>
        <v>0</v>
      </c>
      <c r="DM38" s="390">
        <f t="array" ref="DM38">IFERROR(IF(AND(INDEX($E$8:$CE$57, MATCH($C38, $C$8:$C$57, 0), (COLUMNS($DC38:DM38)-1)*5 + 1) = INDEX($E$5:$CE$5, 1, (COLUMNS($DC38:DM38)-1)*5 + 1), INDEX($E$8:$CE$57, MATCH($C38, $C$8:$C$57, 0), (COLUMNS($DC38:DM38)-1)*5 + 4) = "F"), INDEX($CZ$8:$CZ$23, COLUMNS($DC38:DM38)), "0"), "")</f>
        <v>156.87</v>
      </c>
      <c r="DN38" s="390" t="str">
        <f t="array" ref="DN38">IFERROR(IF(AND(INDEX($E$8:$CE$57, MATCH($C38, $C$8:$C$57, 0), (COLUMNS($DC38:DN38)-1)*5 + 1) = INDEX($E$5:$CE$5, 1, (COLUMNS($DC38:DN38)-1)*5 + 1), INDEX($E$8:$CE$57, MATCH($C38, $C$8:$C$57, 0), (COLUMNS($DC38:DN38)-1)*5 + 4) = "F"), INDEX($CZ$8:$CZ$23, COLUMNS($DC38:DN38)), "0"), "")</f>
        <v>0</v>
      </c>
      <c r="DO38" s="390" t="str">
        <f t="array" ref="DO38">IFERROR(IF(AND(INDEX($E$8:$CE$57, MATCH($C38, $C$8:$C$57, 0), (COLUMNS($DC38:DO38)-1)*5 + 1) = INDEX($E$5:$CE$5, 1, (COLUMNS($DC38:DO38)-1)*5 + 1), INDEX($E$8:$CE$57, MATCH($C38, $C$8:$C$57, 0), (COLUMNS($DC38:DO38)-1)*5 + 4) = "F"), INDEX($CZ$8:$CZ$23, COLUMNS($DC38:DO38)), "0"), "")</f>
        <v>0</v>
      </c>
      <c r="DP38" s="390" t="str">
        <f t="array" ref="DP38">IFERROR(IF(AND(INDEX($E$8:$CE$57, MATCH($C38, $C$8:$C$57, 0), (COLUMNS($DC38:DP38)-1)*5 + 1) = INDEX($E$5:$CE$5, 1, (COLUMNS($DC38:DP38)-1)*5 + 1), INDEX($E$8:$CE$57, MATCH($C38, $C$8:$C$57, 0), (COLUMNS($DC38:DP38)-1)*5 + 4) = "F"), INDEX($CZ$8:$CZ$23, COLUMNS($DC38:DP38)), "0"), "")</f>
        <v>0</v>
      </c>
      <c r="DQ38" s="390" t="str">
        <f t="array" ref="DQ38">IFERROR(IF(AND(INDEX($E$8:$CE$57, MATCH($C38, $C$8:$C$57, 0), (COLUMNS($DC38:DQ38)-1)*5 + 1) = INDEX($E$5:$CE$5, 1, (COLUMNS($DC38:DQ38)-1)*5 + 1), INDEX($E$8:$CE$57, MATCH($C38, $C$8:$C$57, 0), (COLUMNS($DC38:DQ38)-1)*5 + 4) = "F"), INDEX($CZ$8:$CZ$23, COLUMNS($DC38:DQ38)), "0"), "")</f>
        <v>0</v>
      </c>
      <c r="DR38" s="390" t="str">
        <f t="array" ref="DR38">IFERROR(IF(AND(INDEX($E$8:$CE$57, MATCH($C38, $C$8:$C$57, 0), (COLUMNS($DC38:DR38)-1)*5 + 1) = INDEX($E$5:$CE$5, 1, (COLUMNS($DC38:DR38)-1)*5 + 1), INDEX($E$8:$CE$57, MATCH($C38, $C$8:$C$57, 0), (COLUMNS($DC38:DR38)-1)*5 + 4) = "F"), INDEX($CZ$8:$CZ$23, COLUMNS($DC38:DR38)), "0"), "")</f>
        <v>0</v>
      </c>
      <c r="DT38" s="537" t="str">
        <f>SEMANA2[[#This Row],[COD]]</f>
        <v>COD 31</v>
      </c>
      <c r="DU38" s="390" t="str">
        <f t="array" ref="DU38">IFERROR(IF(AND(INDEX($E$8:$CE$57, MATCH($C38, $C$8:$C$57, 0), (COLUMNS($DU38:DU38)-1)*5 + 1) = INDEX($E$5:$CE$5, 1, (COLUMNS($DU38:DU38)-1)*5 + 1), INDEX($E$8:$CE$57, MATCH($C38, $C$8:$C$57, 0), (COLUMNS($DU38:DU38)-1)*5 + 4) = "SF"), INDEX($CZ$8:$CZ$23, COLUMNS($DU38:DU38)), "0"), "")</f>
        <v>0</v>
      </c>
      <c r="DV38" s="390" t="str">
        <f t="array" ref="DV38">IFERROR(IF(AND(INDEX($E$8:$CE$57, MATCH($C38, $C$8:$C$57, 0), (COLUMNS($DU38:DV38)-1)*5 + 1) = INDEX($E$5:$CE$5, 1, (COLUMNS($DU38:DV38)-1)*5 + 1), INDEX($E$8:$CE$57, MATCH($C38, $C$8:$C$57, 0), (COLUMNS($DU38:DV38)-1)*5 + 4) = "SF"), INDEX($CZ$8:$CZ$23, COLUMNS($DU38:DV38)), "0"), "")</f>
        <v>0</v>
      </c>
      <c r="DW38" s="390" t="str">
        <f t="array" ref="DW38">IFERROR(IF(AND(INDEX($E$8:$CE$57, MATCH($C38, $C$8:$C$57, 0), (COLUMNS($DU38:DW38)-1)*5 + 1) = INDEX($E$5:$CE$5, 1, (COLUMNS($DU38:DW38)-1)*5 + 1), INDEX($E$8:$CE$57, MATCH($C38, $C$8:$C$57, 0), (COLUMNS($DU38:DW38)-1)*5 + 4) = "SF"), INDEX($CZ$8:$CZ$23, COLUMNS($DU38:DW38)), "0"), "")</f>
        <v>0</v>
      </c>
      <c r="DX38" s="390" t="str">
        <f t="array" ref="DX38">IFERROR(IF(AND(INDEX($E$8:$CE$57, MATCH($C38, $C$8:$C$57, 0), (COLUMNS($DU38:DX38)-1)*5 + 1) = INDEX($E$5:$CE$5, 1, (COLUMNS($DU38:DX38)-1)*5 + 1), INDEX($E$8:$CE$57, MATCH($C38, $C$8:$C$57, 0), (COLUMNS($DU38:DX38)-1)*5 + 4) = "SF"), INDEX($CZ$8:$CZ$23, COLUMNS($DU38:DX38)), "0"), "")</f>
        <v>0</v>
      </c>
      <c r="DY38" s="390" t="str">
        <f t="array" ref="DY38">IFERROR(IF(AND(INDEX($E$8:$CE$57, MATCH($C38, $C$8:$C$57, 0), (COLUMNS($DU38:DY38)-1)*5 + 1) = INDEX($E$5:$CE$5, 1, (COLUMNS($DU38:DY38)-1)*5 + 1), INDEX($E$8:$CE$57, MATCH($C38, $C$8:$C$57, 0), (COLUMNS($DU38:DY38)-1)*5 + 4) = "SF"), INDEX($CZ$8:$CZ$23, COLUMNS($DU38:DY38)), "0"), "")</f>
        <v>0</v>
      </c>
      <c r="DZ38" s="390" t="str">
        <f t="array" ref="DZ38">IFERROR(IF(AND(INDEX($E$8:$CE$57, MATCH($C38, $C$8:$C$57, 0), (COLUMNS($DU38:DZ38)-1)*5 + 1) = INDEX($E$5:$CE$5, 1, (COLUMNS($DU38:DZ38)-1)*5 + 1), INDEX($E$8:$CE$57, MATCH($C38, $C$8:$C$57, 0), (COLUMNS($DU38:DZ38)-1)*5 + 4) = "SF"), INDEX($CZ$8:$CZ$23, COLUMNS($DU38:DZ38)), "0"), "")</f>
        <v>0</v>
      </c>
      <c r="EA38" s="390" t="str">
        <f t="array" ref="EA38">IFERROR(IF(AND(INDEX($E$8:$CE$57, MATCH($C38, $C$8:$C$57, 0), (COLUMNS($DU38:EA38)-1)*5 + 1) = INDEX($E$5:$CE$5, 1, (COLUMNS($DU38:EA38)-1)*5 + 1), INDEX($E$8:$CE$57, MATCH($C38, $C$8:$C$57, 0), (COLUMNS($DU38:EA38)-1)*5 + 4) = "SF"), INDEX($CZ$8:$CZ$23, COLUMNS($DU38:EA38)), "0"), "")</f>
        <v>0</v>
      </c>
      <c r="EB38" s="390" t="str">
        <f t="array" ref="EB38">IFERROR(IF(AND(INDEX($E$8:$CE$57, MATCH($C38, $C$8:$C$57, 0), (COLUMNS($DU38:EB38)-1)*5 + 1) = INDEX($E$5:$CE$5, 1, (COLUMNS($DU38:EB38)-1)*5 + 1), INDEX($E$8:$CE$57, MATCH($C38, $C$8:$C$57, 0), (COLUMNS($DU38:EB38)-1)*5 + 4) = "SF"), INDEX($CZ$8:$CZ$23, COLUMNS($DU38:EB38)), "0"), "")</f>
        <v>0</v>
      </c>
      <c r="EC38" s="390" t="str">
        <f t="array" ref="EC38">IFERROR(IF(AND(INDEX($E$8:$CE$57, MATCH($C38, $C$8:$C$57, 0), (COLUMNS($DU38:EC38)-1)*5 + 1) = INDEX($E$5:$CE$5, 1, (COLUMNS($DU38:EC38)-1)*5 + 1), INDEX($E$8:$CE$57, MATCH($C38, $C$8:$C$57, 0), (COLUMNS($DU38:EC38)-1)*5 + 4) = "SF"), INDEX($CZ$8:$CZ$23, COLUMNS($DU38:EC38)), "0"), "")</f>
        <v>0</v>
      </c>
      <c r="ED38" s="390" t="str">
        <f t="array" ref="ED38">IFERROR(IF(AND(INDEX($E$8:$CE$57, MATCH($C38, $C$8:$C$57, 0), (COLUMNS($DU38:ED38)-1)*5 + 1) = INDEX($E$5:$CE$5, 1, (COLUMNS($DU38:ED38)-1)*5 + 1), INDEX($E$8:$CE$57, MATCH($C38, $C$8:$C$57, 0), (COLUMNS($DU38:ED38)-1)*5 + 4) = "SF"), INDEX($CZ$8:$CZ$23, COLUMNS($DU38:ED38)), "0"), "")</f>
        <v>0</v>
      </c>
      <c r="EE38" s="390" t="str">
        <f t="array" ref="EE38">IFERROR(IF(AND(INDEX($E$8:$CE$57, MATCH($C38, $C$8:$C$57, 0), (COLUMNS($DU38:EE38)-1)*5 + 1) = INDEX($E$5:$CE$5, 1, (COLUMNS($DU38:EE38)-1)*5 + 1), INDEX($E$8:$CE$57, MATCH($C38, $C$8:$C$57, 0), (COLUMNS($DU38:EE38)-1)*5 + 4) = "SF"), INDEX($CZ$8:$CZ$23, COLUMNS($DU38:EE38)), "0"), "")</f>
        <v>0</v>
      </c>
      <c r="EF38" s="390" t="str">
        <f t="array" ref="EF38">IFERROR(IF(AND(INDEX($E$8:$CE$57, MATCH($C38, $C$8:$C$57, 0), (COLUMNS($DU38:EF38)-1)*5 + 1) = INDEX($E$5:$CE$5, 1, (COLUMNS($DU38:EF38)-1)*5 + 1), INDEX($E$8:$CE$57, MATCH($C38, $C$8:$C$57, 0), (COLUMNS($DU38:EF38)-1)*5 + 4) = "SF"), INDEX($CZ$8:$CZ$23, COLUMNS($DU38:EF38)), "0"), "")</f>
        <v>0</v>
      </c>
      <c r="EG38" s="390" t="str">
        <f t="array" ref="EG38">IFERROR(IF(AND(INDEX($E$8:$CE$57, MATCH($C38, $C$8:$C$57, 0), (COLUMNS($DU38:EG38)-1)*5 + 1) = INDEX($E$5:$CE$5, 1, (COLUMNS($DU38:EG38)-1)*5 + 1), INDEX($E$8:$CE$57, MATCH($C38, $C$8:$C$57, 0), (COLUMNS($DU38:EG38)-1)*5 + 4) = "SF"), INDEX($CZ$8:$CZ$23, COLUMNS($DU38:EG38)), "0"), "")</f>
        <v>0</v>
      </c>
      <c r="EH38" s="390" t="str">
        <f t="array" ref="EH38">IFERROR(IF(AND(INDEX($E$8:$CE$57, MATCH($C38, $C$8:$C$57, 0), (COLUMNS($DU38:EH38)-1)*5 + 1) = INDEX($E$5:$CE$5, 1, (COLUMNS($DU38:EH38)-1)*5 + 1), INDEX($E$8:$CE$57, MATCH($C38, $C$8:$C$57, 0), (COLUMNS($DU38:EH38)-1)*5 + 4) = "SF"), INDEX($CZ$8:$CZ$23, COLUMNS($DU38:EH38)), "0"), "")</f>
        <v>0</v>
      </c>
      <c r="EI38" s="390" t="str">
        <f t="array" ref="EI38">IFERROR(IF(AND(INDEX($E$8:$CE$57, MATCH($C38, $C$8:$C$57, 0), (COLUMNS($DU38:EI38)-1)*5 + 1) = INDEX($E$5:$CE$5, 1, (COLUMNS($DU38:EI38)-1)*5 + 1), INDEX($E$8:$CE$57, MATCH($C38, $C$8:$C$57, 0), (COLUMNS($DU38:EI38)-1)*5 + 4) = "SF"), INDEX($CZ$8:$CZ$23, COLUMNS($DU38:EI38)), "0"), "")</f>
        <v>0</v>
      </c>
      <c r="EJ38" s="390" t="str">
        <f t="array" ref="EJ38">IFERROR(IF(AND(INDEX($E$8:$CE$57, MATCH($C38, $C$8:$C$57, 0), (COLUMNS($DU38:EJ38)-1)*5 + 1) = INDEX($E$5:$CE$5, 1, (COLUMNS($DU38:EJ38)-1)*5 + 1), INDEX($E$8:$CE$57, MATCH($C38, $C$8:$C$57, 0), (COLUMNS($DU38:EJ38)-1)*5 + 4) = "SF"), INDEX($CZ$8:$CZ$23, COLUMNS($DU38:EJ38)), "0"), "")</f>
        <v>0</v>
      </c>
    </row>
    <row r="39" spans="1:140" ht="19.5" customHeight="1" x14ac:dyDescent="0.35">
      <c r="A39" s="515"/>
      <c r="B39" s="444">
        <f>IF(SEMANA2[[#This Row],[COD]]&lt;&gt;"",B38+1,"")</f>
        <v>32</v>
      </c>
      <c r="C39" s="554" t="s">
        <v>93</v>
      </c>
      <c r="D39" s="410" t="str">
        <f t="array" ref="D39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39" s="411">
        <v>9</v>
      </c>
      <c r="F39" s="412">
        <v>6</v>
      </c>
      <c r="G39" s="412">
        <v>2</v>
      </c>
      <c r="H39" s="412" t="s">
        <v>254</v>
      </c>
      <c r="I39" s="534">
        <f t="shared" si="0"/>
        <v>2</v>
      </c>
      <c r="J39" s="411">
        <v>1</v>
      </c>
      <c r="K39" s="412"/>
      <c r="L39" s="412"/>
      <c r="M39" s="412" t="s">
        <v>255</v>
      </c>
      <c r="N39" s="534">
        <f t="shared" si="1"/>
        <v>0</v>
      </c>
      <c r="O39" s="411">
        <v>1</v>
      </c>
      <c r="P39" s="412">
        <v>5</v>
      </c>
      <c r="Q39" s="412">
        <v>7</v>
      </c>
      <c r="R39" s="412"/>
      <c r="S39" s="534">
        <f t="shared" si="2"/>
        <v>4</v>
      </c>
      <c r="T39" s="411">
        <v>5</v>
      </c>
      <c r="U39" s="412">
        <v>3</v>
      </c>
      <c r="V39" s="412">
        <v>4</v>
      </c>
      <c r="W39" s="412"/>
      <c r="X39" s="534">
        <f t="shared" si="3"/>
        <v>0</v>
      </c>
      <c r="Y39" s="411">
        <v>5</v>
      </c>
      <c r="Z39" s="412">
        <v>4</v>
      </c>
      <c r="AA39" s="412">
        <v>2</v>
      </c>
      <c r="AB39" s="412"/>
      <c r="AC39" s="534">
        <f t="shared" si="4"/>
        <v>1</v>
      </c>
      <c r="AD39" s="411">
        <v>10</v>
      </c>
      <c r="AE39" s="412">
        <v>4</v>
      </c>
      <c r="AF39" s="412">
        <v>5</v>
      </c>
      <c r="AG39" s="412"/>
      <c r="AH39" s="534">
        <f t="shared" si="5"/>
        <v>0</v>
      </c>
      <c r="AI39" s="411">
        <v>6</v>
      </c>
      <c r="AJ39" s="412">
        <v>7</v>
      </c>
      <c r="AK39" s="412">
        <v>2</v>
      </c>
      <c r="AL39" s="412"/>
      <c r="AM39" s="534">
        <f t="shared" si="6"/>
        <v>0</v>
      </c>
      <c r="AN39" s="411">
        <v>8</v>
      </c>
      <c r="AO39" s="412">
        <v>1</v>
      </c>
      <c r="AP39" s="412">
        <v>2</v>
      </c>
      <c r="AQ39" s="412"/>
      <c r="AR39" s="534">
        <f t="shared" si="7"/>
        <v>3.5</v>
      </c>
      <c r="AS39" s="411">
        <v>10</v>
      </c>
      <c r="AT39" s="412">
        <v>1</v>
      </c>
      <c r="AU39" s="412">
        <v>9</v>
      </c>
      <c r="AV39" s="412"/>
      <c r="AW39" s="534">
        <f t="shared" si="8"/>
        <v>0</v>
      </c>
      <c r="AX39" s="411">
        <v>6</v>
      </c>
      <c r="AY39" s="412">
        <v>1</v>
      </c>
      <c r="AZ39" s="412">
        <v>7</v>
      </c>
      <c r="BA39" s="412"/>
      <c r="BB39" s="534">
        <f t="shared" si="9"/>
        <v>0</v>
      </c>
      <c r="BC39" s="411">
        <v>7</v>
      </c>
      <c r="BD39" s="412">
        <v>5</v>
      </c>
      <c r="BE39" s="412">
        <v>6</v>
      </c>
      <c r="BF39" s="412" t="s">
        <v>254</v>
      </c>
      <c r="BG39" s="534">
        <f t="shared" si="10"/>
        <v>7</v>
      </c>
      <c r="BH39" s="411">
        <v>6</v>
      </c>
      <c r="BI39" s="412">
        <v>2</v>
      </c>
      <c r="BJ39" s="412">
        <v>1</v>
      </c>
      <c r="BK39" s="412"/>
      <c r="BL39" s="534">
        <f t="shared" si="11"/>
        <v>4</v>
      </c>
      <c r="BM39" s="411">
        <v>4</v>
      </c>
      <c r="BN39" s="412">
        <v>3</v>
      </c>
      <c r="BO39" s="412">
        <v>1</v>
      </c>
      <c r="BP39" s="412"/>
      <c r="BQ39" s="534">
        <f t="shared" si="12"/>
        <v>0</v>
      </c>
      <c r="BR39" s="411">
        <v>5</v>
      </c>
      <c r="BS39" s="412">
        <v>1</v>
      </c>
      <c r="BT39" s="412">
        <v>2</v>
      </c>
      <c r="BU39" s="412"/>
      <c r="BV39" s="534">
        <f t="shared" si="13"/>
        <v>2</v>
      </c>
      <c r="BW39" s="411"/>
      <c r="BX39" s="412"/>
      <c r="BY39" s="412"/>
      <c r="BZ39" s="412"/>
      <c r="CA39" s="534">
        <f t="shared" si="14"/>
        <v>0</v>
      </c>
      <c r="CB39" s="411"/>
      <c r="CC39" s="412"/>
      <c r="CD39" s="412"/>
      <c r="CE39" s="412"/>
      <c r="CF39" s="534">
        <f t="shared" si="15"/>
        <v>0</v>
      </c>
      <c r="CG39" s="162">
        <f>IF(SEMANA2[[#This Row],[1]]="",0,$B$4)</f>
        <v>14</v>
      </c>
      <c r="CH39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4</v>
      </c>
      <c r="CI39" s="164">
        <f>IF(SEMANA2[[#This Row],[Columna14]]=0,0,(CH39/CG39))</f>
        <v>0.2857142857142857</v>
      </c>
      <c r="CJ39" s="163">
        <f>IF(SEMANA2[[#This Row],[1]]="",0,$B$4)</f>
        <v>14</v>
      </c>
      <c r="CK39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39" s="164">
        <f>IF(SEMANA2[[#This Row],[Columna14]]=0,0,(CK39/CJ39))</f>
        <v>0.42857142857142855</v>
      </c>
      <c r="CM39" s="162">
        <f>IF(SEMANA2[[#This Row],[1]]="",0,$B$4)</f>
        <v>14</v>
      </c>
      <c r="CN39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7</v>
      </c>
      <c r="CO39" s="164">
        <f>IF(SEMANA2[[#This Row],[Columna14]]=0,0,(CN39/CM39))</f>
        <v>0.5</v>
      </c>
      <c r="CP39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39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Row],[Columna25]],$AX$5,BA39,"SF")+COUNTIFS(SEMANA2[[#This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1</v>
      </c>
      <c r="CR39" s="164">
        <f>IFERROR(IF(SEMANA2[[#This Row],[Columna14]]=0,0,(CQ39/CP39)),0)</f>
        <v>0.33333333333333331</v>
      </c>
      <c r="CS39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23.5</v>
      </c>
      <c r="CT39" s="93">
        <f>_xlfn.XLOOKUP(SEMANA2[[#This Row],[COD]],BASE01[COD],BASE01[Columna33])</f>
        <v>39</v>
      </c>
      <c r="CU39" s="536">
        <f t="shared" si="16"/>
        <v>62.5</v>
      </c>
      <c r="CV39" s="445">
        <f>IF(SEMANA2[[#This Row],[TIPO]]="PREMIO",$O$3,"0,00")</f>
        <v>1000</v>
      </c>
      <c r="CW39" s="515"/>
      <c r="CY39" s="387" t="str">
        <f t="shared" si="17"/>
        <v/>
      </c>
      <c r="CZ39" s="387"/>
      <c r="DA39" s="387" t="str">
        <f t="array" ref="DA39">IF(CZ39="", "", IF((INDEX(E$8:CE$57, MATCH(CZ39, C$8:C$57, 0), ($CZ$25-1)*5 + 1) &amp; "") = (INDEX(E$5:CE$5, 1, ($CZ$25-1)*5 + 1) &amp; ""), 1, IF((INDEX(E$8:CE$57, MATCH(CZ39, C$8:C$57, 0), ($CZ$25-1)*5 + 2) &amp; "") = (INDEX(E$5:CE$5, 1, ($CZ$25-1)*5 + 1) &amp; ""), 2, IF((INDEX(E$8:CE$57, MATCH(CZ39, C$8:C$57, 0), ($CZ$25-1)*5 + 3) &amp; "") = (INDEX(E$5:CE$5, 1, ($CZ$25-1)*5 + 1) &amp; ""), 3, ""))))</f>
        <v/>
      </c>
      <c r="DB39" s="537" t="str">
        <f>SEMANA2[[#This Row],[COD]]</f>
        <v>COD 32</v>
      </c>
      <c r="DC39" s="390" t="str">
        <f t="array" ref="DC39">IFERROR(IF(AND(INDEX($E$8:$CE$57, MATCH($C39, $C$8:$C$57, 0), (COLUMNS($DC39:DC39)-1)*5 + 1) = INDEX($E$5:$CE$5, 1, (COLUMNS($DC39:DC39)-1)*5 + 1), INDEX($E$8:$CE$57, MATCH($C39, $C$8:$C$57, 0), (COLUMNS($DC39:DC39)-1)*5 + 4) = "F"), INDEX($CZ$8:$CZ$23, COLUMNS($DC39:DC39)), "0"), "")</f>
        <v>0</v>
      </c>
      <c r="DD39" s="390" t="str">
        <f t="array" ref="DD39">IFERROR(IF(AND(INDEX($E$8:$CE$57, MATCH($C39, $C$8:$C$57, 0), (COLUMNS($DC39:DD39)-1)*5 + 1) = INDEX($E$5:$CE$5, 1, (COLUMNS($DC39:DD39)-1)*5 + 1), INDEX($E$8:$CE$57, MATCH($C39, $C$8:$C$57, 0), (COLUMNS($DC39:DD39)-1)*5 + 4) = "F"), INDEX($CZ$8:$CZ$23, COLUMNS($DC39:DD39)), "0"), "")</f>
        <v>0</v>
      </c>
      <c r="DE39" s="390" t="str">
        <f t="array" ref="DE39">IFERROR(IF(AND(INDEX($E$8:$CE$57, MATCH($C39, $C$8:$C$57, 0), (COLUMNS($DC39:DE39)-1)*5 + 1) = INDEX($E$5:$CE$5, 1, (COLUMNS($DC39:DE39)-1)*5 + 1), INDEX($E$8:$CE$57, MATCH($C39, $C$8:$C$57, 0), (COLUMNS($DC39:DE39)-1)*5 + 4) = "F"), INDEX($CZ$8:$CZ$23, COLUMNS($DC39:DE39)), "0"), "")</f>
        <v>0</v>
      </c>
      <c r="DF39" s="390" t="str">
        <f t="array" ref="DF39">IFERROR(IF(AND(INDEX($E$8:$CE$57, MATCH($C39, $C$8:$C$57, 0), (COLUMNS($DC39:DF39)-1)*5 + 1) = INDEX($E$5:$CE$5, 1, (COLUMNS($DC39:DF39)-1)*5 + 1), INDEX($E$8:$CE$57, MATCH($C39, $C$8:$C$57, 0), (COLUMNS($DC39:DF39)-1)*5 + 4) = "F"), INDEX($CZ$8:$CZ$23, COLUMNS($DC39:DF39)), "0"), "")</f>
        <v>0</v>
      </c>
      <c r="DG39" s="390" t="str">
        <f t="array" ref="DG39">IFERROR(IF(AND(INDEX($E$8:$CE$57, MATCH($C39, $C$8:$C$57, 0), (COLUMNS($DC39:DG39)-1)*5 + 1) = INDEX($E$5:$CE$5, 1, (COLUMNS($DC39:DG39)-1)*5 + 1), INDEX($E$8:$CE$57, MATCH($C39, $C$8:$C$57, 0), (COLUMNS($DC39:DG39)-1)*5 + 4) = "F"), INDEX($CZ$8:$CZ$23, COLUMNS($DC39:DG39)), "0"), "")</f>
        <v>0</v>
      </c>
      <c r="DH39" s="390" t="str">
        <f t="array" ref="DH39">IFERROR(IF(AND(INDEX($E$8:$CE$57, MATCH($C39, $C$8:$C$57, 0), (COLUMNS($DC39:DH39)-1)*5 + 1) = INDEX($E$5:$CE$5, 1, (COLUMNS($DC39:DH39)-1)*5 + 1), INDEX($E$8:$CE$57, MATCH($C39, $C$8:$C$57, 0), (COLUMNS($DC39:DH39)-1)*5 + 4) = "F"), INDEX($CZ$8:$CZ$23, COLUMNS($DC39:DH39)), "0"), "")</f>
        <v>0</v>
      </c>
      <c r="DI39" s="390" t="str">
        <f t="array" ref="DI39">IFERROR(IF(AND(INDEX($E$8:$CE$57, MATCH($C39, $C$8:$C$57, 0), (COLUMNS($DC39:DI39)-1)*5 + 1) = INDEX($E$5:$CE$5, 1, (COLUMNS($DC39:DI39)-1)*5 + 1), INDEX($E$8:$CE$57, MATCH($C39, $C$8:$C$57, 0), (COLUMNS($DC39:DI39)-1)*5 + 4) = "F"), INDEX($CZ$8:$CZ$23, COLUMNS($DC39:DI39)), "0"), "")</f>
        <v>0</v>
      </c>
      <c r="DJ39" s="390" t="str">
        <f t="array" ref="DJ39">IFERROR(IF(AND(INDEX($E$8:$CE$57, MATCH($C39, $C$8:$C$57, 0), (COLUMNS($DC39:DJ39)-1)*5 + 1) = INDEX($E$5:$CE$5, 1, (COLUMNS($DC39:DJ39)-1)*5 + 1), INDEX($E$8:$CE$57, MATCH($C39, $C$8:$C$57, 0), (COLUMNS($DC39:DJ39)-1)*5 + 4) = "F"), INDEX($CZ$8:$CZ$23, COLUMNS($DC39:DJ39)), "0"), "")</f>
        <v>0</v>
      </c>
      <c r="DK39" s="390" t="str">
        <f t="array" ref="DK39">IFERROR(IF(AND(INDEX($E$8:$CE$57, MATCH($C39, $C$8:$C$57, 0), (COLUMNS($DC39:DK39)-1)*5 + 1) = INDEX($E$5:$CE$5, 1, (COLUMNS($DC39:DK39)-1)*5 + 1), INDEX($E$8:$CE$57, MATCH($C39, $C$8:$C$57, 0), (COLUMNS($DC39:DK39)-1)*5 + 4) = "F"), INDEX($CZ$8:$CZ$23, COLUMNS($DC39:DK39)), "0"), "")</f>
        <v>0</v>
      </c>
      <c r="DL39" s="390" t="str">
        <f t="array" ref="DL39">IFERROR(IF(AND(INDEX($E$8:$CE$57, MATCH($C39, $C$8:$C$57, 0), (COLUMNS($DC39:DL39)-1)*5 + 1) = INDEX($E$5:$CE$5, 1, (COLUMNS($DC39:DL39)-1)*5 + 1), INDEX($E$8:$CE$57, MATCH($C39, $C$8:$C$57, 0), (COLUMNS($DC39:DL39)-1)*5 + 4) = "F"), INDEX($CZ$8:$CZ$23, COLUMNS($DC39:DL39)), "0"), "")</f>
        <v>0</v>
      </c>
      <c r="DM39" s="390">
        <f t="array" ref="DM39">IFERROR(IF(AND(INDEX($E$8:$CE$57, MATCH($C39, $C$8:$C$57, 0), (COLUMNS($DC39:DM39)-1)*5 + 1) = INDEX($E$5:$CE$5, 1, (COLUMNS($DC39:DM39)-1)*5 + 1), INDEX($E$8:$CE$57, MATCH($C39, $C$8:$C$57, 0), (COLUMNS($DC39:DM39)-1)*5 + 4) = "F"), INDEX($CZ$8:$CZ$23, COLUMNS($DC39:DM39)), "0"), "")</f>
        <v>156.87</v>
      </c>
      <c r="DN39" s="390" t="str">
        <f t="array" ref="DN39">IFERROR(IF(AND(INDEX($E$8:$CE$57, MATCH($C39, $C$8:$C$57, 0), (COLUMNS($DC39:DN39)-1)*5 + 1) = INDEX($E$5:$CE$5, 1, (COLUMNS($DC39:DN39)-1)*5 + 1), INDEX($E$8:$CE$57, MATCH($C39, $C$8:$C$57, 0), (COLUMNS($DC39:DN39)-1)*5 + 4) = "F"), INDEX($CZ$8:$CZ$23, COLUMNS($DC39:DN39)), "0"), "")</f>
        <v>0</v>
      </c>
      <c r="DO39" s="390" t="str">
        <f t="array" ref="DO39">IFERROR(IF(AND(INDEX($E$8:$CE$57, MATCH($C39, $C$8:$C$57, 0), (COLUMNS($DC39:DO39)-1)*5 + 1) = INDEX($E$5:$CE$5, 1, (COLUMNS($DC39:DO39)-1)*5 + 1), INDEX($E$8:$CE$57, MATCH($C39, $C$8:$C$57, 0), (COLUMNS($DC39:DO39)-1)*5 + 4) = "F"), INDEX($CZ$8:$CZ$23, COLUMNS($DC39:DO39)), "0"), "")</f>
        <v>0</v>
      </c>
      <c r="DP39" s="390" t="str">
        <f t="array" ref="DP39">IFERROR(IF(AND(INDEX($E$8:$CE$57, MATCH($C39, $C$8:$C$57, 0), (COLUMNS($DC39:DP39)-1)*5 + 1) = INDEX($E$5:$CE$5, 1, (COLUMNS($DC39:DP39)-1)*5 + 1), INDEX($E$8:$CE$57, MATCH($C39, $C$8:$C$57, 0), (COLUMNS($DC39:DP39)-1)*5 + 4) = "F"), INDEX($CZ$8:$CZ$23, COLUMNS($DC39:DP39)), "0"), "")</f>
        <v>0</v>
      </c>
      <c r="DQ39" s="390" t="str">
        <f t="array" ref="DQ39">IFERROR(IF(AND(INDEX($E$8:$CE$57, MATCH($C39, $C$8:$C$57, 0), (COLUMNS($DC39:DQ39)-1)*5 + 1) = INDEX($E$5:$CE$5, 1, (COLUMNS($DC39:DQ39)-1)*5 + 1), INDEX($E$8:$CE$57, MATCH($C39, $C$8:$C$57, 0), (COLUMNS($DC39:DQ39)-1)*5 + 4) = "F"), INDEX($CZ$8:$CZ$23, COLUMNS($DC39:DQ39)), "0"), "")</f>
        <v>0</v>
      </c>
      <c r="DR39" s="390" t="str">
        <f t="array" ref="DR39">IFERROR(IF(AND(INDEX($E$8:$CE$57, MATCH($C39, $C$8:$C$57, 0), (COLUMNS($DC39:DR39)-1)*5 + 1) = INDEX($E$5:$CE$5, 1, (COLUMNS($DC39:DR39)-1)*5 + 1), INDEX($E$8:$CE$57, MATCH($C39, $C$8:$C$57, 0), (COLUMNS($DC39:DR39)-1)*5 + 4) = "F"), INDEX($CZ$8:$CZ$23, COLUMNS($DC39:DR39)), "0"), "")</f>
        <v>0</v>
      </c>
      <c r="DT39" s="537" t="str">
        <f>SEMANA2[[#This Row],[COD]]</f>
        <v>COD 32</v>
      </c>
      <c r="DU39" s="390" t="str">
        <f t="array" ref="DU39">IFERROR(IF(AND(INDEX($E$8:$CE$57, MATCH($C39, $C$8:$C$57, 0), (COLUMNS($DU39:DU39)-1)*5 + 1) = INDEX($E$5:$CE$5, 1, (COLUMNS($DU39:DU39)-1)*5 + 1), INDEX($E$8:$CE$57, MATCH($C39, $C$8:$C$57, 0), (COLUMNS($DU39:DU39)-1)*5 + 4) = "SF"), INDEX($CZ$8:$CZ$23, COLUMNS($DU39:DU39)), "0"), "")</f>
        <v>0</v>
      </c>
      <c r="DV39" s="390" t="str">
        <f t="array" ref="DV39">IFERROR(IF(AND(INDEX($E$8:$CE$57, MATCH($C39, $C$8:$C$57, 0), (COLUMNS($DU39:DV39)-1)*5 + 1) = INDEX($E$5:$CE$5, 1, (COLUMNS($DU39:DV39)-1)*5 + 1), INDEX($E$8:$CE$57, MATCH($C39, $C$8:$C$57, 0), (COLUMNS($DU39:DV39)-1)*5 + 4) = "SF"), INDEX($CZ$8:$CZ$23, COLUMNS($DU39:DV39)), "0"), "")</f>
        <v>0</v>
      </c>
      <c r="DW39" s="390" t="str">
        <f t="array" ref="DW39">IFERROR(IF(AND(INDEX($E$8:$CE$57, MATCH($C39, $C$8:$C$57, 0), (COLUMNS($DU39:DW39)-1)*5 + 1) = INDEX($E$5:$CE$5, 1, (COLUMNS($DU39:DW39)-1)*5 + 1), INDEX($E$8:$CE$57, MATCH($C39, $C$8:$C$57, 0), (COLUMNS($DU39:DW39)-1)*5 + 4) = "SF"), INDEX($CZ$8:$CZ$23, COLUMNS($DU39:DW39)), "0"), "")</f>
        <v>0</v>
      </c>
      <c r="DX39" s="390" t="str">
        <f t="array" ref="DX39">IFERROR(IF(AND(INDEX($E$8:$CE$57, MATCH($C39, $C$8:$C$57, 0), (COLUMNS($DU39:DX39)-1)*5 + 1) = INDEX($E$5:$CE$5, 1, (COLUMNS($DU39:DX39)-1)*5 + 1), INDEX($E$8:$CE$57, MATCH($C39, $C$8:$C$57, 0), (COLUMNS($DU39:DX39)-1)*5 + 4) = "SF"), INDEX($CZ$8:$CZ$23, COLUMNS($DU39:DX39)), "0"), "")</f>
        <v>0</v>
      </c>
      <c r="DY39" s="390" t="str">
        <f t="array" ref="DY39">IFERROR(IF(AND(INDEX($E$8:$CE$57, MATCH($C39, $C$8:$C$57, 0), (COLUMNS($DU39:DY39)-1)*5 + 1) = INDEX($E$5:$CE$5, 1, (COLUMNS($DU39:DY39)-1)*5 + 1), INDEX($E$8:$CE$57, MATCH($C39, $C$8:$C$57, 0), (COLUMNS($DU39:DY39)-1)*5 + 4) = "SF"), INDEX($CZ$8:$CZ$23, COLUMNS($DU39:DY39)), "0"), "")</f>
        <v>0</v>
      </c>
      <c r="DZ39" s="390" t="str">
        <f t="array" ref="DZ39">IFERROR(IF(AND(INDEX($E$8:$CE$57, MATCH($C39, $C$8:$C$57, 0), (COLUMNS($DU39:DZ39)-1)*5 + 1) = INDEX($E$5:$CE$5, 1, (COLUMNS($DU39:DZ39)-1)*5 + 1), INDEX($E$8:$CE$57, MATCH($C39, $C$8:$C$57, 0), (COLUMNS($DU39:DZ39)-1)*5 + 4) = "SF"), INDEX($CZ$8:$CZ$23, COLUMNS($DU39:DZ39)), "0"), "")</f>
        <v>0</v>
      </c>
      <c r="EA39" s="390" t="str">
        <f t="array" ref="EA39">IFERROR(IF(AND(INDEX($E$8:$CE$57, MATCH($C39, $C$8:$C$57, 0), (COLUMNS($DU39:EA39)-1)*5 + 1) = INDEX($E$5:$CE$5, 1, (COLUMNS($DU39:EA39)-1)*5 + 1), INDEX($E$8:$CE$57, MATCH($C39, $C$8:$C$57, 0), (COLUMNS($DU39:EA39)-1)*5 + 4) = "SF"), INDEX($CZ$8:$CZ$23, COLUMNS($DU39:EA39)), "0"), "")</f>
        <v>0</v>
      </c>
      <c r="EB39" s="390" t="str">
        <f t="array" ref="EB39">IFERROR(IF(AND(INDEX($E$8:$CE$57, MATCH($C39, $C$8:$C$57, 0), (COLUMNS($DU39:EB39)-1)*5 + 1) = INDEX($E$5:$CE$5, 1, (COLUMNS($DU39:EB39)-1)*5 + 1), INDEX($E$8:$CE$57, MATCH($C39, $C$8:$C$57, 0), (COLUMNS($DU39:EB39)-1)*5 + 4) = "SF"), INDEX($CZ$8:$CZ$23, COLUMNS($DU39:EB39)), "0"), "")</f>
        <v>0</v>
      </c>
      <c r="EC39" s="390" t="str">
        <f t="array" ref="EC39">IFERROR(IF(AND(INDEX($E$8:$CE$57, MATCH($C39, $C$8:$C$57, 0), (COLUMNS($DU39:EC39)-1)*5 + 1) = INDEX($E$5:$CE$5, 1, (COLUMNS($DU39:EC39)-1)*5 + 1), INDEX($E$8:$CE$57, MATCH($C39, $C$8:$C$57, 0), (COLUMNS($DU39:EC39)-1)*5 + 4) = "SF"), INDEX($CZ$8:$CZ$23, COLUMNS($DU39:EC39)), "0"), "")</f>
        <v>0</v>
      </c>
      <c r="ED39" s="390" t="str">
        <f t="array" ref="ED39">IFERROR(IF(AND(INDEX($E$8:$CE$57, MATCH($C39, $C$8:$C$57, 0), (COLUMNS($DU39:ED39)-1)*5 + 1) = INDEX($E$5:$CE$5, 1, (COLUMNS($DU39:ED39)-1)*5 + 1), INDEX($E$8:$CE$57, MATCH($C39, $C$8:$C$57, 0), (COLUMNS($DU39:ED39)-1)*5 + 4) = "SF"), INDEX($CZ$8:$CZ$23, COLUMNS($DU39:ED39)), "0"), "")</f>
        <v>0</v>
      </c>
      <c r="EE39" s="390" t="str">
        <f t="array" ref="EE39">IFERROR(IF(AND(INDEX($E$8:$CE$57, MATCH($C39, $C$8:$C$57, 0), (COLUMNS($DU39:EE39)-1)*5 + 1) = INDEX($E$5:$CE$5, 1, (COLUMNS($DU39:EE39)-1)*5 + 1), INDEX($E$8:$CE$57, MATCH($C39, $C$8:$C$57, 0), (COLUMNS($DU39:EE39)-1)*5 + 4) = "SF"), INDEX($CZ$8:$CZ$23, COLUMNS($DU39:EE39)), "0"), "")</f>
        <v>0</v>
      </c>
      <c r="EF39" s="390" t="str">
        <f t="array" ref="EF39">IFERROR(IF(AND(INDEX($E$8:$CE$57, MATCH($C39, $C$8:$C$57, 0), (COLUMNS($DU39:EF39)-1)*5 + 1) = INDEX($E$5:$CE$5, 1, (COLUMNS($DU39:EF39)-1)*5 + 1), INDEX($E$8:$CE$57, MATCH($C39, $C$8:$C$57, 0), (COLUMNS($DU39:EF39)-1)*5 + 4) = "SF"), INDEX($CZ$8:$CZ$23, COLUMNS($DU39:EF39)), "0"), "")</f>
        <v>0</v>
      </c>
      <c r="EG39" s="390" t="str">
        <f t="array" ref="EG39">IFERROR(IF(AND(INDEX($E$8:$CE$57, MATCH($C39, $C$8:$C$57, 0), (COLUMNS($DU39:EG39)-1)*5 + 1) = INDEX($E$5:$CE$5, 1, (COLUMNS($DU39:EG39)-1)*5 + 1), INDEX($E$8:$CE$57, MATCH($C39, $C$8:$C$57, 0), (COLUMNS($DU39:EG39)-1)*5 + 4) = "SF"), INDEX($CZ$8:$CZ$23, COLUMNS($DU39:EG39)), "0"), "")</f>
        <v>0</v>
      </c>
      <c r="EH39" s="390" t="str">
        <f t="array" ref="EH39">IFERROR(IF(AND(INDEX($E$8:$CE$57, MATCH($C39, $C$8:$C$57, 0), (COLUMNS($DU39:EH39)-1)*5 + 1) = INDEX($E$5:$CE$5, 1, (COLUMNS($DU39:EH39)-1)*5 + 1), INDEX($E$8:$CE$57, MATCH($C39, $C$8:$C$57, 0), (COLUMNS($DU39:EH39)-1)*5 + 4) = "SF"), INDEX($CZ$8:$CZ$23, COLUMNS($DU39:EH39)), "0"), "")</f>
        <v>0</v>
      </c>
      <c r="EI39" s="390" t="str">
        <f t="array" ref="EI39">IFERROR(IF(AND(INDEX($E$8:$CE$57, MATCH($C39, $C$8:$C$57, 0), (COLUMNS($DU39:EI39)-1)*5 + 1) = INDEX($E$5:$CE$5, 1, (COLUMNS($DU39:EI39)-1)*5 + 1), INDEX($E$8:$CE$57, MATCH($C39, $C$8:$C$57, 0), (COLUMNS($DU39:EI39)-1)*5 + 4) = "SF"), INDEX($CZ$8:$CZ$23, COLUMNS($DU39:EI39)), "0"), "")</f>
        <v>0</v>
      </c>
      <c r="EJ39" s="390" t="str">
        <f t="array" ref="EJ39">IFERROR(IF(AND(INDEX($E$8:$CE$57, MATCH($C39, $C$8:$C$57, 0), (COLUMNS($DU39:EJ39)-1)*5 + 1) = INDEX($E$5:$CE$5, 1, (COLUMNS($DU39:EJ39)-1)*5 + 1), INDEX($E$8:$CE$57, MATCH($C39, $C$8:$C$57, 0), (COLUMNS($DU39:EJ39)-1)*5 + 4) = "SF"), INDEX($CZ$8:$CZ$23, COLUMNS($DU39:EJ39)), "0"), "")</f>
        <v>0</v>
      </c>
    </row>
    <row r="40" spans="1:140" ht="20.100000000000001" customHeight="1" x14ac:dyDescent="0.35">
      <c r="A40" s="515"/>
      <c r="B40" s="444">
        <f>IF(SEMANA2[[#This Row],[COD]]&lt;&gt;"",B39+1,"")</f>
        <v>33</v>
      </c>
      <c r="C40" s="554" t="s">
        <v>95</v>
      </c>
      <c r="D40" s="410" t="str">
        <f t="array" ref="D40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40" s="411">
        <v>9</v>
      </c>
      <c r="F40" s="412">
        <v>5</v>
      </c>
      <c r="G40" s="412">
        <v>2</v>
      </c>
      <c r="H40" s="412"/>
      <c r="I40" s="534">
        <f t="shared" ref="I40:I57" si="18">SUM(IF(E40=E$5,4,0),IF(E40&amp;F40=E$5&amp;F$5,1,0),
IF(AND(E40=E$5,F$6&gt;=$D$115),1,0),
IF(AND(F40=E$5,F$6&gt;=$D$115),1,0),
IF(AND(G40=E$5,F$6&gt;=$D$115),1,0),
IF(E40&amp;H40=I$5,1,0),
IF(F40=E$5,2,0),
IF(G40=E$5,1,0),
IF(OR(E40&amp;F40&amp;G40=E$5&amp;F$5&amp;G$5,E40&amp;F40&amp;G40=E$5&amp;G$5&amp;F$5,E40&amp;F40&amp;G40=F$5&amp;E$5&amp;G$5,E40&amp;F40&amp;G40=F$5&amp;G$5&amp;E$5,E40&amp;F40&amp;G40=G$5&amp;E$5&amp;F$5,E40&amp;F40&amp;G40=G$5&amp;F$5&amp;E$5),2,0),IF(AND(E40=E$5,F$6&gt;=$D$129),1,0),IF(AND(F40=E$5,F$6&gt;=$D$129),1,0),IF(AND(G40=E$5,F$6&gt;=$D$129),1,0),IF(E40&amp;H40=H$5,4,0),IF(AND(E40=E$5,F$6&lt;=$D$104),-0.5,0),IF(AND(F40=E$5,F$6&lt;=$D$104),-0.5,0),IF(AND(G40=E$5,F$6&lt;=$D$104),-0.5,0))</f>
        <v>0</v>
      </c>
      <c r="J40" s="411">
        <v>7</v>
      </c>
      <c r="K40" s="412">
        <v>2</v>
      </c>
      <c r="L40" s="412">
        <v>1</v>
      </c>
      <c r="M40" s="412"/>
      <c r="N40" s="534">
        <f t="shared" ref="N40:N57" si="19">SUM(IF(J40=J$5,4,0),IF(J40&amp;K40=J$5&amp;K$5,1,0),
IF(AND(J40=J$5,K$6&gt;=$D$115),1,0),
IF(AND(K40=J$5,K$6&gt;=$D$115),1,0),
IF(AND(L40=J$5,K$6&gt;=$D$115),1,0),
IF(J40&amp;M40=N$5,1,0),
IF(K40=J$5,2,0),
IF(L40=J$5,1,0),
IF(OR(J40&amp;K40&amp;L40=J$5&amp;K$5&amp;L$5,J40&amp;K40&amp;L40=J$5&amp;L$5&amp;K$5,J40&amp;K40&amp;L40=K$5&amp;J$5&amp;L$5,J40&amp;K40&amp;L40=K$5&amp;L$5&amp;J$5,J40&amp;K40&amp;L40=L$5&amp;J$5&amp;K$5,J40&amp;K40&amp;L40=L$5&amp;K$5&amp;J$5),2,0),IF(AND(J40=J$5,K$6&gt;=$D$129),1,0),IF(AND(K40=J$5,K$6&gt;=$D$129),1,0),IF(AND(L40=J$5,K$6&gt;=$D$129),1,0),IF(J40&amp;M40=M$5,4,0),IF(AND(J40=J$5,K$6&lt;=$D$104),-0.5,0),IF(AND(K40=J$5,K$6&lt;=$D$104),-0.5,0),IF(AND(L40=J$5,K$6&lt;=$D$104),-0.5,0))</f>
        <v>5</v>
      </c>
      <c r="O40" s="411">
        <v>5</v>
      </c>
      <c r="P40" s="412">
        <v>1</v>
      </c>
      <c r="Q40" s="412">
        <v>7</v>
      </c>
      <c r="R40" s="412"/>
      <c r="S40" s="534">
        <f t="shared" ref="S40:S57" si="20">SUM(IF(O40=O$5,4,0),IF(O40&amp;P40=O$5&amp;P$5,1,0),
IF(AND(O40=O$5,P$6&gt;=$D$115),1,0),
IF(AND(P40=O$5,P$6&gt;=$D$115),1,0),
IF(AND(Q40=O$5,P$6&gt;=$D$115),1,0),
IF(O40&amp;R40=S$5,1,0),
IF(P40=O$5,2,0),
IF(Q40=O$5,1,0),
IF(OR(O40&amp;P40&amp;Q40=O$5&amp;P$5&amp;Q$5,O40&amp;P40&amp;Q40=O$5&amp;Q$5&amp;P$5,O40&amp;P40&amp;Q40=P$5&amp;O$5&amp;Q$5,O40&amp;P40&amp;Q40=P$5&amp;Q$5&amp;O$5,O40&amp;P40&amp;Q40=Q$5&amp;O$5&amp;P$5,O40&amp;P40&amp;Q40=Q$5&amp;P$5&amp;O$5),2,0),IF(AND(O40=O$5,P$6&gt;=$D$129),1,0),IF(AND(P40=O$5,P$6&gt;=$D$129),1,0),IF(AND(Q40=O$5,P$6&gt;=$D$129),1,0),IF(O40&amp;R40=R$5,4,0),IF(AND(O40=O$5,P$6&lt;=$D$104),-0.5,0),IF(AND(P40=O$5,P$6&lt;=$D$104),-0.5,0),IF(AND(Q40=O$5,P$6&lt;=$D$104),-0.5,0))</f>
        <v>2</v>
      </c>
      <c r="T40" s="411">
        <v>5</v>
      </c>
      <c r="U40" s="412">
        <v>4</v>
      </c>
      <c r="V40" s="412">
        <v>3</v>
      </c>
      <c r="W40" s="412"/>
      <c r="X40" s="534">
        <f t="shared" ref="X40:X57" si="21">SUM(IF(T40=T$5,4,0),IF(T40&amp;U40=T$5&amp;U$5,1,0),
IF(AND(T40=T$5,U$6&gt;=$D$115),1,0),
IF(AND(U40=T$5,U$6&gt;=$D$115),1,0),
IF(AND(V40=T$5,U$6&gt;=$D$115),1,0),
IF(T40&amp;W40=X$5,1,0),
IF(U40=T$5,2,0),
IF(V40=T$5,1,0),
IF(OR(T40&amp;U40&amp;V40=T$5&amp;U$5&amp;V$5,T40&amp;U40&amp;V40=T$5&amp;V$5&amp;U$5,T40&amp;U40&amp;V40=U$5&amp;T$5&amp;V$5,T40&amp;U40&amp;V40=U$5&amp;V$5&amp;T$5,T40&amp;U40&amp;V40=V$5&amp;T$5&amp;U$5,T40&amp;U40&amp;V40=V$5&amp;U$5&amp;T$5),2,0),IF(AND(T40=T$5,U$6&gt;=$D$129),1,0),IF(AND(U40=T$5,U$6&gt;=$D$129),1,0),IF(AND(V40=T$5,U$6&gt;=$D$129),1,0),IF(T40&amp;W40=W$5,4,0),IF(AND(T40=T$5,U$6&lt;=$D$104),-0.5,0),IF(AND(U40=T$5,U$6&lt;=$D$104),-0.5,0),IF(AND(V40=T$5,U$6&lt;=$D$104),-0.5,0))</f>
        <v>0</v>
      </c>
      <c r="Y40" s="411">
        <v>4</v>
      </c>
      <c r="Z40" s="412">
        <v>7</v>
      </c>
      <c r="AA40" s="412">
        <v>1</v>
      </c>
      <c r="AB40" s="412"/>
      <c r="AC40" s="534">
        <f t="shared" ref="AC40:AC57" si="22">SUM(IF(Y40=Y$5,4,0),IF(Y40&amp;Z40=Y$5&amp;Z$5,1,0),
IF(AND(Y40=Y$5,Z$6&gt;=$D$115),1,0),
IF(AND(Z40=Y$5,Z$6&gt;=$D$115),1,0),
IF(AND(AA40=Y$5,Z$6&gt;=$D$115),1,0),
IF(Y40&amp;AB40=AC$5,1,0),
IF(Z40=Y$5,2,0),
IF(AA40=Y$5,1,0),
IF(OR(Y40&amp;Z40&amp;AA40=Y$5&amp;Z$5&amp;AA$5,Y40&amp;Z40&amp;AA40=Y$5&amp;AA$5&amp;Z$5,Y40&amp;Z40&amp;AA40=Z$5&amp;Y$5&amp;AA$5,Y40&amp;Z40&amp;AA40=Z$5&amp;AA$5&amp;Y$5,Y40&amp;Z40&amp;AA40=AA$5&amp;Y$5&amp;Z$5,Y40&amp;Z40&amp;AA40=AA$5&amp;Z$5&amp;Y$5),2,0),IF(AND(Y40=Y$5,Z$6&gt;=$D$129),1,0),IF(AND(Z40=Y$5,Z$6&gt;=$D$129),1,0),IF(AND(AA40=Y$5,Z$6&gt;=$D$129),1,0),IF(Y40&amp;AB40=AB$5,4,0),IF(AND(Y40=Y$5,Z$6&lt;=$D$104),-0.5,0),IF(AND(Z40=Y$5,Z$6&lt;=$D$104),-0.5,0),IF(AND(AA40=Y$5,Z$6&lt;=$D$104),-0.5,0))</f>
        <v>0</v>
      </c>
      <c r="AD40" s="411">
        <v>5</v>
      </c>
      <c r="AE40" s="412">
        <v>4</v>
      </c>
      <c r="AF40" s="412">
        <v>10</v>
      </c>
      <c r="AG40" s="412"/>
      <c r="AH40" s="534">
        <f t="shared" ref="AH40:AH57" si="23">SUM(IF(AD40=AD$5,4,0),IF(AD40&amp;AE40=AD$5&amp;AE$5,1,0),
IF(AND(AD40=AD$5,AE$6&gt;=$D$115),1,0),
IF(AND(AE40=AD$5,AE$6&gt;=$D$115),1,0),
IF(AND(AF40=AD$5,AE$6&gt;=$D$115),1,0),
IF(AD40&amp;AG40=AH$5,1,0),
IF(AE40=AD$5,2,0),
IF(AF40=AD$5,1,0),
IF(OR(AD40&amp;AE40&amp;AF40=AD$5&amp;AE$5&amp;AF$5,AD40&amp;AE40&amp;AF40=AD$5&amp;AF$5&amp;AE$5,AD40&amp;AE40&amp;AF40=AE$5&amp;AD$5&amp;AF$5,AD40&amp;AE40&amp;AF40=AE$5&amp;AF$5&amp;AD$5,AD40&amp;AE40&amp;AF40=AF$5&amp;AD$5&amp;AE$5,AD40&amp;AE40&amp;AF40=AF$5&amp;AE$5&amp;AD$5),2,0),IF(AND(AD40=AD$5,AE$6&gt;=$D$129),1,0),IF(AND(AE40=AD$5,AE$6&gt;=$D$129),1,0),IF(AND(AF40=AD$5,AE$6&gt;=$D$129),1,0),IF(AD40&amp;AG40=AG$5,4,0),IF(AND(AD40=AD$5,AE$6&lt;=$D$104),-0.5,0),IF(AND(AE40=AD$5,AE$6&lt;=$D$104),-0.5,0),IF(AND(AF40=AD$5,AE$6&lt;=$D$104),-0.5,0))</f>
        <v>0</v>
      </c>
      <c r="AI40" s="411">
        <v>7</v>
      </c>
      <c r="AJ40" s="412">
        <v>6</v>
      </c>
      <c r="AK40" s="412">
        <v>9</v>
      </c>
      <c r="AL40" s="412" t="s">
        <v>254</v>
      </c>
      <c r="AM40" s="534">
        <f t="shared" ref="AM40:AM57" si="24">SUM(IF(AI40=AI$5,4,0),IF(AI40&amp;AJ40=AI$5&amp;AJ$5,1,0),
IF(AND(AI40=AI$5,AJ$6&gt;=$D$115),1,0),
IF(AND(AJ40=AI$5,AJ$6&gt;=$D$115),1,0),
IF(AND(AK40=AI$5,AJ$6&gt;=$D$115),1,0),
IF(AI40&amp;AL40=AM$5,1,0),
IF(AJ40=AI$5,2,0),
IF(AK40=AI$5,1,0),
IF(OR(AI40&amp;AJ40&amp;AK40=AI$5&amp;AJ$5&amp;AK$5,AI40&amp;AJ40&amp;AK40=AI$5&amp;AK$5&amp;AJ$5,AI40&amp;AJ40&amp;AK40=AJ$5&amp;AI$5&amp;AK$5,AI40&amp;AJ40&amp;AK40=AJ$5&amp;AK$5&amp;AI$5,AI40&amp;AJ40&amp;AK40=AK$5&amp;AI$5&amp;AJ$5,AI40&amp;AJ40&amp;AK40=AK$5&amp;AJ$5&amp;AI$5),2,0),IF(AND(AI40=AI$5,AJ$6&gt;=$D$129),1,0),IF(AND(AJ40=AI$5,AJ$6&gt;=$D$129),1,0),IF(AND(AK40=AI$5,AJ$6&gt;=$D$129),1,0),IF(AI40&amp;AL40=AL$5,4,0),IF(AND(AI40=AI$5,AJ$6&lt;=$D$104),-0.5,0),IF(AND(AJ40=AI$5,AJ$6&lt;=$D$104),-0.5,0),IF(AND(AK40=AI$5,AJ$6&lt;=$D$104),-0.5,0))</f>
        <v>4</v>
      </c>
      <c r="AN40" s="411">
        <v>1</v>
      </c>
      <c r="AO40" s="412">
        <v>8</v>
      </c>
      <c r="AP40" s="412">
        <v>2</v>
      </c>
      <c r="AQ40" s="412"/>
      <c r="AR40" s="534">
        <f t="shared" ref="AR40:AR57" si="25">SUM(IF(AN40=AN$5,4,0),IF(AN40&amp;AO40=AN$5&amp;AO$5,1,0),
IF(AND(AN40=AN$5,AO$6&gt;=$D$115),1,0),
IF(AND(AO40=AN$5,AO$6&gt;=$D$115),1,0),
IF(AND(AP40=AN$5,AO$6&gt;=$D$115),1,0),
IF(AN40&amp;AQ40=AR$5,1,0),
IF(AO40=AN$5,2,0),
IF(AP40=AN$5,1,0),
IF(OR(AN40&amp;AO40&amp;AP40=AN$5&amp;AO$5&amp;AP$5,AN40&amp;AO40&amp;AP40=AN$5&amp;AP$5&amp;AO$5,AN40&amp;AO40&amp;AP40=AO$5&amp;AN$5&amp;AP$5,AN40&amp;AO40&amp;AP40=AO$5&amp;AP$5&amp;AN$5,AN40&amp;AO40&amp;AP40=AP$5&amp;AN$5&amp;AO$5,AN40&amp;AO40&amp;AP40=AP$5&amp;AO$5&amp;AN$5),2,0),IF(AND(AN40=AN$5,AO$6&gt;=$D$129),1,0),IF(AND(AO40=AN$5,AO$6&gt;=$D$129),1,0),IF(AND(AP40=AN$5,AO$6&gt;=$D$129),1,0),IF(AN40&amp;AQ40=AQ$5,4,0),IF(AND(AN40=AN$5,AO$6&lt;=$D$104),-0.5,0),IF(AND(AO40=AN$5,AO$6&lt;=$D$104),-0.5,0),IF(AND(AP40=AN$5,AO$6&lt;=$D$104),-0.5,0))</f>
        <v>1.5</v>
      </c>
      <c r="AS40" s="411">
        <v>11</v>
      </c>
      <c r="AT40" s="412">
        <v>2</v>
      </c>
      <c r="AU40" s="412">
        <v>6</v>
      </c>
      <c r="AV40" s="412"/>
      <c r="AW40" s="534">
        <f t="shared" ref="AW40:AW57" si="26">SUM(IF(AS40=AS$5,4,0),IF(AS40&amp;AT40=AS$5&amp;AT$5,1,0),
IF(AND(AS40=AS$5,AT$6&gt;=$D$115),1,0),
IF(AND(AT40=AS$5,AT$6&gt;=$D$115),1,0),
IF(AND(AU40=AS$5,AT$6&gt;=$D$115),1,0),
IF(AS40&amp;AV40=AW$5,1,0),
IF(AT40=AS$5,2,0),
IF(AU40=AS$5,1,0),
IF(OR(AS40&amp;AT40&amp;AU40=AS$5&amp;AT$5&amp;AU$5,AS40&amp;AT40&amp;AU40=AS$5&amp;AU$5&amp;AT$5,AS40&amp;AT40&amp;AU40=AT$5&amp;AS$5&amp;AU$5,AS40&amp;AT40&amp;AU40=AT$5&amp;AU$5&amp;AS$5,AS40&amp;AT40&amp;AU40=AU$5&amp;AS$5&amp;AT$5,AS40&amp;AT40&amp;AU40=AU$5&amp;AT$5&amp;AS$5),2,0),IF(AND(AS40=AS$5,AT$6&gt;=$D$129),1,0),IF(AND(AT40=AS$5,AT$6&gt;=$D$129),1,0),IF(AND(AU40=AS$5,AT$6&gt;=$D$129),1,0),IF(AS40&amp;AV40=AV$5,4,0),IF(AND(AS40=AS$5,AT$6&lt;=$D$104),-0.5,0),IF(AND(AT40=AS$5,AT$6&lt;=$D$104),-0.5,0),IF(AND(AU40=AS$5,AT$6&lt;=$D$104),-0.5,0))</f>
        <v>2</v>
      </c>
      <c r="AX40" s="411">
        <v>1</v>
      </c>
      <c r="AY40" s="412">
        <v>10</v>
      </c>
      <c r="AZ40" s="412">
        <v>6</v>
      </c>
      <c r="BA40" s="412"/>
      <c r="BB40" s="534">
        <f t="shared" ref="BB40:BB57" si="27">SUM(IF(AX40=AX$5,4,0),IF(AX40&amp;AY40=AX$5&amp;AY$5,1,0),
IF(AND(AX40=AX$5,AY$6&gt;=$D$115),1,0),
IF(AND(AY40=AX$5,AY$6&gt;=$D$115),1,0),
IF(AND(AZ40=AX$5,AY$6&gt;=$D$115),1,0),
IF(AX40&amp;BA40=BB$5,1,0),
IF(AY40=AX$5,2,0),
IF(AZ40=AX$5,1,0),
IF(OR(AX40&amp;AY40&amp;AZ40=AX$5&amp;AY$5&amp;AZ$5,AX40&amp;AY40&amp;AZ40=AX$5&amp;AZ$5&amp;AY$5,AX40&amp;AY40&amp;AZ40=AY$5&amp;AX$5&amp;AZ$5,AX40&amp;AY40&amp;AZ40=AY$5&amp;AZ$5&amp;AX$5,AX40&amp;AY40&amp;AZ40=AZ$5&amp;AX$5&amp;AY$5,AX40&amp;AY40&amp;AZ40=AZ$5&amp;AY$5&amp;AX$5),2,0),IF(AND(AX40=AX$5,AY$6&gt;=$D$129),1,0),IF(AND(AY40=AX$5,AY$6&gt;=$D$129),1,0),IF(AND(AZ40=AX$5,AY$6&gt;=$D$129),1,0),IF(AX40&amp;BA40=BA$5,4,0),IF(AND(AX40=AX$5,AY$6&lt;=$D$104),-0.5,0),IF(AND(AY40=AX$5,AY$6&lt;=$D$104),-0.5,0),IF(AND(AZ40=AX$5,AY$6&lt;=$D$104),-0.5,0))</f>
        <v>0</v>
      </c>
      <c r="BC40" s="411">
        <v>7</v>
      </c>
      <c r="BD40" s="412">
        <v>5</v>
      </c>
      <c r="BE40" s="412">
        <v>6</v>
      </c>
      <c r="BF40" s="412" t="s">
        <v>254</v>
      </c>
      <c r="BG40" s="534">
        <f t="shared" ref="BG40:BG57" si="28">SUM(IF(BC40=BC$5,4,0),IF(BC40&amp;BD40=BC$5&amp;BD$5,1,0),
IF(AND(BC40=BC$5,BD$6&gt;=$D$115),1,0),
IF(AND(BD40=BC$5,BD$6&gt;=$D$115),1,0),
IF(AND(BE40=BC$5,BD$6&gt;=$D$115),1,0),
IF(BC40&amp;BF40=BG$5,1,0),
IF(BD40=BC$5,2,0),
IF(BE40=BC$5,1,0),
IF(OR(BC40&amp;BD40&amp;BE40=BC$5&amp;BD$5&amp;BE$5,BC40&amp;BD40&amp;BE40=BC$5&amp;BE$5&amp;BD$5,BC40&amp;BD40&amp;BE40=BD$5&amp;BC$5&amp;BE$5,BC40&amp;BD40&amp;BE40=BD$5&amp;BE$5&amp;BC$5,BC40&amp;BD40&amp;BE40=BE$5&amp;BC$5&amp;BD$5,BC40&amp;BD40&amp;BE40=BE$5&amp;BD$5&amp;BC$5),2,0),IF(AND(BC40=BC$5,BD$6&gt;=$D$129),1,0),IF(AND(BD40=BC$5,BD$6&gt;=$D$129),1,0),IF(AND(BE40=BC$5,BD$6&gt;=$D$129),1,0),IF(BC40&amp;BF40=BF$5,4,0),IF(AND(BC40=BC$5,BD$6&lt;=$D$104),-0.5,0),IF(AND(BD40=BC$5,BD$6&lt;=$D$104),-0.5,0),IF(AND(BE40=BC$5,BD$6&lt;=$D$104),-0.5,0))</f>
        <v>7</v>
      </c>
      <c r="BH40" s="411">
        <v>1</v>
      </c>
      <c r="BI40" s="412">
        <v>6</v>
      </c>
      <c r="BJ40" s="412">
        <v>2</v>
      </c>
      <c r="BK40" s="412"/>
      <c r="BL40" s="534">
        <f t="shared" ref="BL40:BL57" si="29">SUM(IF(BH40=BH$5,4,0),IF(BH40&amp;BI40=BH$5&amp;BI$5,1,0),
IF(AND(BH40=BH$5,BI$6&gt;=$D$115),1,0),
IF(AND(BI40=BH$5,BI$6&gt;=$D$115),1,0),
IF(AND(BJ40=BH$5,BI$6&gt;=$D$115),1,0),
IF(BH40&amp;BK40=BL$5,1,0),
IF(BI40=BH$5,2,0),
IF(BJ40=BH$5,1,0),
IF(OR(BH40&amp;BI40&amp;BJ40=BH$5&amp;BI$5&amp;BJ$5,BH40&amp;BI40&amp;BJ40=BH$5&amp;BJ$5&amp;BI$5,BH40&amp;BI40&amp;BJ40=BI$5&amp;BH$5&amp;BJ$5,BH40&amp;BI40&amp;BJ40=BI$5&amp;BJ$5&amp;BH$5,BH40&amp;BI40&amp;BJ40=BJ$5&amp;BH$5&amp;BI$5,BH40&amp;BI40&amp;BJ40=BJ$5&amp;BI$5&amp;BH$5),2,0),IF(AND(BH40=BH$5,BI$6&gt;=$D$129),1,0),IF(AND(BI40=BH$5,BI$6&gt;=$D$129),1,0),IF(AND(BJ40=BH$5,BI$6&gt;=$D$129),1,0),IF(BH40&amp;BK40=BK$5,4,0),IF(AND(BH40=BH$5,BI$6&lt;=$D$104),-0.5,0),IF(AND(BI40=BH$5,BI$6&lt;=$D$104),-0.5,0),IF(AND(BJ40=BH$5,BI$6&lt;=$D$104),-0.5,0))</f>
        <v>2</v>
      </c>
      <c r="BM40" s="411">
        <v>4</v>
      </c>
      <c r="BN40" s="412"/>
      <c r="BO40" s="412"/>
      <c r="BP40" s="412" t="s">
        <v>255</v>
      </c>
      <c r="BQ40" s="534">
        <f t="shared" ref="BQ40:BQ57" si="30">SUM(IF(BM40=BM$5,4,0),IF(BM40&amp;BN40=BM$5&amp;BN$5,1,0),
IF(AND(BM40=BM$5,BN$6&gt;=$D$115),1,0),
IF(AND(BN40=BM$5,BN$6&gt;=$D$115),1,0),
IF(AND(BO40=BM$5,BN$6&gt;=$D$115),1,0),
IF(BM40&amp;BP40=BQ$5,1,0),
IF(BN40=BM$5,2,0),
IF(BO40=BM$5,1,0),
IF(OR(BM40&amp;BN40&amp;BO40=BM$5&amp;BN$5&amp;BO$5,BM40&amp;BN40&amp;BO40=BM$5&amp;BO$5&amp;BN$5,BM40&amp;BN40&amp;BO40=BN$5&amp;BM$5&amp;BO$5,BM40&amp;BN40&amp;BO40=BN$5&amp;BO$5&amp;BM$5,BM40&amp;BN40&amp;BO40=BO$5&amp;BM$5&amp;BN$5,BM40&amp;BN40&amp;BO40=BO$5&amp;BN$5&amp;BM$5),2,0),IF(AND(BM40=BM$5,BN$6&gt;=$D$129),1,0),IF(AND(BN40=BM$5,BN$6&gt;=$D$129),1,0),IF(AND(BO40=BM$5,BN$6&gt;=$D$129),1,0),IF(BM40&amp;BP40=BP$5,4,0),IF(AND(BM40=BM$5,BN$6&lt;=$D$104),-0.5,0),IF(AND(BN40=BM$5,BN$6&lt;=$D$104),-0.5,0),IF(AND(BO40=BM$5,BN$6&lt;=$D$104),-0.5,0))</f>
        <v>0</v>
      </c>
      <c r="BR40" s="411">
        <v>5</v>
      </c>
      <c r="BS40" s="412">
        <v>2</v>
      </c>
      <c r="BT40" s="412">
        <v>11</v>
      </c>
      <c r="BU40" s="412"/>
      <c r="BV40" s="534">
        <f t="shared" ref="BV40:BV57" si="31">SUM(IF(BR40=BR$5,4,0),IF(BR40&amp;BS40=BR$5&amp;BS$5,1,0),
IF(AND(BR40=BR$5,BS$6&gt;=$D$115),1,0),
IF(AND(BS40=BR$5,BS$6&gt;=$D$115),1,0),
IF(AND(BT40=BR$5,BS$6&gt;=$D$115),1,0),
IF(BR40&amp;BU40=BV$5,1,0),
IF(BS40=BR$5,2,0),
IF(BT40=BR$5,1,0),
IF(OR(BR40&amp;BS40&amp;BT40=BR$5&amp;BS$5&amp;BT$5,BR40&amp;BS40&amp;BT40=BR$5&amp;BT$5&amp;BS$5,BR40&amp;BS40&amp;BT40=BS$5&amp;BR$5&amp;BT$5,BR40&amp;BS40&amp;BT40=BS$5&amp;BT$5&amp;BR$5,BR40&amp;BS40&amp;BT40=BT$5&amp;BR$5&amp;BS$5,BR40&amp;BS40&amp;BT40=BT$5&amp;BS$5&amp;BR$5),2,0),IF(AND(BR40=BR$5,BS$6&gt;=$D$129),1,0),IF(AND(BS40=BR$5,BS$6&gt;=$D$129),1,0),IF(AND(BT40=BR$5,BS$6&gt;=$D$129),1,0),IF(BR40&amp;BU40=BU$5,4,0),IF(AND(BR40=BR$5,BS$6&lt;=$D$104),-0.5,0),IF(AND(BS40=BR$5,BS$6&lt;=$D$104),-0.5,0),IF(AND(BT40=BR$5,BS$6&lt;=$D$104),-0.5,0))</f>
        <v>0</v>
      </c>
      <c r="BW40" s="411"/>
      <c r="BX40" s="412"/>
      <c r="BY40" s="412"/>
      <c r="BZ40" s="412"/>
      <c r="CA40" s="534">
        <f t="shared" ref="CA40:CA57" si="32">SUM(IF(BW40=BW$5,4,0),IF(BW40&amp;BX40=BW$5&amp;BX$5,1,0),
IF(AND(BW40=BW$5,BX$6&gt;=$D$115),1,0),
IF(AND(BX40=BW$5,BX$6&gt;=$D$115),1,0),
IF(AND(BY40=BW$5,BX$6&gt;=$D$115),1,0),
IF(BW40&amp;BZ40=CA$5,1,0),
IF(BX40=BW$5,2,0),
IF(BY40=BW$5,1,0),
IF(OR(BW40&amp;BX40&amp;BY40=BW$5&amp;BX$5&amp;BY$5,BW40&amp;BX40&amp;BY40=BW$5&amp;BY$5&amp;BX$5,BW40&amp;BX40&amp;BY40=BX$5&amp;BW$5&amp;BY$5,BW40&amp;BX40&amp;BY40=BX$5&amp;BY$5&amp;BW$5,BW40&amp;BX40&amp;BY40=BY$5&amp;BW$5&amp;BX$5,BW40&amp;BX40&amp;BY40=BY$5&amp;BX$5&amp;BW$5),2,0),IF(AND(BW40=BW$5,BX$6&gt;=$D$129),1,0),IF(AND(BX40=BW$5,BX$6&gt;=$D$129),1,0),IF(AND(BY40=BW$5,BX$6&gt;=$D$129),1,0),IF(BW40&amp;BZ40=BZ$5,4,0),IF(AND(BW40=BW$5,BX$6&lt;=$D$104),-0.5,0),IF(AND(BX40=BW$5,BX$6&lt;=$D$104),-0.5,0),IF(AND(BY40=BW$5,BX$6&lt;=$D$104),-0.5,0))</f>
        <v>0</v>
      </c>
      <c r="CB40" s="411"/>
      <c r="CC40" s="412"/>
      <c r="CD40" s="412"/>
      <c r="CE40" s="412"/>
      <c r="CF40" s="534">
        <f t="shared" ref="CF40:CF57" si="33">SUM(IF(CB40=CB$5,4,0),IF(CB40&amp;CC40=CB$5&amp;CC$5,1,0),
IF(AND(CB40=CB$5,CC$6&gt;=$D$115),1,0),
IF(AND(CC40=CB$5,CC$6&gt;=$D$115),1,0),
IF(AND(CD40=CB$5,CC$6&gt;=$D$115),1,0),
IF(CB40&amp;CE40=CF$5,1,0),
IF(CC40=CB$5,2,0),
IF(CD40=CB$5,1,0),
IF(OR(CB40&amp;CC40&amp;CD40=CB$5&amp;CC$5&amp;CD$5,CB40&amp;CC40&amp;CD40=CB$5&amp;CD$5&amp;CC$5,CB40&amp;CC40&amp;CD40=CC$5&amp;CB$5&amp;CD$5,CB40&amp;CC40&amp;CD40=CC$5&amp;CD$5&amp;CB$5,CB40&amp;CC40&amp;CD40=CD$5&amp;CB$5&amp;CC$5,CB40&amp;CC40&amp;CD40=CD$5&amp;CC$5&amp;CB$5),2,0),IF(AND(CB40=CB$5,CC$6&gt;=$D$129),1,0),IF(AND(CC40=CB$5,CC$6&gt;=$D$129),1,0),IF(AND(CD40=CB$5,CC$6&gt;=$D$129),1,0),IF(CB40&amp;CE40=CE$5,4,0),IF(AND(CB40=CB$5,CC$6&lt;=$D$104),-0.5,0),IF(AND(CC40=CB$5,CC$6&lt;=$D$104),-0.5,0),IF(AND(CD40=CB$5,CC$6&lt;=$D$104),-0.5,0))</f>
        <v>0</v>
      </c>
      <c r="CG40" s="162">
        <f>IF(SEMANA2[[#This Row],[1]]="",0,$B$4)</f>
        <v>14</v>
      </c>
      <c r="CH40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2</v>
      </c>
      <c r="CI40" s="164">
        <f>IF(SEMANA2[[#This Row],[Columna14]]=0,0,(CH40/CG40))</f>
        <v>0.14285714285714285</v>
      </c>
      <c r="CJ40" s="163">
        <f>IF(SEMANA2[[#This Row],[1]]="",0,$B$4)</f>
        <v>14</v>
      </c>
      <c r="CK40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40" s="164">
        <f>IF(SEMANA2[[#This Row],[Columna14]]=0,0,(CK40/CJ40))</f>
        <v>0.42857142857142855</v>
      </c>
      <c r="CM40" s="162">
        <f>IF(SEMANA2[[#This Row],[1]]="",0,$B$4)</f>
        <v>14</v>
      </c>
      <c r="CN40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7</v>
      </c>
      <c r="CO40" s="164">
        <f>IF(SEMANA2[[#This Row],[Columna14]]=0,0,(CN40/CM40))</f>
        <v>0.5</v>
      </c>
      <c r="CP40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40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Row],[Columna25]],$AX$5,BA40,"SF")+COUNTIFS(SEMANA2[[#This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1</v>
      </c>
      <c r="CR40" s="164">
        <f>IFERROR(IF(SEMANA2[[#This Row],[Columna14]]=0,0,(CQ40/CP40)),0)</f>
        <v>0.33333333333333331</v>
      </c>
      <c r="CS40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23.5</v>
      </c>
      <c r="CT40" s="93">
        <f>_xlfn.XLOOKUP(SEMANA2[[#This Row],[COD]],BASE01[COD],BASE01[Columna33])</f>
        <v>37</v>
      </c>
      <c r="CU40" s="536">
        <f t="shared" ref="CU40:CU57" si="34">SUM(CS40,CT40)</f>
        <v>60.5</v>
      </c>
      <c r="CV40" s="445">
        <f>IF(SEMANA2[[#This Row],[TIPO]]="PREMIO",$O$3,"0,00")</f>
        <v>1000</v>
      </c>
      <c r="CW40" s="515"/>
      <c r="CY40" s="387" t="str">
        <f t="shared" si="17"/>
        <v/>
      </c>
      <c r="CZ40" s="387"/>
      <c r="DA40" s="387" t="str">
        <f t="array" ref="DA40">IF(CZ40="", "", IF((INDEX(E$8:CE$57, MATCH(CZ40, C$8:C$57, 0), ($CZ$25-1)*5 + 1) &amp; "") = (INDEX(E$5:CE$5, 1, ($CZ$25-1)*5 + 1) &amp; ""), 1, IF((INDEX(E$8:CE$57, MATCH(CZ40, C$8:C$57, 0), ($CZ$25-1)*5 + 2) &amp; "") = (INDEX(E$5:CE$5, 1, ($CZ$25-1)*5 + 1) &amp; ""), 2, IF((INDEX(E$8:CE$57, MATCH(CZ40, C$8:C$57, 0), ($CZ$25-1)*5 + 3) &amp; "") = (INDEX(E$5:CE$5, 1, ($CZ$25-1)*5 + 1) &amp; ""), 3, ""))))</f>
        <v/>
      </c>
      <c r="DB40" s="537" t="str">
        <f>SEMANA2[[#This Row],[COD]]</f>
        <v>COD 33</v>
      </c>
      <c r="DC40" s="390" t="str">
        <f t="array" ref="DC40">IFERROR(IF(AND(INDEX($E$8:$CE$57, MATCH($C40, $C$8:$C$57, 0), (COLUMNS($DC40:DC40)-1)*5 + 1) = INDEX($E$5:$CE$5, 1, (COLUMNS($DC40:DC40)-1)*5 + 1), INDEX($E$8:$CE$57, MATCH($C40, $C$8:$C$57, 0), (COLUMNS($DC40:DC40)-1)*5 + 4) = "F"), INDEX($CZ$8:$CZ$23, COLUMNS($DC40:DC40)), "0"), "")</f>
        <v>0</v>
      </c>
      <c r="DD40" s="390" t="str">
        <f t="array" ref="DD40">IFERROR(IF(AND(INDEX($E$8:$CE$57, MATCH($C40, $C$8:$C$57, 0), (COLUMNS($DC40:DD40)-1)*5 + 1) = INDEX($E$5:$CE$5, 1, (COLUMNS($DC40:DD40)-1)*5 + 1), INDEX($E$8:$CE$57, MATCH($C40, $C$8:$C$57, 0), (COLUMNS($DC40:DD40)-1)*5 + 4) = "F"), INDEX($CZ$8:$CZ$23, COLUMNS($DC40:DD40)), "0"), "")</f>
        <v>0</v>
      </c>
      <c r="DE40" s="390" t="str">
        <f t="array" ref="DE40">IFERROR(IF(AND(INDEX($E$8:$CE$57, MATCH($C40, $C$8:$C$57, 0), (COLUMNS($DC40:DE40)-1)*5 + 1) = INDEX($E$5:$CE$5, 1, (COLUMNS($DC40:DE40)-1)*5 + 1), INDEX($E$8:$CE$57, MATCH($C40, $C$8:$C$57, 0), (COLUMNS($DC40:DE40)-1)*5 + 4) = "F"), INDEX($CZ$8:$CZ$23, COLUMNS($DC40:DE40)), "0"), "")</f>
        <v>0</v>
      </c>
      <c r="DF40" s="390" t="str">
        <f t="array" ref="DF40">IFERROR(IF(AND(INDEX($E$8:$CE$57, MATCH($C40, $C$8:$C$57, 0), (COLUMNS($DC40:DF40)-1)*5 + 1) = INDEX($E$5:$CE$5, 1, (COLUMNS($DC40:DF40)-1)*5 + 1), INDEX($E$8:$CE$57, MATCH($C40, $C$8:$C$57, 0), (COLUMNS($DC40:DF40)-1)*5 + 4) = "F"), INDEX($CZ$8:$CZ$23, COLUMNS($DC40:DF40)), "0"), "")</f>
        <v>0</v>
      </c>
      <c r="DG40" s="390" t="str">
        <f t="array" ref="DG40">IFERROR(IF(AND(INDEX($E$8:$CE$57, MATCH($C40, $C$8:$C$57, 0), (COLUMNS($DC40:DG40)-1)*5 + 1) = INDEX($E$5:$CE$5, 1, (COLUMNS($DC40:DG40)-1)*5 + 1), INDEX($E$8:$CE$57, MATCH($C40, $C$8:$C$57, 0), (COLUMNS($DC40:DG40)-1)*5 + 4) = "F"), INDEX($CZ$8:$CZ$23, COLUMNS($DC40:DG40)), "0"), "")</f>
        <v>0</v>
      </c>
      <c r="DH40" s="390" t="str">
        <f t="array" ref="DH40">IFERROR(IF(AND(INDEX($E$8:$CE$57, MATCH($C40, $C$8:$C$57, 0), (COLUMNS($DC40:DH40)-1)*5 + 1) = INDEX($E$5:$CE$5, 1, (COLUMNS($DC40:DH40)-1)*5 + 1), INDEX($E$8:$CE$57, MATCH($C40, $C$8:$C$57, 0), (COLUMNS($DC40:DH40)-1)*5 + 4) = "F"), INDEX($CZ$8:$CZ$23, COLUMNS($DC40:DH40)), "0"), "")</f>
        <v>0</v>
      </c>
      <c r="DI40" s="390" t="str">
        <f t="array" ref="DI40">IFERROR(IF(AND(INDEX($E$8:$CE$57, MATCH($C40, $C$8:$C$57, 0), (COLUMNS($DC40:DI40)-1)*5 + 1) = INDEX($E$5:$CE$5, 1, (COLUMNS($DC40:DI40)-1)*5 + 1), INDEX($E$8:$CE$57, MATCH($C40, $C$8:$C$57, 0), (COLUMNS($DC40:DI40)-1)*5 + 4) = "F"), INDEX($CZ$8:$CZ$23, COLUMNS($DC40:DI40)), "0"), "")</f>
        <v>0</v>
      </c>
      <c r="DJ40" s="390" t="str">
        <f t="array" ref="DJ40">IFERROR(IF(AND(INDEX($E$8:$CE$57, MATCH($C40, $C$8:$C$57, 0), (COLUMNS($DC40:DJ40)-1)*5 + 1) = INDEX($E$5:$CE$5, 1, (COLUMNS($DC40:DJ40)-1)*5 + 1), INDEX($E$8:$CE$57, MATCH($C40, $C$8:$C$57, 0), (COLUMNS($DC40:DJ40)-1)*5 + 4) = "F"), INDEX($CZ$8:$CZ$23, COLUMNS($DC40:DJ40)), "0"), "")</f>
        <v>0</v>
      </c>
      <c r="DK40" s="390" t="str">
        <f t="array" ref="DK40">IFERROR(IF(AND(INDEX($E$8:$CE$57, MATCH($C40, $C$8:$C$57, 0), (COLUMNS($DC40:DK40)-1)*5 + 1) = INDEX($E$5:$CE$5, 1, (COLUMNS($DC40:DK40)-1)*5 + 1), INDEX($E$8:$CE$57, MATCH($C40, $C$8:$C$57, 0), (COLUMNS($DC40:DK40)-1)*5 + 4) = "F"), INDEX($CZ$8:$CZ$23, COLUMNS($DC40:DK40)), "0"), "")</f>
        <v>0</v>
      </c>
      <c r="DL40" s="390" t="str">
        <f t="array" ref="DL40">IFERROR(IF(AND(INDEX($E$8:$CE$57, MATCH($C40, $C$8:$C$57, 0), (COLUMNS($DC40:DL40)-1)*5 + 1) = INDEX($E$5:$CE$5, 1, (COLUMNS($DC40:DL40)-1)*5 + 1), INDEX($E$8:$CE$57, MATCH($C40, $C$8:$C$57, 0), (COLUMNS($DC40:DL40)-1)*5 + 4) = "F"), INDEX($CZ$8:$CZ$23, COLUMNS($DC40:DL40)), "0"), "")</f>
        <v>0</v>
      </c>
      <c r="DM40" s="390">
        <f t="array" ref="DM40">IFERROR(IF(AND(INDEX($E$8:$CE$57, MATCH($C40, $C$8:$C$57, 0), (COLUMNS($DC40:DM40)-1)*5 + 1) = INDEX($E$5:$CE$5, 1, (COLUMNS($DC40:DM40)-1)*5 + 1), INDEX($E$8:$CE$57, MATCH($C40, $C$8:$C$57, 0), (COLUMNS($DC40:DM40)-1)*5 + 4) = "F"), INDEX($CZ$8:$CZ$23, COLUMNS($DC40:DM40)), "0"), "")</f>
        <v>156.87</v>
      </c>
      <c r="DN40" s="390" t="str">
        <f t="array" ref="DN40">IFERROR(IF(AND(INDEX($E$8:$CE$57, MATCH($C40, $C$8:$C$57, 0), (COLUMNS($DC40:DN40)-1)*5 + 1) = INDEX($E$5:$CE$5, 1, (COLUMNS($DC40:DN40)-1)*5 + 1), INDEX($E$8:$CE$57, MATCH($C40, $C$8:$C$57, 0), (COLUMNS($DC40:DN40)-1)*5 + 4) = "F"), INDEX($CZ$8:$CZ$23, COLUMNS($DC40:DN40)), "0"), "")</f>
        <v>0</v>
      </c>
      <c r="DO40" s="390" t="str">
        <f t="array" ref="DO40">IFERROR(IF(AND(INDEX($E$8:$CE$57, MATCH($C40, $C$8:$C$57, 0), (COLUMNS($DC40:DO40)-1)*5 + 1) = INDEX($E$5:$CE$5, 1, (COLUMNS($DC40:DO40)-1)*5 + 1), INDEX($E$8:$CE$57, MATCH($C40, $C$8:$C$57, 0), (COLUMNS($DC40:DO40)-1)*5 + 4) = "F"), INDEX($CZ$8:$CZ$23, COLUMNS($DC40:DO40)), "0"), "")</f>
        <v>0</v>
      </c>
      <c r="DP40" s="390" t="str">
        <f t="array" ref="DP40">IFERROR(IF(AND(INDEX($E$8:$CE$57, MATCH($C40, $C$8:$C$57, 0), (COLUMNS($DC40:DP40)-1)*5 + 1) = INDEX($E$5:$CE$5, 1, (COLUMNS($DC40:DP40)-1)*5 + 1), INDEX($E$8:$CE$57, MATCH($C40, $C$8:$C$57, 0), (COLUMNS($DC40:DP40)-1)*5 + 4) = "F"), INDEX($CZ$8:$CZ$23, COLUMNS($DC40:DP40)), "0"), "")</f>
        <v>0</v>
      </c>
      <c r="DQ40" s="390" t="str">
        <f t="array" ref="DQ40">IFERROR(IF(AND(INDEX($E$8:$CE$57, MATCH($C40, $C$8:$C$57, 0), (COLUMNS($DC40:DQ40)-1)*5 + 1) = INDEX($E$5:$CE$5, 1, (COLUMNS($DC40:DQ40)-1)*5 + 1), INDEX($E$8:$CE$57, MATCH($C40, $C$8:$C$57, 0), (COLUMNS($DC40:DQ40)-1)*5 + 4) = "F"), INDEX($CZ$8:$CZ$23, COLUMNS($DC40:DQ40)), "0"), "")</f>
        <v>0</v>
      </c>
      <c r="DR40" s="390" t="str">
        <f t="array" ref="DR40">IFERROR(IF(AND(INDEX($E$8:$CE$57, MATCH($C40, $C$8:$C$57, 0), (COLUMNS($DC40:DR40)-1)*5 + 1) = INDEX($E$5:$CE$5, 1, (COLUMNS($DC40:DR40)-1)*5 + 1), INDEX($E$8:$CE$57, MATCH($C40, $C$8:$C$57, 0), (COLUMNS($DC40:DR40)-1)*5 + 4) = "F"), INDEX($CZ$8:$CZ$23, COLUMNS($DC40:DR40)), "0"), "")</f>
        <v>0</v>
      </c>
      <c r="DT40" s="537" t="str">
        <f>SEMANA2[[#This Row],[COD]]</f>
        <v>COD 33</v>
      </c>
      <c r="DU40" s="390" t="str">
        <f t="array" ref="DU40">IFERROR(IF(AND(INDEX($E$8:$CE$57, MATCH($C40, $C$8:$C$57, 0), (COLUMNS($DU40:DU40)-1)*5 + 1) = INDEX($E$5:$CE$5, 1, (COLUMNS($DU40:DU40)-1)*5 + 1), INDEX($E$8:$CE$57, MATCH($C40, $C$8:$C$57, 0), (COLUMNS($DU40:DU40)-1)*5 + 4) = "SF"), INDEX($CZ$8:$CZ$23, COLUMNS($DU40:DU40)), "0"), "")</f>
        <v>0</v>
      </c>
      <c r="DV40" s="390" t="str">
        <f t="array" ref="DV40">IFERROR(IF(AND(INDEX($E$8:$CE$57, MATCH($C40, $C$8:$C$57, 0), (COLUMNS($DU40:DV40)-1)*5 + 1) = INDEX($E$5:$CE$5, 1, (COLUMNS($DU40:DV40)-1)*5 + 1), INDEX($E$8:$CE$57, MATCH($C40, $C$8:$C$57, 0), (COLUMNS($DU40:DV40)-1)*5 + 4) = "SF"), INDEX($CZ$8:$CZ$23, COLUMNS($DU40:DV40)), "0"), "")</f>
        <v>0</v>
      </c>
      <c r="DW40" s="390" t="str">
        <f t="array" ref="DW40">IFERROR(IF(AND(INDEX($E$8:$CE$57, MATCH($C40, $C$8:$C$57, 0), (COLUMNS($DU40:DW40)-1)*5 + 1) = INDEX($E$5:$CE$5, 1, (COLUMNS($DU40:DW40)-1)*5 + 1), INDEX($E$8:$CE$57, MATCH($C40, $C$8:$C$57, 0), (COLUMNS($DU40:DW40)-1)*5 + 4) = "SF"), INDEX($CZ$8:$CZ$23, COLUMNS($DU40:DW40)), "0"), "")</f>
        <v>0</v>
      </c>
      <c r="DX40" s="390" t="str">
        <f t="array" ref="DX40">IFERROR(IF(AND(INDEX($E$8:$CE$57, MATCH($C40, $C$8:$C$57, 0), (COLUMNS($DU40:DX40)-1)*5 + 1) = INDEX($E$5:$CE$5, 1, (COLUMNS($DU40:DX40)-1)*5 + 1), INDEX($E$8:$CE$57, MATCH($C40, $C$8:$C$57, 0), (COLUMNS($DU40:DX40)-1)*5 + 4) = "SF"), INDEX($CZ$8:$CZ$23, COLUMNS($DU40:DX40)), "0"), "")</f>
        <v>0</v>
      </c>
      <c r="DY40" s="390" t="str">
        <f t="array" ref="DY40">IFERROR(IF(AND(INDEX($E$8:$CE$57, MATCH($C40, $C$8:$C$57, 0), (COLUMNS($DU40:DY40)-1)*5 + 1) = INDEX($E$5:$CE$5, 1, (COLUMNS($DU40:DY40)-1)*5 + 1), INDEX($E$8:$CE$57, MATCH($C40, $C$8:$C$57, 0), (COLUMNS($DU40:DY40)-1)*5 + 4) = "SF"), INDEX($CZ$8:$CZ$23, COLUMNS($DU40:DY40)), "0"), "")</f>
        <v>0</v>
      </c>
      <c r="DZ40" s="390" t="str">
        <f t="array" ref="DZ40">IFERROR(IF(AND(INDEX($E$8:$CE$57, MATCH($C40, $C$8:$C$57, 0), (COLUMNS($DU40:DZ40)-1)*5 + 1) = INDEX($E$5:$CE$5, 1, (COLUMNS($DU40:DZ40)-1)*5 + 1), INDEX($E$8:$CE$57, MATCH($C40, $C$8:$C$57, 0), (COLUMNS($DU40:DZ40)-1)*5 + 4) = "SF"), INDEX($CZ$8:$CZ$23, COLUMNS($DU40:DZ40)), "0"), "")</f>
        <v>0</v>
      </c>
      <c r="EA40" s="390" t="str">
        <f t="array" ref="EA40">IFERROR(IF(AND(INDEX($E$8:$CE$57, MATCH($C40, $C$8:$C$57, 0), (COLUMNS($DU40:EA40)-1)*5 + 1) = INDEX($E$5:$CE$5, 1, (COLUMNS($DU40:EA40)-1)*5 + 1), INDEX($E$8:$CE$57, MATCH($C40, $C$8:$C$57, 0), (COLUMNS($DU40:EA40)-1)*5 + 4) = "SF"), INDEX($CZ$8:$CZ$23, COLUMNS($DU40:EA40)), "0"), "")</f>
        <v>0</v>
      </c>
      <c r="EB40" s="390" t="str">
        <f t="array" ref="EB40">IFERROR(IF(AND(INDEX($E$8:$CE$57, MATCH($C40, $C$8:$C$57, 0), (COLUMNS($DU40:EB40)-1)*5 + 1) = INDEX($E$5:$CE$5, 1, (COLUMNS($DU40:EB40)-1)*5 + 1), INDEX($E$8:$CE$57, MATCH($C40, $C$8:$C$57, 0), (COLUMNS($DU40:EB40)-1)*5 + 4) = "SF"), INDEX($CZ$8:$CZ$23, COLUMNS($DU40:EB40)), "0"), "")</f>
        <v>0</v>
      </c>
      <c r="EC40" s="390" t="str">
        <f t="array" ref="EC40">IFERROR(IF(AND(INDEX($E$8:$CE$57, MATCH($C40, $C$8:$C$57, 0), (COLUMNS($DU40:EC40)-1)*5 + 1) = INDEX($E$5:$CE$5, 1, (COLUMNS($DU40:EC40)-1)*5 + 1), INDEX($E$8:$CE$57, MATCH($C40, $C$8:$C$57, 0), (COLUMNS($DU40:EC40)-1)*5 + 4) = "SF"), INDEX($CZ$8:$CZ$23, COLUMNS($DU40:EC40)), "0"), "")</f>
        <v>0</v>
      </c>
      <c r="ED40" s="390" t="str">
        <f t="array" ref="ED40">IFERROR(IF(AND(INDEX($E$8:$CE$57, MATCH($C40, $C$8:$C$57, 0), (COLUMNS($DU40:ED40)-1)*5 + 1) = INDEX($E$5:$CE$5, 1, (COLUMNS($DU40:ED40)-1)*5 + 1), INDEX($E$8:$CE$57, MATCH($C40, $C$8:$C$57, 0), (COLUMNS($DU40:ED40)-1)*5 + 4) = "SF"), INDEX($CZ$8:$CZ$23, COLUMNS($DU40:ED40)), "0"), "")</f>
        <v>0</v>
      </c>
      <c r="EE40" s="390" t="str">
        <f t="array" ref="EE40">IFERROR(IF(AND(INDEX($E$8:$CE$57, MATCH($C40, $C$8:$C$57, 0), (COLUMNS($DU40:EE40)-1)*5 + 1) = INDEX($E$5:$CE$5, 1, (COLUMNS($DU40:EE40)-1)*5 + 1), INDEX($E$8:$CE$57, MATCH($C40, $C$8:$C$57, 0), (COLUMNS($DU40:EE40)-1)*5 + 4) = "SF"), INDEX($CZ$8:$CZ$23, COLUMNS($DU40:EE40)), "0"), "")</f>
        <v>0</v>
      </c>
      <c r="EF40" s="390" t="str">
        <f t="array" ref="EF40">IFERROR(IF(AND(INDEX($E$8:$CE$57, MATCH($C40, $C$8:$C$57, 0), (COLUMNS($DU40:EF40)-1)*5 + 1) = INDEX($E$5:$CE$5, 1, (COLUMNS($DU40:EF40)-1)*5 + 1), INDEX($E$8:$CE$57, MATCH($C40, $C$8:$C$57, 0), (COLUMNS($DU40:EF40)-1)*5 + 4) = "SF"), INDEX($CZ$8:$CZ$23, COLUMNS($DU40:EF40)), "0"), "")</f>
        <v>0</v>
      </c>
      <c r="EG40" s="390" t="str">
        <f t="array" ref="EG40">IFERROR(IF(AND(INDEX($E$8:$CE$57, MATCH($C40, $C$8:$C$57, 0), (COLUMNS($DU40:EG40)-1)*5 + 1) = INDEX($E$5:$CE$5, 1, (COLUMNS($DU40:EG40)-1)*5 + 1), INDEX($E$8:$CE$57, MATCH($C40, $C$8:$C$57, 0), (COLUMNS($DU40:EG40)-1)*5 + 4) = "SF"), INDEX($CZ$8:$CZ$23, COLUMNS($DU40:EG40)), "0"), "")</f>
        <v>0</v>
      </c>
      <c r="EH40" s="390" t="str">
        <f t="array" ref="EH40">IFERROR(IF(AND(INDEX($E$8:$CE$57, MATCH($C40, $C$8:$C$57, 0), (COLUMNS($DU40:EH40)-1)*5 + 1) = INDEX($E$5:$CE$5, 1, (COLUMNS($DU40:EH40)-1)*5 + 1), INDEX($E$8:$CE$57, MATCH($C40, $C$8:$C$57, 0), (COLUMNS($DU40:EH40)-1)*5 + 4) = "SF"), INDEX($CZ$8:$CZ$23, COLUMNS($DU40:EH40)), "0"), "")</f>
        <v>0</v>
      </c>
      <c r="EI40" s="390" t="str">
        <f t="array" ref="EI40">IFERROR(IF(AND(INDEX($E$8:$CE$57, MATCH($C40, $C$8:$C$57, 0), (COLUMNS($DU40:EI40)-1)*5 + 1) = INDEX($E$5:$CE$5, 1, (COLUMNS($DU40:EI40)-1)*5 + 1), INDEX($E$8:$CE$57, MATCH($C40, $C$8:$C$57, 0), (COLUMNS($DU40:EI40)-1)*5 + 4) = "SF"), INDEX($CZ$8:$CZ$23, COLUMNS($DU40:EI40)), "0"), "")</f>
        <v>0</v>
      </c>
      <c r="EJ40" s="390" t="str">
        <f t="array" ref="EJ40">IFERROR(IF(AND(INDEX($E$8:$CE$57, MATCH($C40, $C$8:$C$57, 0), (COLUMNS($DU40:EJ40)-1)*5 + 1) = INDEX($E$5:$CE$5, 1, (COLUMNS($DU40:EJ40)-1)*5 + 1), INDEX($E$8:$CE$57, MATCH($C40, $C$8:$C$57, 0), (COLUMNS($DU40:EJ40)-1)*5 + 4) = "SF"), INDEX($CZ$8:$CZ$23, COLUMNS($DU40:EJ40)), "0"), "")</f>
        <v>0</v>
      </c>
    </row>
    <row r="41" spans="1:140" ht="20.100000000000001" customHeight="1" x14ac:dyDescent="0.35">
      <c r="A41" s="515"/>
      <c r="B41" s="444">
        <f>IF(SEMANA2[[#This Row],[COD]]&lt;&gt;"",B40+1,"")</f>
        <v>34</v>
      </c>
      <c r="C41" s="554" t="s">
        <v>97</v>
      </c>
      <c r="D41" s="410" t="str">
        <f t="array" ref="D41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41" s="411">
        <v>2</v>
      </c>
      <c r="F41" s="412">
        <v>4</v>
      </c>
      <c r="G41" s="412">
        <v>9</v>
      </c>
      <c r="H41" s="412"/>
      <c r="I41" s="534">
        <f t="shared" si="18"/>
        <v>0</v>
      </c>
      <c r="J41" s="411">
        <v>1</v>
      </c>
      <c r="K41" s="412">
        <v>10</v>
      </c>
      <c r="L41" s="412">
        <v>7</v>
      </c>
      <c r="M41" s="412"/>
      <c r="N41" s="534">
        <f t="shared" si="19"/>
        <v>1</v>
      </c>
      <c r="O41" s="411">
        <v>5</v>
      </c>
      <c r="P41" s="412">
        <v>3</v>
      </c>
      <c r="Q41" s="412">
        <v>1</v>
      </c>
      <c r="R41" s="412"/>
      <c r="S41" s="534">
        <f t="shared" si="20"/>
        <v>1</v>
      </c>
      <c r="T41" s="411">
        <v>3</v>
      </c>
      <c r="U41" s="412">
        <v>5</v>
      </c>
      <c r="V41" s="412">
        <v>4</v>
      </c>
      <c r="W41" s="412"/>
      <c r="X41" s="534">
        <f t="shared" si="21"/>
        <v>0</v>
      </c>
      <c r="Y41" s="411">
        <v>1</v>
      </c>
      <c r="Z41" s="412">
        <v>2</v>
      </c>
      <c r="AA41" s="412">
        <v>7</v>
      </c>
      <c r="AB41" s="412"/>
      <c r="AC41" s="534">
        <f t="shared" si="22"/>
        <v>2</v>
      </c>
      <c r="AD41" s="411">
        <v>5</v>
      </c>
      <c r="AE41" s="412">
        <v>7</v>
      </c>
      <c r="AF41" s="412">
        <v>6</v>
      </c>
      <c r="AG41" s="412"/>
      <c r="AH41" s="534">
        <f t="shared" si="23"/>
        <v>3</v>
      </c>
      <c r="AI41" s="411">
        <v>7</v>
      </c>
      <c r="AJ41" s="412">
        <v>6</v>
      </c>
      <c r="AK41" s="412">
        <v>2</v>
      </c>
      <c r="AL41" s="412" t="s">
        <v>254</v>
      </c>
      <c r="AM41" s="534">
        <f t="shared" si="24"/>
        <v>0</v>
      </c>
      <c r="AN41" s="411">
        <v>8</v>
      </c>
      <c r="AO41" s="412">
        <v>1</v>
      </c>
      <c r="AP41" s="412">
        <v>4</v>
      </c>
      <c r="AQ41" s="412"/>
      <c r="AR41" s="534">
        <f t="shared" si="25"/>
        <v>3.5</v>
      </c>
      <c r="AS41" s="411">
        <v>2</v>
      </c>
      <c r="AT41" s="412">
        <v>1</v>
      </c>
      <c r="AU41" s="412">
        <v>11</v>
      </c>
      <c r="AV41" s="412"/>
      <c r="AW41" s="534">
        <f t="shared" si="26"/>
        <v>4</v>
      </c>
      <c r="AX41" s="411">
        <v>7</v>
      </c>
      <c r="AY41" s="412">
        <v>3</v>
      </c>
      <c r="AZ41" s="412">
        <v>5</v>
      </c>
      <c r="BA41" s="412"/>
      <c r="BB41" s="534">
        <f t="shared" si="27"/>
        <v>0</v>
      </c>
      <c r="BC41" s="411">
        <v>1</v>
      </c>
      <c r="BD41" s="412">
        <v>6</v>
      </c>
      <c r="BE41" s="412">
        <v>2</v>
      </c>
      <c r="BF41" s="412" t="s">
        <v>254</v>
      </c>
      <c r="BG41" s="534">
        <f t="shared" si="28"/>
        <v>0</v>
      </c>
      <c r="BH41" s="411">
        <v>4</v>
      </c>
      <c r="BI41" s="412">
        <v>9</v>
      </c>
      <c r="BJ41" s="412">
        <v>1</v>
      </c>
      <c r="BK41" s="412"/>
      <c r="BL41" s="534">
        <f t="shared" si="29"/>
        <v>0</v>
      </c>
      <c r="BM41" s="411">
        <v>5</v>
      </c>
      <c r="BN41" s="412"/>
      <c r="BO41" s="412"/>
      <c r="BP41" s="412" t="s">
        <v>255</v>
      </c>
      <c r="BQ41" s="534">
        <f t="shared" si="30"/>
        <v>9</v>
      </c>
      <c r="BR41" s="411"/>
      <c r="BS41" s="412"/>
      <c r="BT41" s="412"/>
      <c r="BU41" s="412"/>
      <c r="BV41" s="534">
        <f t="shared" si="31"/>
        <v>0</v>
      </c>
      <c r="BW41" s="411"/>
      <c r="BX41" s="412"/>
      <c r="BY41" s="412"/>
      <c r="BZ41" s="412"/>
      <c r="CA41" s="534">
        <f t="shared" si="32"/>
        <v>0</v>
      </c>
      <c r="CB41" s="411"/>
      <c r="CC41" s="412"/>
      <c r="CD41" s="412"/>
      <c r="CE41" s="412"/>
      <c r="CF41" s="534">
        <f t="shared" si="33"/>
        <v>0</v>
      </c>
      <c r="CG41" s="162">
        <f>IF(SEMANA2[[#This Row],[1]]="",0,$B$4)</f>
        <v>14</v>
      </c>
      <c r="CH41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3</v>
      </c>
      <c r="CI41" s="164">
        <f>IF(SEMANA2[[#This Row],[Columna14]]=0,0,(CH41/CG41))</f>
        <v>0.21428571428571427</v>
      </c>
      <c r="CJ41" s="163">
        <f>IF(SEMANA2[[#This Row],[1]]="",0,$B$4)</f>
        <v>14</v>
      </c>
      <c r="CK41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5</v>
      </c>
      <c r="CL41" s="164">
        <f>IF(SEMANA2[[#This Row],[Columna14]]=0,0,(CK41/CJ41))</f>
        <v>0.35714285714285715</v>
      </c>
      <c r="CM41" s="162">
        <f>IF(SEMANA2[[#This Row],[1]]="",0,$B$4)</f>
        <v>14</v>
      </c>
      <c r="CN41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7</v>
      </c>
      <c r="CO41" s="164">
        <f>IF(SEMANA2[[#This Row],[Columna14]]=0,0,(CN41/CM41))</f>
        <v>0.5</v>
      </c>
      <c r="CP41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41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Row],[Columna25]],$AX$5,BA41,"SF")+COUNTIFS(SEMANA2[[#This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1</v>
      </c>
      <c r="CR41" s="164">
        <f>IFERROR(IF(SEMANA2[[#This Row],[Columna14]]=0,0,(CQ41/CP41)),0)</f>
        <v>0.33333333333333331</v>
      </c>
      <c r="CS41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23.5</v>
      </c>
      <c r="CT41" s="93">
        <f>_xlfn.XLOOKUP(SEMANA2[[#This Row],[COD]],BASE01[COD],BASE01[Columna33])</f>
        <v>41</v>
      </c>
      <c r="CU41" s="536">
        <f t="shared" si="34"/>
        <v>64.5</v>
      </c>
      <c r="CV41" s="445">
        <f>IF(SEMANA2[[#This Row],[TIPO]]="PREMIO",$O$3,"0,00")</f>
        <v>1000</v>
      </c>
      <c r="CW41" s="515"/>
      <c r="CY41" s="387" t="str">
        <f t="shared" si="17"/>
        <v/>
      </c>
      <c r="CZ41" s="387"/>
      <c r="DA41" s="387" t="str">
        <f t="array" ref="DA41">IF(CZ41="", "", IF((INDEX(E$8:CE$57, MATCH(CZ41, C$8:C$57, 0), ($CZ$25-1)*5 + 1) &amp; "") = (INDEX(E$5:CE$5, 1, ($CZ$25-1)*5 + 1) &amp; ""), 1, IF((INDEX(E$8:CE$57, MATCH(CZ41, C$8:C$57, 0), ($CZ$25-1)*5 + 2) &amp; "") = (INDEX(E$5:CE$5, 1, ($CZ$25-1)*5 + 1) &amp; ""), 2, IF((INDEX(E$8:CE$57, MATCH(CZ41, C$8:C$57, 0), ($CZ$25-1)*5 + 3) &amp; "") = (INDEX(E$5:CE$5, 1, ($CZ$25-1)*5 + 1) &amp; ""), 3, ""))))</f>
        <v/>
      </c>
      <c r="DB41" s="537" t="str">
        <f>SEMANA2[[#This Row],[COD]]</f>
        <v>COD 34</v>
      </c>
      <c r="DC41" s="390" t="str">
        <f t="array" ref="DC41">IFERROR(IF(AND(INDEX($E$8:$CE$57, MATCH($C41, $C$8:$C$57, 0), (COLUMNS($DC41:DC41)-1)*5 + 1) = INDEX($E$5:$CE$5, 1, (COLUMNS($DC41:DC41)-1)*5 + 1), INDEX($E$8:$CE$57, MATCH($C41, $C$8:$C$57, 0), (COLUMNS($DC41:DC41)-1)*5 + 4) = "F"), INDEX($CZ$8:$CZ$23, COLUMNS($DC41:DC41)), "0"), "")</f>
        <v>0</v>
      </c>
      <c r="DD41" s="390" t="str">
        <f t="array" ref="DD41">IFERROR(IF(AND(INDEX($E$8:$CE$57, MATCH($C41, $C$8:$C$57, 0), (COLUMNS($DC41:DD41)-1)*5 + 1) = INDEX($E$5:$CE$5, 1, (COLUMNS($DC41:DD41)-1)*5 + 1), INDEX($E$8:$CE$57, MATCH($C41, $C$8:$C$57, 0), (COLUMNS($DC41:DD41)-1)*5 + 4) = "F"), INDEX($CZ$8:$CZ$23, COLUMNS($DC41:DD41)), "0"), "")</f>
        <v>0</v>
      </c>
      <c r="DE41" s="390" t="str">
        <f t="array" ref="DE41">IFERROR(IF(AND(INDEX($E$8:$CE$57, MATCH($C41, $C$8:$C$57, 0), (COLUMNS($DC41:DE41)-1)*5 + 1) = INDEX($E$5:$CE$5, 1, (COLUMNS($DC41:DE41)-1)*5 + 1), INDEX($E$8:$CE$57, MATCH($C41, $C$8:$C$57, 0), (COLUMNS($DC41:DE41)-1)*5 + 4) = "F"), INDEX($CZ$8:$CZ$23, COLUMNS($DC41:DE41)), "0"), "")</f>
        <v>0</v>
      </c>
      <c r="DF41" s="390" t="str">
        <f t="array" ref="DF41">IFERROR(IF(AND(INDEX($E$8:$CE$57, MATCH($C41, $C$8:$C$57, 0), (COLUMNS($DC41:DF41)-1)*5 + 1) = INDEX($E$5:$CE$5, 1, (COLUMNS($DC41:DF41)-1)*5 + 1), INDEX($E$8:$CE$57, MATCH($C41, $C$8:$C$57, 0), (COLUMNS($DC41:DF41)-1)*5 + 4) = "F"), INDEX($CZ$8:$CZ$23, COLUMNS($DC41:DF41)), "0"), "")</f>
        <v>0</v>
      </c>
      <c r="DG41" s="390" t="str">
        <f t="array" ref="DG41">IFERROR(IF(AND(INDEX($E$8:$CE$57, MATCH($C41, $C$8:$C$57, 0), (COLUMNS($DC41:DG41)-1)*5 + 1) = INDEX($E$5:$CE$5, 1, (COLUMNS($DC41:DG41)-1)*5 + 1), INDEX($E$8:$CE$57, MATCH($C41, $C$8:$C$57, 0), (COLUMNS($DC41:DG41)-1)*5 + 4) = "F"), INDEX($CZ$8:$CZ$23, COLUMNS($DC41:DG41)), "0"), "")</f>
        <v>0</v>
      </c>
      <c r="DH41" s="390" t="str">
        <f t="array" ref="DH41">IFERROR(IF(AND(INDEX($E$8:$CE$57, MATCH($C41, $C$8:$C$57, 0), (COLUMNS($DC41:DH41)-1)*5 + 1) = INDEX($E$5:$CE$5, 1, (COLUMNS($DC41:DH41)-1)*5 + 1), INDEX($E$8:$CE$57, MATCH($C41, $C$8:$C$57, 0), (COLUMNS($DC41:DH41)-1)*5 + 4) = "F"), INDEX($CZ$8:$CZ$23, COLUMNS($DC41:DH41)), "0"), "")</f>
        <v>0</v>
      </c>
      <c r="DI41" s="390" t="str">
        <f t="array" ref="DI41">IFERROR(IF(AND(INDEX($E$8:$CE$57, MATCH($C41, $C$8:$C$57, 0), (COLUMNS($DC41:DI41)-1)*5 + 1) = INDEX($E$5:$CE$5, 1, (COLUMNS($DC41:DI41)-1)*5 + 1), INDEX($E$8:$CE$57, MATCH($C41, $C$8:$C$57, 0), (COLUMNS($DC41:DI41)-1)*5 + 4) = "F"), INDEX($CZ$8:$CZ$23, COLUMNS($DC41:DI41)), "0"), "")</f>
        <v>0</v>
      </c>
      <c r="DJ41" s="390" t="str">
        <f t="array" ref="DJ41">IFERROR(IF(AND(INDEX($E$8:$CE$57, MATCH($C41, $C$8:$C$57, 0), (COLUMNS($DC41:DJ41)-1)*5 + 1) = INDEX($E$5:$CE$5, 1, (COLUMNS($DC41:DJ41)-1)*5 + 1), INDEX($E$8:$CE$57, MATCH($C41, $C$8:$C$57, 0), (COLUMNS($DC41:DJ41)-1)*5 + 4) = "F"), INDEX($CZ$8:$CZ$23, COLUMNS($DC41:DJ41)), "0"), "")</f>
        <v>0</v>
      </c>
      <c r="DK41" s="390" t="str">
        <f t="array" ref="DK41">IFERROR(IF(AND(INDEX($E$8:$CE$57, MATCH($C41, $C$8:$C$57, 0), (COLUMNS($DC41:DK41)-1)*5 + 1) = INDEX($E$5:$CE$5, 1, (COLUMNS($DC41:DK41)-1)*5 + 1), INDEX($E$8:$CE$57, MATCH($C41, $C$8:$C$57, 0), (COLUMNS($DC41:DK41)-1)*5 + 4) = "F"), INDEX($CZ$8:$CZ$23, COLUMNS($DC41:DK41)), "0"), "")</f>
        <v>0</v>
      </c>
      <c r="DL41" s="390" t="str">
        <f t="array" ref="DL41">IFERROR(IF(AND(INDEX($E$8:$CE$57, MATCH($C41, $C$8:$C$57, 0), (COLUMNS($DC41:DL41)-1)*5 + 1) = INDEX($E$5:$CE$5, 1, (COLUMNS($DC41:DL41)-1)*5 + 1), INDEX($E$8:$CE$57, MATCH($C41, $C$8:$C$57, 0), (COLUMNS($DC41:DL41)-1)*5 + 4) = "F"), INDEX($CZ$8:$CZ$23, COLUMNS($DC41:DL41)), "0"), "")</f>
        <v>0</v>
      </c>
      <c r="DM41" s="390" t="str">
        <f t="array" ref="DM41">IFERROR(IF(AND(INDEX($E$8:$CE$57, MATCH($C41, $C$8:$C$57, 0), (COLUMNS($DC41:DM41)-1)*5 + 1) = INDEX($E$5:$CE$5, 1, (COLUMNS($DC41:DM41)-1)*5 + 1), INDEX($E$8:$CE$57, MATCH($C41, $C$8:$C$57, 0), (COLUMNS($DC41:DM41)-1)*5 + 4) = "F"), INDEX($CZ$8:$CZ$23, COLUMNS($DC41:DM41)), "0"), "")</f>
        <v>0</v>
      </c>
      <c r="DN41" s="390" t="str">
        <f t="array" ref="DN41">IFERROR(IF(AND(INDEX($E$8:$CE$57, MATCH($C41, $C$8:$C$57, 0), (COLUMNS($DC41:DN41)-1)*5 + 1) = INDEX($E$5:$CE$5, 1, (COLUMNS($DC41:DN41)-1)*5 + 1), INDEX($E$8:$CE$57, MATCH($C41, $C$8:$C$57, 0), (COLUMNS($DC41:DN41)-1)*5 + 4) = "F"), INDEX($CZ$8:$CZ$23, COLUMNS($DC41:DN41)), "0"), "")</f>
        <v>0</v>
      </c>
      <c r="DO41" s="390" t="str">
        <f t="array" ref="DO41">IFERROR(IF(AND(INDEX($E$8:$CE$57, MATCH($C41, $C$8:$C$57, 0), (COLUMNS($DC41:DO41)-1)*5 + 1) = INDEX($E$5:$CE$5, 1, (COLUMNS($DC41:DO41)-1)*5 + 1), INDEX($E$8:$CE$57, MATCH($C41, $C$8:$C$57, 0), (COLUMNS($DC41:DO41)-1)*5 + 4) = "F"), INDEX($CZ$8:$CZ$23, COLUMNS($DC41:DO41)), "0"), "")</f>
        <v>0</v>
      </c>
      <c r="DP41" s="390" t="str">
        <f t="array" ref="DP41">IFERROR(IF(AND(INDEX($E$8:$CE$57, MATCH($C41, $C$8:$C$57, 0), (COLUMNS($DC41:DP41)-1)*5 + 1) = INDEX($E$5:$CE$5, 1, (COLUMNS($DC41:DP41)-1)*5 + 1), INDEX($E$8:$CE$57, MATCH($C41, $C$8:$C$57, 0), (COLUMNS($DC41:DP41)-1)*5 + 4) = "F"), INDEX($CZ$8:$CZ$23, COLUMNS($DC41:DP41)), "0"), "")</f>
        <v>0</v>
      </c>
      <c r="DQ41" s="390" t="str">
        <f t="array" ref="DQ41">IFERROR(IF(AND(INDEX($E$8:$CE$57, MATCH($C41, $C$8:$C$57, 0), (COLUMNS($DC41:DQ41)-1)*5 + 1) = INDEX($E$5:$CE$5, 1, (COLUMNS($DC41:DQ41)-1)*5 + 1), INDEX($E$8:$CE$57, MATCH($C41, $C$8:$C$57, 0), (COLUMNS($DC41:DQ41)-1)*5 + 4) = "F"), INDEX($CZ$8:$CZ$23, COLUMNS($DC41:DQ41)), "0"), "")</f>
        <v>0</v>
      </c>
      <c r="DR41" s="390" t="str">
        <f t="array" ref="DR41">IFERROR(IF(AND(INDEX($E$8:$CE$57, MATCH($C41, $C$8:$C$57, 0), (COLUMNS($DC41:DR41)-1)*5 + 1) = INDEX($E$5:$CE$5, 1, (COLUMNS($DC41:DR41)-1)*5 + 1), INDEX($E$8:$CE$57, MATCH($C41, $C$8:$C$57, 0), (COLUMNS($DC41:DR41)-1)*5 + 4) = "F"), INDEX($CZ$8:$CZ$23, COLUMNS($DC41:DR41)), "0"), "")</f>
        <v>0</v>
      </c>
      <c r="DT41" s="537" t="str">
        <f>SEMANA2[[#This Row],[COD]]</f>
        <v>COD 34</v>
      </c>
      <c r="DU41" s="390" t="str">
        <f t="array" ref="DU41">IFERROR(IF(AND(INDEX($E$8:$CE$57, MATCH($C41, $C$8:$C$57, 0), (COLUMNS($DU41:DU41)-1)*5 + 1) = INDEX($E$5:$CE$5, 1, (COLUMNS($DU41:DU41)-1)*5 + 1), INDEX($E$8:$CE$57, MATCH($C41, $C$8:$C$57, 0), (COLUMNS($DU41:DU41)-1)*5 + 4) = "SF"), INDEX($CZ$8:$CZ$23, COLUMNS($DU41:DU41)), "0"), "")</f>
        <v>0</v>
      </c>
      <c r="DV41" s="390" t="str">
        <f t="array" ref="DV41">IFERROR(IF(AND(INDEX($E$8:$CE$57, MATCH($C41, $C$8:$C$57, 0), (COLUMNS($DU41:DV41)-1)*5 + 1) = INDEX($E$5:$CE$5, 1, (COLUMNS($DU41:DV41)-1)*5 + 1), INDEX($E$8:$CE$57, MATCH($C41, $C$8:$C$57, 0), (COLUMNS($DU41:DV41)-1)*5 + 4) = "SF"), INDEX($CZ$8:$CZ$23, COLUMNS($DU41:DV41)), "0"), "")</f>
        <v>0</v>
      </c>
      <c r="DW41" s="390" t="str">
        <f t="array" ref="DW41">IFERROR(IF(AND(INDEX($E$8:$CE$57, MATCH($C41, $C$8:$C$57, 0), (COLUMNS($DU41:DW41)-1)*5 + 1) = INDEX($E$5:$CE$5, 1, (COLUMNS($DU41:DW41)-1)*5 + 1), INDEX($E$8:$CE$57, MATCH($C41, $C$8:$C$57, 0), (COLUMNS($DU41:DW41)-1)*5 + 4) = "SF"), INDEX($CZ$8:$CZ$23, COLUMNS($DU41:DW41)), "0"), "")</f>
        <v>0</v>
      </c>
      <c r="DX41" s="390" t="str">
        <f t="array" ref="DX41">IFERROR(IF(AND(INDEX($E$8:$CE$57, MATCH($C41, $C$8:$C$57, 0), (COLUMNS($DU41:DX41)-1)*5 + 1) = INDEX($E$5:$CE$5, 1, (COLUMNS($DU41:DX41)-1)*5 + 1), INDEX($E$8:$CE$57, MATCH($C41, $C$8:$C$57, 0), (COLUMNS($DU41:DX41)-1)*5 + 4) = "SF"), INDEX($CZ$8:$CZ$23, COLUMNS($DU41:DX41)), "0"), "")</f>
        <v>0</v>
      </c>
      <c r="DY41" s="390" t="str">
        <f t="array" ref="DY41">IFERROR(IF(AND(INDEX($E$8:$CE$57, MATCH($C41, $C$8:$C$57, 0), (COLUMNS($DU41:DY41)-1)*5 + 1) = INDEX($E$5:$CE$5, 1, (COLUMNS($DU41:DY41)-1)*5 + 1), INDEX($E$8:$CE$57, MATCH($C41, $C$8:$C$57, 0), (COLUMNS($DU41:DY41)-1)*5 + 4) = "SF"), INDEX($CZ$8:$CZ$23, COLUMNS($DU41:DY41)), "0"), "")</f>
        <v>0</v>
      </c>
      <c r="DZ41" s="390" t="str">
        <f t="array" ref="DZ41">IFERROR(IF(AND(INDEX($E$8:$CE$57, MATCH($C41, $C$8:$C$57, 0), (COLUMNS($DU41:DZ41)-1)*5 + 1) = INDEX($E$5:$CE$5, 1, (COLUMNS($DU41:DZ41)-1)*5 + 1), INDEX($E$8:$CE$57, MATCH($C41, $C$8:$C$57, 0), (COLUMNS($DU41:DZ41)-1)*5 + 4) = "SF"), INDEX($CZ$8:$CZ$23, COLUMNS($DU41:DZ41)), "0"), "")</f>
        <v>0</v>
      </c>
      <c r="EA41" s="390" t="str">
        <f t="array" ref="EA41">IFERROR(IF(AND(INDEX($E$8:$CE$57, MATCH($C41, $C$8:$C$57, 0), (COLUMNS($DU41:EA41)-1)*5 + 1) = INDEX($E$5:$CE$5, 1, (COLUMNS($DU41:EA41)-1)*5 + 1), INDEX($E$8:$CE$57, MATCH($C41, $C$8:$C$57, 0), (COLUMNS($DU41:EA41)-1)*5 + 4) = "SF"), INDEX($CZ$8:$CZ$23, COLUMNS($DU41:EA41)), "0"), "")</f>
        <v>0</v>
      </c>
      <c r="EB41" s="390" t="str">
        <f t="array" ref="EB41">IFERROR(IF(AND(INDEX($E$8:$CE$57, MATCH($C41, $C$8:$C$57, 0), (COLUMNS($DU41:EB41)-1)*5 + 1) = INDEX($E$5:$CE$5, 1, (COLUMNS($DU41:EB41)-1)*5 + 1), INDEX($E$8:$CE$57, MATCH($C41, $C$8:$C$57, 0), (COLUMNS($DU41:EB41)-1)*5 + 4) = "SF"), INDEX($CZ$8:$CZ$23, COLUMNS($DU41:EB41)), "0"), "")</f>
        <v>0</v>
      </c>
      <c r="EC41" s="390" t="str">
        <f t="array" ref="EC41">IFERROR(IF(AND(INDEX($E$8:$CE$57, MATCH($C41, $C$8:$C$57, 0), (COLUMNS($DU41:EC41)-1)*5 + 1) = INDEX($E$5:$CE$5, 1, (COLUMNS($DU41:EC41)-1)*5 + 1), INDEX($E$8:$CE$57, MATCH($C41, $C$8:$C$57, 0), (COLUMNS($DU41:EC41)-1)*5 + 4) = "SF"), INDEX($CZ$8:$CZ$23, COLUMNS($DU41:EC41)), "0"), "")</f>
        <v>0</v>
      </c>
      <c r="ED41" s="390" t="str">
        <f t="array" ref="ED41">IFERROR(IF(AND(INDEX($E$8:$CE$57, MATCH($C41, $C$8:$C$57, 0), (COLUMNS($DU41:ED41)-1)*5 + 1) = INDEX($E$5:$CE$5, 1, (COLUMNS($DU41:ED41)-1)*5 + 1), INDEX($E$8:$CE$57, MATCH($C41, $C$8:$C$57, 0), (COLUMNS($DU41:ED41)-1)*5 + 4) = "SF"), INDEX($CZ$8:$CZ$23, COLUMNS($DU41:ED41)), "0"), "")</f>
        <v>0</v>
      </c>
      <c r="EE41" s="390" t="str">
        <f t="array" ref="EE41">IFERROR(IF(AND(INDEX($E$8:$CE$57, MATCH($C41, $C$8:$C$57, 0), (COLUMNS($DU41:EE41)-1)*5 + 1) = INDEX($E$5:$CE$5, 1, (COLUMNS($DU41:EE41)-1)*5 + 1), INDEX($E$8:$CE$57, MATCH($C41, $C$8:$C$57, 0), (COLUMNS($DU41:EE41)-1)*5 + 4) = "SF"), INDEX($CZ$8:$CZ$23, COLUMNS($DU41:EE41)), "0"), "")</f>
        <v>0</v>
      </c>
      <c r="EF41" s="390" t="str">
        <f t="array" ref="EF41">IFERROR(IF(AND(INDEX($E$8:$CE$57, MATCH($C41, $C$8:$C$57, 0), (COLUMNS($DU41:EF41)-1)*5 + 1) = INDEX($E$5:$CE$5, 1, (COLUMNS($DU41:EF41)-1)*5 + 1), INDEX($E$8:$CE$57, MATCH($C41, $C$8:$C$57, 0), (COLUMNS($DU41:EF41)-1)*5 + 4) = "SF"), INDEX($CZ$8:$CZ$23, COLUMNS($DU41:EF41)), "0"), "")</f>
        <v>0</v>
      </c>
      <c r="EG41" s="390">
        <f t="array" ref="EG41">IFERROR(IF(AND(INDEX($E$8:$CE$57, MATCH($C41, $C$8:$C$57, 0), (COLUMNS($DU41:EG41)-1)*5 + 1) = INDEX($E$5:$CE$5, 1, (COLUMNS($DU41:EG41)-1)*5 + 1), INDEX($E$8:$CE$57, MATCH($C41, $C$8:$C$57, 0), (COLUMNS($DU41:EG41)-1)*5 + 4) = "SF"), INDEX($CZ$8:$CZ$23, COLUMNS($DU41:EG41)), "0"), "")</f>
        <v>915.58</v>
      </c>
      <c r="EH41" s="390" t="str">
        <f t="array" ref="EH41">IFERROR(IF(AND(INDEX($E$8:$CE$57, MATCH($C41, $C$8:$C$57, 0), (COLUMNS($DU41:EH41)-1)*5 + 1) = INDEX($E$5:$CE$5, 1, (COLUMNS($DU41:EH41)-1)*5 + 1), INDEX($E$8:$CE$57, MATCH($C41, $C$8:$C$57, 0), (COLUMNS($DU41:EH41)-1)*5 + 4) = "SF"), INDEX($CZ$8:$CZ$23, COLUMNS($DU41:EH41)), "0"), "")</f>
        <v>0</v>
      </c>
      <c r="EI41" s="390" t="str">
        <f t="array" ref="EI41">IFERROR(IF(AND(INDEX($E$8:$CE$57, MATCH($C41, $C$8:$C$57, 0), (COLUMNS($DU41:EI41)-1)*5 + 1) = INDEX($E$5:$CE$5, 1, (COLUMNS($DU41:EI41)-1)*5 + 1), INDEX($E$8:$CE$57, MATCH($C41, $C$8:$C$57, 0), (COLUMNS($DU41:EI41)-1)*5 + 4) = "SF"), INDEX($CZ$8:$CZ$23, COLUMNS($DU41:EI41)), "0"), "")</f>
        <v>0</v>
      </c>
      <c r="EJ41" s="390" t="str">
        <f t="array" ref="EJ41">IFERROR(IF(AND(INDEX($E$8:$CE$57, MATCH($C41, $C$8:$C$57, 0), (COLUMNS($DU41:EJ41)-1)*5 + 1) = INDEX($E$5:$CE$5, 1, (COLUMNS($DU41:EJ41)-1)*5 + 1), INDEX($E$8:$CE$57, MATCH($C41, $C$8:$C$57, 0), (COLUMNS($DU41:EJ41)-1)*5 + 4) = "SF"), INDEX($CZ$8:$CZ$23, COLUMNS($DU41:EJ41)), "0"), "")</f>
        <v>0</v>
      </c>
    </row>
    <row r="42" spans="1:140" ht="20.100000000000001" customHeight="1" x14ac:dyDescent="0.35">
      <c r="A42" s="515"/>
      <c r="B42" s="444">
        <f>IF(SEMANA2[[#This Row],[COD]]&lt;&gt;"",B41+1,"")</f>
        <v>35</v>
      </c>
      <c r="C42" s="554" t="s">
        <v>99</v>
      </c>
      <c r="D42" s="410" t="str">
        <f t="array" ref="D42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42" s="411">
        <v>2</v>
      </c>
      <c r="F42" s="413">
        <v>9</v>
      </c>
      <c r="G42" s="413">
        <v>6</v>
      </c>
      <c r="H42" s="413"/>
      <c r="I42" s="534">
        <f t="shared" si="18"/>
        <v>1</v>
      </c>
      <c r="J42" s="411">
        <v>2</v>
      </c>
      <c r="K42" s="413"/>
      <c r="L42" s="413"/>
      <c r="M42" s="413" t="s">
        <v>255</v>
      </c>
      <c r="N42" s="534">
        <f t="shared" si="19"/>
        <v>0</v>
      </c>
      <c r="O42" s="411">
        <v>7</v>
      </c>
      <c r="P42" s="413">
        <v>5</v>
      </c>
      <c r="Q42" s="413">
        <v>1</v>
      </c>
      <c r="R42" s="413"/>
      <c r="S42" s="534">
        <f t="shared" si="20"/>
        <v>1</v>
      </c>
      <c r="T42" s="411">
        <v>3</v>
      </c>
      <c r="U42" s="413">
        <v>4</v>
      </c>
      <c r="V42" s="413">
        <v>5</v>
      </c>
      <c r="W42" s="413"/>
      <c r="X42" s="534">
        <f t="shared" si="21"/>
        <v>0</v>
      </c>
      <c r="Y42" s="411">
        <v>2</v>
      </c>
      <c r="Z42" s="413">
        <v>1</v>
      </c>
      <c r="AA42" s="413">
        <v>4</v>
      </c>
      <c r="AB42" s="413"/>
      <c r="AC42" s="534">
        <f t="shared" si="22"/>
        <v>4</v>
      </c>
      <c r="AD42" s="411">
        <v>4</v>
      </c>
      <c r="AE42" s="413">
        <v>5</v>
      </c>
      <c r="AF42" s="413">
        <v>7</v>
      </c>
      <c r="AG42" s="413"/>
      <c r="AH42" s="534">
        <f t="shared" si="23"/>
        <v>2</v>
      </c>
      <c r="AI42" s="411">
        <v>7</v>
      </c>
      <c r="AJ42" s="413">
        <v>6</v>
      </c>
      <c r="AK42" s="413">
        <v>1</v>
      </c>
      <c r="AL42" s="413" t="s">
        <v>254</v>
      </c>
      <c r="AM42" s="534">
        <f t="shared" si="24"/>
        <v>0</v>
      </c>
      <c r="AN42" s="411">
        <v>8</v>
      </c>
      <c r="AO42" s="413">
        <v>1</v>
      </c>
      <c r="AP42" s="413">
        <v>2</v>
      </c>
      <c r="AQ42" s="413"/>
      <c r="AR42" s="534">
        <f t="shared" si="25"/>
        <v>3.5</v>
      </c>
      <c r="AS42" s="411">
        <v>10</v>
      </c>
      <c r="AT42" s="413">
        <v>2</v>
      </c>
      <c r="AU42" s="413">
        <v>9</v>
      </c>
      <c r="AV42" s="413"/>
      <c r="AW42" s="534">
        <f t="shared" si="26"/>
        <v>2</v>
      </c>
      <c r="AX42" s="411">
        <v>1</v>
      </c>
      <c r="AY42" s="413">
        <v>10</v>
      </c>
      <c r="AZ42" s="413">
        <v>2</v>
      </c>
      <c r="BA42" s="413"/>
      <c r="BB42" s="534">
        <f t="shared" si="27"/>
        <v>1</v>
      </c>
      <c r="BC42" s="411">
        <v>7</v>
      </c>
      <c r="BD42" s="413">
        <v>3</v>
      </c>
      <c r="BE42" s="413">
        <v>2</v>
      </c>
      <c r="BF42" s="413"/>
      <c r="BG42" s="534">
        <f t="shared" si="28"/>
        <v>4</v>
      </c>
      <c r="BH42" s="411">
        <v>6</v>
      </c>
      <c r="BI42" s="413">
        <v>1</v>
      </c>
      <c r="BJ42" s="413">
        <v>8</v>
      </c>
      <c r="BK42" s="413" t="s">
        <v>254</v>
      </c>
      <c r="BL42" s="534">
        <f t="shared" si="29"/>
        <v>5</v>
      </c>
      <c r="BM42" s="411">
        <v>3</v>
      </c>
      <c r="BN42" s="413">
        <v>4</v>
      </c>
      <c r="BO42" s="413">
        <v>9</v>
      </c>
      <c r="BP42" s="413"/>
      <c r="BQ42" s="534">
        <f t="shared" si="30"/>
        <v>0</v>
      </c>
      <c r="BR42" s="411">
        <v>2</v>
      </c>
      <c r="BS42" s="413">
        <v>11</v>
      </c>
      <c r="BT42" s="413">
        <v>7</v>
      </c>
      <c r="BU42" s="413"/>
      <c r="BV42" s="534">
        <f t="shared" si="31"/>
        <v>0</v>
      </c>
      <c r="BW42" s="411"/>
      <c r="BX42" s="413"/>
      <c r="BY42" s="413"/>
      <c r="BZ42" s="413"/>
      <c r="CA42" s="534">
        <f t="shared" si="32"/>
        <v>0</v>
      </c>
      <c r="CB42" s="411"/>
      <c r="CC42" s="413"/>
      <c r="CD42" s="413"/>
      <c r="CE42" s="413"/>
      <c r="CF42" s="534">
        <f t="shared" si="33"/>
        <v>0</v>
      </c>
      <c r="CG42" s="162">
        <f>IF(SEMANA2[[#This Row],[1]]="",0,$B$4)</f>
        <v>14</v>
      </c>
      <c r="CH42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4</v>
      </c>
      <c r="CI42" s="164">
        <f>IF(SEMANA2[[#This Row],[Columna14]]=0,0,(CH42/CG42))</f>
        <v>0.2857142857142857</v>
      </c>
      <c r="CJ42" s="163">
        <f>IF(SEMANA2[[#This Row],[1]]="",0,$B$4)</f>
        <v>14</v>
      </c>
      <c r="CK42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5</v>
      </c>
      <c r="CL42" s="164">
        <f>IF(SEMANA2[[#This Row],[Columna14]]=0,0,(CK42/CJ42))</f>
        <v>0.35714285714285715</v>
      </c>
      <c r="CM42" s="162">
        <f>IF(SEMANA2[[#This Row],[1]]="",0,$B$4)</f>
        <v>14</v>
      </c>
      <c r="CN42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9</v>
      </c>
      <c r="CO42" s="164">
        <f>IF(SEMANA2[[#This Row],[Columna14]]=0,0,(CN42/CM42))</f>
        <v>0.6428571428571429</v>
      </c>
      <c r="CP42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42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Row],[Columna25]],$AX$5,BA42,"SF")+COUNTIFS(SEMANA2[[#This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1</v>
      </c>
      <c r="CR42" s="164">
        <f>IFERROR(IF(SEMANA2[[#This Row],[Columna14]]=0,0,(CQ42/CP42)),0)</f>
        <v>0.33333333333333331</v>
      </c>
      <c r="CS42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23.5</v>
      </c>
      <c r="CT42" s="93">
        <f>_xlfn.XLOOKUP(SEMANA2[[#This Row],[COD]],BASE01[COD],BASE01[Columna33])</f>
        <v>36</v>
      </c>
      <c r="CU42" s="536">
        <f t="shared" si="34"/>
        <v>59.5</v>
      </c>
      <c r="CV42" s="445">
        <f>IF(SEMANA2[[#This Row],[TIPO]]="PREMIO",$O$3,"0,00")</f>
        <v>1000</v>
      </c>
      <c r="CW42" s="515"/>
      <c r="CY42" s="387" t="str">
        <f t="shared" si="17"/>
        <v/>
      </c>
      <c r="CZ42" s="387"/>
      <c r="DA42" s="387" t="str">
        <f t="array" ref="DA42">IF(CZ42="", "", IF((INDEX(E$8:CE$57, MATCH(CZ42, C$8:C$57, 0), ($CZ$25-1)*5 + 1) &amp; "") = (INDEX(E$5:CE$5, 1, ($CZ$25-1)*5 + 1) &amp; ""), 1, IF((INDEX(E$8:CE$57, MATCH(CZ42, C$8:C$57, 0), ($CZ$25-1)*5 + 2) &amp; "") = (INDEX(E$5:CE$5, 1, ($CZ$25-1)*5 + 1) &amp; ""), 2, IF((INDEX(E$8:CE$57, MATCH(CZ42, C$8:C$57, 0), ($CZ$25-1)*5 + 3) &amp; "") = (INDEX(E$5:CE$5, 1, ($CZ$25-1)*5 + 1) &amp; ""), 3, ""))))</f>
        <v/>
      </c>
      <c r="DB42" s="537" t="str">
        <f>SEMANA2[[#This Row],[COD]]</f>
        <v>COD 35</v>
      </c>
      <c r="DC42" s="390" t="str">
        <f t="array" ref="DC42">IFERROR(IF(AND(INDEX($E$8:$CE$57, MATCH($C42, $C$8:$C$57, 0), (COLUMNS($DC42:DC42)-1)*5 + 1) = INDEX($E$5:$CE$5, 1, (COLUMNS($DC42:DC42)-1)*5 + 1), INDEX($E$8:$CE$57, MATCH($C42, $C$8:$C$57, 0), (COLUMNS($DC42:DC42)-1)*5 + 4) = "F"), INDEX($CZ$8:$CZ$23, COLUMNS($DC42:DC42)), "0"), "")</f>
        <v>0</v>
      </c>
      <c r="DD42" s="390" t="str">
        <f t="array" ref="DD42">IFERROR(IF(AND(INDEX($E$8:$CE$57, MATCH($C42, $C$8:$C$57, 0), (COLUMNS($DC42:DD42)-1)*5 + 1) = INDEX($E$5:$CE$5, 1, (COLUMNS($DC42:DD42)-1)*5 + 1), INDEX($E$8:$CE$57, MATCH($C42, $C$8:$C$57, 0), (COLUMNS($DC42:DD42)-1)*5 + 4) = "F"), INDEX($CZ$8:$CZ$23, COLUMNS($DC42:DD42)), "0"), "")</f>
        <v>0</v>
      </c>
      <c r="DE42" s="390" t="str">
        <f t="array" ref="DE42">IFERROR(IF(AND(INDEX($E$8:$CE$57, MATCH($C42, $C$8:$C$57, 0), (COLUMNS($DC42:DE42)-1)*5 + 1) = INDEX($E$5:$CE$5, 1, (COLUMNS($DC42:DE42)-1)*5 + 1), INDEX($E$8:$CE$57, MATCH($C42, $C$8:$C$57, 0), (COLUMNS($DC42:DE42)-1)*5 + 4) = "F"), INDEX($CZ$8:$CZ$23, COLUMNS($DC42:DE42)), "0"), "")</f>
        <v>0</v>
      </c>
      <c r="DF42" s="390" t="str">
        <f t="array" ref="DF42">IFERROR(IF(AND(INDEX($E$8:$CE$57, MATCH($C42, $C$8:$C$57, 0), (COLUMNS($DC42:DF42)-1)*5 + 1) = INDEX($E$5:$CE$5, 1, (COLUMNS($DC42:DF42)-1)*5 + 1), INDEX($E$8:$CE$57, MATCH($C42, $C$8:$C$57, 0), (COLUMNS($DC42:DF42)-1)*5 + 4) = "F"), INDEX($CZ$8:$CZ$23, COLUMNS($DC42:DF42)), "0"), "")</f>
        <v>0</v>
      </c>
      <c r="DG42" s="390" t="str">
        <f t="array" ref="DG42">IFERROR(IF(AND(INDEX($E$8:$CE$57, MATCH($C42, $C$8:$C$57, 0), (COLUMNS($DC42:DG42)-1)*5 + 1) = INDEX($E$5:$CE$5, 1, (COLUMNS($DC42:DG42)-1)*5 + 1), INDEX($E$8:$CE$57, MATCH($C42, $C$8:$C$57, 0), (COLUMNS($DC42:DG42)-1)*5 + 4) = "F"), INDEX($CZ$8:$CZ$23, COLUMNS($DC42:DG42)), "0"), "")</f>
        <v>0</v>
      </c>
      <c r="DH42" s="390" t="str">
        <f t="array" ref="DH42">IFERROR(IF(AND(INDEX($E$8:$CE$57, MATCH($C42, $C$8:$C$57, 0), (COLUMNS($DC42:DH42)-1)*5 + 1) = INDEX($E$5:$CE$5, 1, (COLUMNS($DC42:DH42)-1)*5 + 1), INDEX($E$8:$CE$57, MATCH($C42, $C$8:$C$57, 0), (COLUMNS($DC42:DH42)-1)*5 + 4) = "F"), INDEX($CZ$8:$CZ$23, COLUMNS($DC42:DH42)), "0"), "")</f>
        <v>0</v>
      </c>
      <c r="DI42" s="390" t="str">
        <f t="array" ref="DI42">IFERROR(IF(AND(INDEX($E$8:$CE$57, MATCH($C42, $C$8:$C$57, 0), (COLUMNS($DC42:DI42)-1)*5 + 1) = INDEX($E$5:$CE$5, 1, (COLUMNS($DC42:DI42)-1)*5 + 1), INDEX($E$8:$CE$57, MATCH($C42, $C$8:$C$57, 0), (COLUMNS($DC42:DI42)-1)*5 + 4) = "F"), INDEX($CZ$8:$CZ$23, COLUMNS($DC42:DI42)), "0"), "")</f>
        <v>0</v>
      </c>
      <c r="DJ42" s="390" t="str">
        <f t="array" ref="DJ42">IFERROR(IF(AND(INDEX($E$8:$CE$57, MATCH($C42, $C$8:$C$57, 0), (COLUMNS($DC42:DJ42)-1)*5 + 1) = INDEX($E$5:$CE$5, 1, (COLUMNS($DC42:DJ42)-1)*5 + 1), INDEX($E$8:$CE$57, MATCH($C42, $C$8:$C$57, 0), (COLUMNS($DC42:DJ42)-1)*5 + 4) = "F"), INDEX($CZ$8:$CZ$23, COLUMNS($DC42:DJ42)), "0"), "")</f>
        <v>0</v>
      </c>
      <c r="DK42" s="390" t="str">
        <f t="array" ref="DK42">IFERROR(IF(AND(INDEX($E$8:$CE$57, MATCH($C42, $C$8:$C$57, 0), (COLUMNS($DC42:DK42)-1)*5 + 1) = INDEX($E$5:$CE$5, 1, (COLUMNS($DC42:DK42)-1)*5 + 1), INDEX($E$8:$CE$57, MATCH($C42, $C$8:$C$57, 0), (COLUMNS($DC42:DK42)-1)*5 + 4) = "F"), INDEX($CZ$8:$CZ$23, COLUMNS($DC42:DK42)), "0"), "")</f>
        <v>0</v>
      </c>
      <c r="DL42" s="390" t="str">
        <f t="array" ref="DL42">IFERROR(IF(AND(INDEX($E$8:$CE$57, MATCH($C42, $C$8:$C$57, 0), (COLUMNS($DC42:DL42)-1)*5 + 1) = INDEX($E$5:$CE$5, 1, (COLUMNS($DC42:DL42)-1)*5 + 1), INDEX($E$8:$CE$57, MATCH($C42, $C$8:$C$57, 0), (COLUMNS($DC42:DL42)-1)*5 + 4) = "F"), INDEX($CZ$8:$CZ$23, COLUMNS($DC42:DL42)), "0"), "")</f>
        <v>0</v>
      </c>
      <c r="DM42" s="390" t="str">
        <f t="array" ref="DM42">IFERROR(IF(AND(INDEX($E$8:$CE$57, MATCH($C42, $C$8:$C$57, 0), (COLUMNS($DC42:DM42)-1)*5 + 1) = INDEX($E$5:$CE$5, 1, (COLUMNS($DC42:DM42)-1)*5 + 1), INDEX($E$8:$CE$57, MATCH($C42, $C$8:$C$57, 0), (COLUMNS($DC42:DM42)-1)*5 + 4) = "F"), INDEX($CZ$8:$CZ$23, COLUMNS($DC42:DM42)), "0"), "")</f>
        <v>0</v>
      </c>
      <c r="DN42" s="390">
        <f t="array" ref="DN42">IFERROR(IF(AND(INDEX($E$8:$CE$57, MATCH($C42, $C$8:$C$57, 0), (COLUMNS($DC42:DN42)-1)*5 + 1) = INDEX($E$5:$CE$5, 1, (COLUMNS($DC42:DN42)-1)*5 + 1), INDEX($E$8:$CE$57, MATCH($C42, $C$8:$C$57, 0), (COLUMNS($DC42:DN42)-1)*5 + 4) = "F"), INDEX($CZ$8:$CZ$23, COLUMNS($DC42:DN42)), "0"), "")</f>
        <v>177.86</v>
      </c>
      <c r="DO42" s="390" t="str">
        <f t="array" ref="DO42">IFERROR(IF(AND(INDEX($E$8:$CE$57, MATCH($C42, $C$8:$C$57, 0), (COLUMNS($DC42:DO42)-1)*5 + 1) = INDEX($E$5:$CE$5, 1, (COLUMNS($DC42:DO42)-1)*5 + 1), INDEX($E$8:$CE$57, MATCH($C42, $C$8:$C$57, 0), (COLUMNS($DC42:DO42)-1)*5 + 4) = "F"), INDEX($CZ$8:$CZ$23, COLUMNS($DC42:DO42)), "0"), "")</f>
        <v>0</v>
      </c>
      <c r="DP42" s="390" t="str">
        <f t="array" ref="DP42">IFERROR(IF(AND(INDEX($E$8:$CE$57, MATCH($C42, $C$8:$C$57, 0), (COLUMNS($DC42:DP42)-1)*5 + 1) = INDEX($E$5:$CE$5, 1, (COLUMNS($DC42:DP42)-1)*5 + 1), INDEX($E$8:$CE$57, MATCH($C42, $C$8:$C$57, 0), (COLUMNS($DC42:DP42)-1)*5 + 4) = "F"), INDEX($CZ$8:$CZ$23, COLUMNS($DC42:DP42)), "0"), "")</f>
        <v>0</v>
      </c>
      <c r="DQ42" s="390" t="str">
        <f t="array" ref="DQ42">IFERROR(IF(AND(INDEX($E$8:$CE$57, MATCH($C42, $C$8:$C$57, 0), (COLUMNS($DC42:DQ42)-1)*5 + 1) = INDEX($E$5:$CE$5, 1, (COLUMNS($DC42:DQ42)-1)*5 + 1), INDEX($E$8:$CE$57, MATCH($C42, $C$8:$C$57, 0), (COLUMNS($DC42:DQ42)-1)*5 + 4) = "F"), INDEX($CZ$8:$CZ$23, COLUMNS($DC42:DQ42)), "0"), "")</f>
        <v>0</v>
      </c>
      <c r="DR42" s="390" t="str">
        <f t="array" ref="DR42">IFERROR(IF(AND(INDEX($E$8:$CE$57, MATCH($C42, $C$8:$C$57, 0), (COLUMNS($DC42:DR42)-1)*5 + 1) = INDEX($E$5:$CE$5, 1, (COLUMNS($DC42:DR42)-1)*5 + 1), INDEX($E$8:$CE$57, MATCH($C42, $C$8:$C$57, 0), (COLUMNS($DC42:DR42)-1)*5 + 4) = "F"), INDEX($CZ$8:$CZ$23, COLUMNS($DC42:DR42)), "0"), "")</f>
        <v>0</v>
      </c>
      <c r="DT42" s="537" t="str">
        <f>SEMANA2[[#This Row],[COD]]</f>
        <v>COD 35</v>
      </c>
      <c r="DU42" s="390" t="str">
        <f t="array" ref="DU42">IFERROR(IF(AND(INDEX($E$8:$CE$57, MATCH($C42, $C$8:$C$57, 0), (COLUMNS($DU42:DU42)-1)*5 + 1) = INDEX($E$5:$CE$5, 1, (COLUMNS($DU42:DU42)-1)*5 + 1), INDEX($E$8:$CE$57, MATCH($C42, $C$8:$C$57, 0), (COLUMNS($DU42:DU42)-1)*5 + 4) = "SF"), INDEX($CZ$8:$CZ$23, COLUMNS($DU42:DU42)), "0"), "")</f>
        <v>0</v>
      </c>
      <c r="DV42" s="390" t="str">
        <f t="array" ref="DV42">IFERROR(IF(AND(INDEX($E$8:$CE$57, MATCH($C42, $C$8:$C$57, 0), (COLUMNS($DU42:DV42)-1)*5 + 1) = INDEX($E$5:$CE$5, 1, (COLUMNS($DU42:DV42)-1)*5 + 1), INDEX($E$8:$CE$57, MATCH($C42, $C$8:$C$57, 0), (COLUMNS($DU42:DV42)-1)*5 + 4) = "SF"), INDEX($CZ$8:$CZ$23, COLUMNS($DU42:DV42)), "0"), "")</f>
        <v>0</v>
      </c>
      <c r="DW42" s="390" t="str">
        <f t="array" ref="DW42">IFERROR(IF(AND(INDEX($E$8:$CE$57, MATCH($C42, $C$8:$C$57, 0), (COLUMNS($DU42:DW42)-1)*5 + 1) = INDEX($E$5:$CE$5, 1, (COLUMNS($DU42:DW42)-1)*5 + 1), INDEX($E$8:$CE$57, MATCH($C42, $C$8:$C$57, 0), (COLUMNS($DU42:DW42)-1)*5 + 4) = "SF"), INDEX($CZ$8:$CZ$23, COLUMNS($DU42:DW42)), "0"), "")</f>
        <v>0</v>
      </c>
      <c r="DX42" s="390" t="str">
        <f t="array" ref="DX42">IFERROR(IF(AND(INDEX($E$8:$CE$57, MATCH($C42, $C$8:$C$57, 0), (COLUMNS($DU42:DX42)-1)*5 + 1) = INDEX($E$5:$CE$5, 1, (COLUMNS($DU42:DX42)-1)*5 + 1), INDEX($E$8:$CE$57, MATCH($C42, $C$8:$C$57, 0), (COLUMNS($DU42:DX42)-1)*5 + 4) = "SF"), INDEX($CZ$8:$CZ$23, COLUMNS($DU42:DX42)), "0"), "")</f>
        <v>0</v>
      </c>
      <c r="DY42" s="390" t="str">
        <f t="array" ref="DY42">IFERROR(IF(AND(INDEX($E$8:$CE$57, MATCH($C42, $C$8:$C$57, 0), (COLUMNS($DU42:DY42)-1)*5 + 1) = INDEX($E$5:$CE$5, 1, (COLUMNS($DU42:DY42)-1)*5 + 1), INDEX($E$8:$CE$57, MATCH($C42, $C$8:$C$57, 0), (COLUMNS($DU42:DY42)-1)*5 + 4) = "SF"), INDEX($CZ$8:$CZ$23, COLUMNS($DU42:DY42)), "0"), "")</f>
        <v>0</v>
      </c>
      <c r="DZ42" s="390" t="str">
        <f t="array" ref="DZ42">IFERROR(IF(AND(INDEX($E$8:$CE$57, MATCH($C42, $C$8:$C$57, 0), (COLUMNS($DU42:DZ42)-1)*5 + 1) = INDEX($E$5:$CE$5, 1, (COLUMNS($DU42:DZ42)-1)*5 + 1), INDEX($E$8:$CE$57, MATCH($C42, $C$8:$C$57, 0), (COLUMNS($DU42:DZ42)-1)*5 + 4) = "SF"), INDEX($CZ$8:$CZ$23, COLUMNS($DU42:DZ42)), "0"), "")</f>
        <v>0</v>
      </c>
      <c r="EA42" s="390" t="str">
        <f t="array" ref="EA42">IFERROR(IF(AND(INDEX($E$8:$CE$57, MATCH($C42, $C$8:$C$57, 0), (COLUMNS($DU42:EA42)-1)*5 + 1) = INDEX($E$5:$CE$5, 1, (COLUMNS($DU42:EA42)-1)*5 + 1), INDEX($E$8:$CE$57, MATCH($C42, $C$8:$C$57, 0), (COLUMNS($DU42:EA42)-1)*5 + 4) = "SF"), INDEX($CZ$8:$CZ$23, COLUMNS($DU42:EA42)), "0"), "")</f>
        <v>0</v>
      </c>
      <c r="EB42" s="390" t="str">
        <f t="array" ref="EB42">IFERROR(IF(AND(INDEX($E$8:$CE$57, MATCH($C42, $C$8:$C$57, 0), (COLUMNS($DU42:EB42)-1)*5 + 1) = INDEX($E$5:$CE$5, 1, (COLUMNS($DU42:EB42)-1)*5 + 1), INDEX($E$8:$CE$57, MATCH($C42, $C$8:$C$57, 0), (COLUMNS($DU42:EB42)-1)*5 + 4) = "SF"), INDEX($CZ$8:$CZ$23, COLUMNS($DU42:EB42)), "0"), "")</f>
        <v>0</v>
      </c>
      <c r="EC42" s="390" t="str">
        <f t="array" ref="EC42">IFERROR(IF(AND(INDEX($E$8:$CE$57, MATCH($C42, $C$8:$C$57, 0), (COLUMNS($DU42:EC42)-1)*5 + 1) = INDEX($E$5:$CE$5, 1, (COLUMNS($DU42:EC42)-1)*5 + 1), INDEX($E$8:$CE$57, MATCH($C42, $C$8:$C$57, 0), (COLUMNS($DU42:EC42)-1)*5 + 4) = "SF"), INDEX($CZ$8:$CZ$23, COLUMNS($DU42:EC42)), "0"), "")</f>
        <v>0</v>
      </c>
      <c r="ED42" s="390" t="str">
        <f t="array" ref="ED42">IFERROR(IF(AND(INDEX($E$8:$CE$57, MATCH($C42, $C$8:$C$57, 0), (COLUMNS($DU42:ED42)-1)*5 + 1) = INDEX($E$5:$CE$5, 1, (COLUMNS($DU42:ED42)-1)*5 + 1), INDEX($E$8:$CE$57, MATCH($C42, $C$8:$C$57, 0), (COLUMNS($DU42:ED42)-1)*5 + 4) = "SF"), INDEX($CZ$8:$CZ$23, COLUMNS($DU42:ED42)), "0"), "")</f>
        <v>0</v>
      </c>
      <c r="EE42" s="390" t="str">
        <f t="array" ref="EE42">IFERROR(IF(AND(INDEX($E$8:$CE$57, MATCH($C42, $C$8:$C$57, 0), (COLUMNS($DU42:EE42)-1)*5 + 1) = INDEX($E$5:$CE$5, 1, (COLUMNS($DU42:EE42)-1)*5 + 1), INDEX($E$8:$CE$57, MATCH($C42, $C$8:$C$57, 0), (COLUMNS($DU42:EE42)-1)*5 + 4) = "SF"), INDEX($CZ$8:$CZ$23, COLUMNS($DU42:EE42)), "0"), "")</f>
        <v>0</v>
      </c>
      <c r="EF42" s="390" t="str">
        <f t="array" ref="EF42">IFERROR(IF(AND(INDEX($E$8:$CE$57, MATCH($C42, $C$8:$C$57, 0), (COLUMNS($DU42:EF42)-1)*5 + 1) = INDEX($E$5:$CE$5, 1, (COLUMNS($DU42:EF42)-1)*5 + 1), INDEX($E$8:$CE$57, MATCH($C42, $C$8:$C$57, 0), (COLUMNS($DU42:EF42)-1)*5 + 4) = "SF"), INDEX($CZ$8:$CZ$23, COLUMNS($DU42:EF42)), "0"), "")</f>
        <v>0</v>
      </c>
      <c r="EG42" s="390" t="str">
        <f t="array" ref="EG42">IFERROR(IF(AND(INDEX($E$8:$CE$57, MATCH($C42, $C$8:$C$57, 0), (COLUMNS($DU42:EG42)-1)*5 + 1) = INDEX($E$5:$CE$5, 1, (COLUMNS($DU42:EG42)-1)*5 + 1), INDEX($E$8:$CE$57, MATCH($C42, $C$8:$C$57, 0), (COLUMNS($DU42:EG42)-1)*5 + 4) = "SF"), INDEX($CZ$8:$CZ$23, COLUMNS($DU42:EG42)), "0"), "")</f>
        <v>0</v>
      </c>
      <c r="EH42" s="390" t="str">
        <f t="array" ref="EH42">IFERROR(IF(AND(INDEX($E$8:$CE$57, MATCH($C42, $C$8:$C$57, 0), (COLUMNS($DU42:EH42)-1)*5 + 1) = INDEX($E$5:$CE$5, 1, (COLUMNS($DU42:EH42)-1)*5 + 1), INDEX($E$8:$CE$57, MATCH($C42, $C$8:$C$57, 0), (COLUMNS($DU42:EH42)-1)*5 + 4) = "SF"), INDEX($CZ$8:$CZ$23, COLUMNS($DU42:EH42)), "0"), "")</f>
        <v>0</v>
      </c>
      <c r="EI42" s="390" t="str">
        <f t="array" ref="EI42">IFERROR(IF(AND(INDEX($E$8:$CE$57, MATCH($C42, $C$8:$C$57, 0), (COLUMNS($DU42:EI42)-1)*5 + 1) = INDEX($E$5:$CE$5, 1, (COLUMNS($DU42:EI42)-1)*5 + 1), INDEX($E$8:$CE$57, MATCH($C42, $C$8:$C$57, 0), (COLUMNS($DU42:EI42)-1)*5 + 4) = "SF"), INDEX($CZ$8:$CZ$23, COLUMNS($DU42:EI42)), "0"), "")</f>
        <v>0</v>
      </c>
      <c r="EJ42" s="390" t="str">
        <f t="array" ref="EJ42">IFERROR(IF(AND(INDEX($E$8:$CE$57, MATCH($C42, $C$8:$C$57, 0), (COLUMNS($DU42:EJ42)-1)*5 + 1) = INDEX($E$5:$CE$5, 1, (COLUMNS($DU42:EJ42)-1)*5 + 1), INDEX($E$8:$CE$57, MATCH($C42, $C$8:$C$57, 0), (COLUMNS($DU42:EJ42)-1)*5 + 4) = "SF"), INDEX($CZ$8:$CZ$23, COLUMNS($DU42:EJ42)), "0"), "")</f>
        <v>0</v>
      </c>
    </row>
    <row r="43" spans="1:140" ht="20.100000000000001" customHeight="1" x14ac:dyDescent="0.35">
      <c r="A43" s="515"/>
      <c r="B43" s="444">
        <f>IF(SEMANA2[[#This Row],[COD]]&lt;&gt;"",B42+1,"")</f>
        <v>36</v>
      </c>
      <c r="C43" s="554" t="s">
        <v>101</v>
      </c>
      <c r="D43" s="410" t="str">
        <f t="array" ref="D43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43" s="414">
        <v>9</v>
      </c>
      <c r="F43" s="415"/>
      <c r="G43" s="415"/>
      <c r="H43" s="415" t="s">
        <v>255</v>
      </c>
      <c r="I43" s="534">
        <f t="shared" si="18"/>
        <v>0</v>
      </c>
      <c r="J43" s="414">
        <v>1</v>
      </c>
      <c r="K43" s="415">
        <v>7</v>
      </c>
      <c r="L43" s="415">
        <v>4</v>
      </c>
      <c r="M43" s="415" t="s">
        <v>254</v>
      </c>
      <c r="N43" s="534">
        <f t="shared" si="19"/>
        <v>2</v>
      </c>
      <c r="O43" s="414">
        <v>5</v>
      </c>
      <c r="P43" s="415">
        <v>1</v>
      </c>
      <c r="Q43" s="415">
        <v>7</v>
      </c>
      <c r="R43" s="415"/>
      <c r="S43" s="534">
        <f t="shared" si="20"/>
        <v>2</v>
      </c>
      <c r="T43" s="414">
        <v>5</v>
      </c>
      <c r="U43" s="415">
        <v>3</v>
      </c>
      <c r="V43" s="415">
        <v>4</v>
      </c>
      <c r="W43" s="415"/>
      <c r="X43" s="534">
        <f t="shared" si="21"/>
        <v>0</v>
      </c>
      <c r="Y43" s="414">
        <v>4</v>
      </c>
      <c r="Z43" s="415">
        <v>5</v>
      </c>
      <c r="AA43" s="415">
        <v>2</v>
      </c>
      <c r="AB43" s="415"/>
      <c r="AC43" s="534">
        <f t="shared" si="22"/>
        <v>1</v>
      </c>
      <c r="AD43" s="414">
        <v>10</v>
      </c>
      <c r="AE43" s="415">
        <v>4</v>
      </c>
      <c r="AF43" s="415">
        <v>5</v>
      </c>
      <c r="AG43" s="415"/>
      <c r="AH43" s="534">
        <f t="shared" si="23"/>
        <v>0</v>
      </c>
      <c r="AI43" s="414">
        <v>6</v>
      </c>
      <c r="AJ43" s="415">
        <v>7</v>
      </c>
      <c r="AK43" s="415">
        <v>2</v>
      </c>
      <c r="AL43" s="415"/>
      <c r="AM43" s="534">
        <f t="shared" si="24"/>
        <v>0</v>
      </c>
      <c r="AN43" s="414">
        <v>8</v>
      </c>
      <c r="AO43" s="415">
        <v>1</v>
      </c>
      <c r="AP43" s="415">
        <v>2</v>
      </c>
      <c r="AQ43" s="415"/>
      <c r="AR43" s="534">
        <f t="shared" si="25"/>
        <v>3.5</v>
      </c>
      <c r="AS43" s="414">
        <v>1</v>
      </c>
      <c r="AT43" s="415">
        <v>10</v>
      </c>
      <c r="AU43" s="415">
        <v>9</v>
      </c>
      <c r="AV43" s="415"/>
      <c r="AW43" s="534">
        <f t="shared" si="26"/>
        <v>0</v>
      </c>
      <c r="AX43" s="414">
        <v>6</v>
      </c>
      <c r="AY43" s="415">
        <v>1</v>
      </c>
      <c r="AZ43" s="415">
        <v>7</v>
      </c>
      <c r="BA43" s="415"/>
      <c r="BB43" s="534">
        <f t="shared" si="27"/>
        <v>0</v>
      </c>
      <c r="BC43" s="414">
        <v>7</v>
      </c>
      <c r="BD43" s="415">
        <v>5</v>
      </c>
      <c r="BE43" s="415">
        <v>6</v>
      </c>
      <c r="BF43" s="415" t="s">
        <v>254</v>
      </c>
      <c r="BG43" s="534">
        <f t="shared" si="28"/>
        <v>7</v>
      </c>
      <c r="BH43" s="414">
        <v>2</v>
      </c>
      <c r="BI43" s="415">
        <v>6</v>
      </c>
      <c r="BJ43" s="415">
        <v>1</v>
      </c>
      <c r="BK43" s="415"/>
      <c r="BL43" s="534">
        <f t="shared" si="29"/>
        <v>2</v>
      </c>
      <c r="BM43" s="414">
        <v>4</v>
      </c>
      <c r="BN43" s="415">
        <v>3</v>
      </c>
      <c r="BO43" s="415">
        <v>1</v>
      </c>
      <c r="BP43" s="415"/>
      <c r="BQ43" s="534">
        <f t="shared" si="30"/>
        <v>0</v>
      </c>
      <c r="BR43" s="414">
        <v>5</v>
      </c>
      <c r="BS43" s="415">
        <v>1</v>
      </c>
      <c r="BT43" s="415">
        <v>11</v>
      </c>
      <c r="BU43" s="415"/>
      <c r="BV43" s="534">
        <f t="shared" si="31"/>
        <v>4</v>
      </c>
      <c r="BW43" s="414"/>
      <c r="BX43" s="415"/>
      <c r="BY43" s="415"/>
      <c r="BZ43" s="415"/>
      <c r="CA43" s="534">
        <f t="shared" si="32"/>
        <v>0</v>
      </c>
      <c r="CB43" s="414"/>
      <c r="CC43" s="415"/>
      <c r="CD43" s="415"/>
      <c r="CE43" s="415"/>
      <c r="CF43" s="534">
        <f t="shared" si="33"/>
        <v>0</v>
      </c>
      <c r="CG43" s="162">
        <f>IF(SEMANA2[[#This Row],[1]]="",0,$B$4)</f>
        <v>14</v>
      </c>
      <c r="CH43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2</v>
      </c>
      <c r="CI43" s="164">
        <f>IF(SEMANA2[[#This Row],[Columna14]]=0,0,(CH43/CG43))</f>
        <v>0.14285714285714285</v>
      </c>
      <c r="CJ43" s="163">
        <f>IF(SEMANA2[[#This Row],[1]]="",0,$B$4)</f>
        <v>14</v>
      </c>
      <c r="CK43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6</v>
      </c>
      <c r="CL43" s="164">
        <f>IF(SEMANA2[[#This Row],[Columna14]]=0,0,(CK43/CJ43))</f>
        <v>0.42857142857142855</v>
      </c>
      <c r="CM43" s="162">
        <f>IF(SEMANA2[[#This Row],[1]]="",0,$B$4)</f>
        <v>14</v>
      </c>
      <c r="CN43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7</v>
      </c>
      <c r="CO43" s="164">
        <f>IF(SEMANA2[[#This Row],[Columna14]]=0,0,(CN43/CM43))</f>
        <v>0.5</v>
      </c>
      <c r="CP43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43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Row],[Columna25]],$AX$5,BA43,"SF")+COUNTIFS(SEMANA2[[#This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1</v>
      </c>
      <c r="CR43" s="164">
        <f>IFERROR(IF(SEMANA2[[#This Row],[Columna14]]=0,0,(CQ43/CP43)),0)</f>
        <v>0.33333333333333331</v>
      </c>
      <c r="CS43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21.5</v>
      </c>
      <c r="CT43" s="93">
        <f>_xlfn.XLOOKUP(SEMANA2[[#This Row],[COD]],BASE01[COD],BASE01[Columna33])</f>
        <v>40</v>
      </c>
      <c r="CU43" s="536">
        <f t="shared" si="34"/>
        <v>61.5</v>
      </c>
      <c r="CV43" s="445">
        <f>IF(SEMANA2[[#This Row],[TIPO]]="PREMIO",$O$3,"0,00")</f>
        <v>1000</v>
      </c>
      <c r="CW43" s="515"/>
      <c r="CY43" s="387" t="str">
        <f t="shared" si="17"/>
        <v/>
      </c>
      <c r="CZ43" s="387"/>
      <c r="DA43" s="387" t="str">
        <f t="array" ref="DA43">IF(CZ43="", "", IF((INDEX(E$8:CE$57, MATCH(CZ43, C$8:C$57, 0), ($CZ$25-1)*5 + 1) &amp; "") = (INDEX(E$5:CE$5, 1, ($CZ$25-1)*5 + 1) &amp; ""), 1, IF((INDEX(E$8:CE$57, MATCH(CZ43, C$8:C$57, 0), ($CZ$25-1)*5 + 2) &amp; "") = (INDEX(E$5:CE$5, 1, ($CZ$25-1)*5 + 1) &amp; ""), 2, IF((INDEX(E$8:CE$57, MATCH(CZ43, C$8:C$57, 0), ($CZ$25-1)*5 + 3) &amp; "") = (INDEX(E$5:CE$5, 1, ($CZ$25-1)*5 + 1) &amp; ""), 3, ""))))</f>
        <v/>
      </c>
      <c r="DB43" s="537" t="str">
        <f>SEMANA2[[#This Row],[COD]]</f>
        <v>COD 36</v>
      </c>
      <c r="DC43" s="390" t="str">
        <f t="array" ref="DC43">IFERROR(IF(AND(INDEX($E$8:$CE$57, MATCH($C43, $C$8:$C$57, 0), (COLUMNS($DC43:DC43)-1)*5 + 1) = INDEX($E$5:$CE$5, 1, (COLUMNS($DC43:DC43)-1)*5 + 1), INDEX($E$8:$CE$57, MATCH($C43, $C$8:$C$57, 0), (COLUMNS($DC43:DC43)-1)*5 + 4) = "F"), INDEX($CZ$8:$CZ$23, COLUMNS($DC43:DC43)), "0"), "")</f>
        <v>0</v>
      </c>
      <c r="DD43" s="390" t="str">
        <f t="array" ref="DD43">IFERROR(IF(AND(INDEX($E$8:$CE$57, MATCH($C43, $C$8:$C$57, 0), (COLUMNS($DC43:DD43)-1)*5 + 1) = INDEX($E$5:$CE$5, 1, (COLUMNS($DC43:DD43)-1)*5 + 1), INDEX($E$8:$CE$57, MATCH($C43, $C$8:$C$57, 0), (COLUMNS($DC43:DD43)-1)*5 + 4) = "F"), INDEX($CZ$8:$CZ$23, COLUMNS($DC43:DD43)), "0"), "")</f>
        <v>0</v>
      </c>
      <c r="DE43" s="390" t="str">
        <f t="array" ref="DE43">IFERROR(IF(AND(INDEX($E$8:$CE$57, MATCH($C43, $C$8:$C$57, 0), (COLUMNS($DC43:DE43)-1)*5 + 1) = INDEX($E$5:$CE$5, 1, (COLUMNS($DC43:DE43)-1)*5 + 1), INDEX($E$8:$CE$57, MATCH($C43, $C$8:$C$57, 0), (COLUMNS($DC43:DE43)-1)*5 + 4) = "F"), INDEX($CZ$8:$CZ$23, COLUMNS($DC43:DE43)), "0"), "")</f>
        <v>0</v>
      </c>
      <c r="DF43" s="390" t="str">
        <f t="array" ref="DF43">IFERROR(IF(AND(INDEX($E$8:$CE$57, MATCH($C43, $C$8:$C$57, 0), (COLUMNS($DC43:DF43)-1)*5 + 1) = INDEX($E$5:$CE$5, 1, (COLUMNS($DC43:DF43)-1)*5 + 1), INDEX($E$8:$CE$57, MATCH($C43, $C$8:$C$57, 0), (COLUMNS($DC43:DF43)-1)*5 + 4) = "F"), INDEX($CZ$8:$CZ$23, COLUMNS($DC43:DF43)), "0"), "")</f>
        <v>0</v>
      </c>
      <c r="DG43" s="390" t="str">
        <f t="array" ref="DG43">IFERROR(IF(AND(INDEX($E$8:$CE$57, MATCH($C43, $C$8:$C$57, 0), (COLUMNS($DC43:DG43)-1)*5 + 1) = INDEX($E$5:$CE$5, 1, (COLUMNS($DC43:DG43)-1)*5 + 1), INDEX($E$8:$CE$57, MATCH($C43, $C$8:$C$57, 0), (COLUMNS($DC43:DG43)-1)*5 + 4) = "F"), INDEX($CZ$8:$CZ$23, COLUMNS($DC43:DG43)), "0"), "")</f>
        <v>0</v>
      </c>
      <c r="DH43" s="390" t="str">
        <f t="array" ref="DH43">IFERROR(IF(AND(INDEX($E$8:$CE$57, MATCH($C43, $C$8:$C$57, 0), (COLUMNS($DC43:DH43)-1)*5 + 1) = INDEX($E$5:$CE$5, 1, (COLUMNS($DC43:DH43)-1)*5 + 1), INDEX($E$8:$CE$57, MATCH($C43, $C$8:$C$57, 0), (COLUMNS($DC43:DH43)-1)*5 + 4) = "F"), INDEX($CZ$8:$CZ$23, COLUMNS($DC43:DH43)), "0"), "")</f>
        <v>0</v>
      </c>
      <c r="DI43" s="390" t="str">
        <f t="array" ref="DI43">IFERROR(IF(AND(INDEX($E$8:$CE$57, MATCH($C43, $C$8:$C$57, 0), (COLUMNS($DC43:DI43)-1)*5 + 1) = INDEX($E$5:$CE$5, 1, (COLUMNS($DC43:DI43)-1)*5 + 1), INDEX($E$8:$CE$57, MATCH($C43, $C$8:$C$57, 0), (COLUMNS($DC43:DI43)-1)*5 + 4) = "F"), INDEX($CZ$8:$CZ$23, COLUMNS($DC43:DI43)), "0"), "")</f>
        <v>0</v>
      </c>
      <c r="DJ43" s="390" t="str">
        <f t="array" ref="DJ43">IFERROR(IF(AND(INDEX($E$8:$CE$57, MATCH($C43, $C$8:$C$57, 0), (COLUMNS($DC43:DJ43)-1)*5 + 1) = INDEX($E$5:$CE$5, 1, (COLUMNS($DC43:DJ43)-1)*5 + 1), INDEX($E$8:$CE$57, MATCH($C43, $C$8:$C$57, 0), (COLUMNS($DC43:DJ43)-1)*5 + 4) = "F"), INDEX($CZ$8:$CZ$23, COLUMNS($DC43:DJ43)), "0"), "")</f>
        <v>0</v>
      </c>
      <c r="DK43" s="390" t="str">
        <f t="array" ref="DK43">IFERROR(IF(AND(INDEX($E$8:$CE$57, MATCH($C43, $C$8:$C$57, 0), (COLUMNS($DC43:DK43)-1)*5 + 1) = INDEX($E$5:$CE$5, 1, (COLUMNS($DC43:DK43)-1)*5 + 1), INDEX($E$8:$CE$57, MATCH($C43, $C$8:$C$57, 0), (COLUMNS($DC43:DK43)-1)*5 + 4) = "F"), INDEX($CZ$8:$CZ$23, COLUMNS($DC43:DK43)), "0"), "")</f>
        <v>0</v>
      </c>
      <c r="DL43" s="390" t="str">
        <f t="array" ref="DL43">IFERROR(IF(AND(INDEX($E$8:$CE$57, MATCH($C43, $C$8:$C$57, 0), (COLUMNS($DC43:DL43)-1)*5 + 1) = INDEX($E$5:$CE$5, 1, (COLUMNS($DC43:DL43)-1)*5 + 1), INDEX($E$8:$CE$57, MATCH($C43, $C$8:$C$57, 0), (COLUMNS($DC43:DL43)-1)*5 + 4) = "F"), INDEX($CZ$8:$CZ$23, COLUMNS($DC43:DL43)), "0"), "")</f>
        <v>0</v>
      </c>
      <c r="DM43" s="390">
        <f t="array" ref="DM43">IFERROR(IF(AND(INDEX($E$8:$CE$57, MATCH($C43, $C$8:$C$57, 0), (COLUMNS($DC43:DM43)-1)*5 + 1) = INDEX($E$5:$CE$5, 1, (COLUMNS($DC43:DM43)-1)*5 + 1), INDEX($E$8:$CE$57, MATCH($C43, $C$8:$C$57, 0), (COLUMNS($DC43:DM43)-1)*5 + 4) = "F"), INDEX($CZ$8:$CZ$23, COLUMNS($DC43:DM43)), "0"), "")</f>
        <v>156.87</v>
      </c>
      <c r="DN43" s="390" t="str">
        <f t="array" ref="DN43">IFERROR(IF(AND(INDEX($E$8:$CE$57, MATCH($C43, $C$8:$C$57, 0), (COLUMNS($DC43:DN43)-1)*5 + 1) = INDEX($E$5:$CE$5, 1, (COLUMNS($DC43:DN43)-1)*5 + 1), INDEX($E$8:$CE$57, MATCH($C43, $C$8:$C$57, 0), (COLUMNS($DC43:DN43)-1)*5 + 4) = "F"), INDEX($CZ$8:$CZ$23, COLUMNS($DC43:DN43)), "0"), "")</f>
        <v>0</v>
      </c>
      <c r="DO43" s="390" t="str">
        <f t="array" ref="DO43">IFERROR(IF(AND(INDEX($E$8:$CE$57, MATCH($C43, $C$8:$C$57, 0), (COLUMNS($DC43:DO43)-1)*5 + 1) = INDEX($E$5:$CE$5, 1, (COLUMNS($DC43:DO43)-1)*5 + 1), INDEX($E$8:$CE$57, MATCH($C43, $C$8:$C$57, 0), (COLUMNS($DC43:DO43)-1)*5 + 4) = "F"), INDEX($CZ$8:$CZ$23, COLUMNS($DC43:DO43)), "0"), "")</f>
        <v>0</v>
      </c>
      <c r="DP43" s="390" t="str">
        <f t="array" ref="DP43">IFERROR(IF(AND(INDEX($E$8:$CE$57, MATCH($C43, $C$8:$C$57, 0), (COLUMNS($DC43:DP43)-1)*5 + 1) = INDEX($E$5:$CE$5, 1, (COLUMNS($DC43:DP43)-1)*5 + 1), INDEX($E$8:$CE$57, MATCH($C43, $C$8:$C$57, 0), (COLUMNS($DC43:DP43)-1)*5 + 4) = "F"), INDEX($CZ$8:$CZ$23, COLUMNS($DC43:DP43)), "0"), "")</f>
        <v>0</v>
      </c>
      <c r="DQ43" s="390" t="str">
        <f t="array" ref="DQ43">IFERROR(IF(AND(INDEX($E$8:$CE$57, MATCH($C43, $C$8:$C$57, 0), (COLUMNS($DC43:DQ43)-1)*5 + 1) = INDEX($E$5:$CE$5, 1, (COLUMNS($DC43:DQ43)-1)*5 + 1), INDEX($E$8:$CE$57, MATCH($C43, $C$8:$C$57, 0), (COLUMNS($DC43:DQ43)-1)*5 + 4) = "F"), INDEX($CZ$8:$CZ$23, COLUMNS($DC43:DQ43)), "0"), "")</f>
        <v>0</v>
      </c>
      <c r="DR43" s="390" t="str">
        <f t="array" ref="DR43">IFERROR(IF(AND(INDEX($E$8:$CE$57, MATCH($C43, $C$8:$C$57, 0), (COLUMNS($DC43:DR43)-1)*5 + 1) = INDEX($E$5:$CE$5, 1, (COLUMNS($DC43:DR43)-1)*5 + 1), INDEX($E$8:$CE$57, MATCH($C43, $C$8:$C$57, 0), (COLUMNS($DC43:DR43)-1)*5 + 4) = "F"), INDEX($CZ$8:$CZ$23, COLUMNS($DC43:DR43)), "0"), "")</f>
        <v>0</v>
      </c>
      <c r="DT43" s="537" t="str">
        <f>SEMANA2[[#This Row],[COD]]</f>
        <v>COD 36</v>
      </c>
      <c r="DU43" s="390" t="str">
        <f t="array" ref="DU43">IFERROR(IF(AND(INDEX($E$8:$CE$57, MATCH($C43, $C$8:$C$57, 0), (COLUMNS($DU43:DU43)-1)*5 + 1) = INDEX($E$5:$CE$5, 1, (COLUMNS($DU43:DU43)-1)*5 + 1), INDEX($E$8:$CE$57, MATCH($C43, $C$8:$C$57, 0), (COLUMNS($DU43:DU43)-1)*5 + 4) = "SF"), INDEX($CZ$8:$CZ$23, COLUMNS($DU43:DU43)), "0"), "")</f>
        <v>0</v>
      </c>
      <c r="DV43" s="390" t="str">
        <f t="array" ref="DV43">IFERROR(IF(AND(INDEX($E$8:$CE$57, MATCH($C43, $C$8:$C$57, 0), (COLUMNS($DU43:DV43)-1)*5 + 1) = INDEX($E$5:$CE$5, 1, (COLUMNS($DU43:DV43)-1)*5 + 1), INDEX($E$8:$CE$57, MATCH($C43, $C$8:$C$57, 0), (COLUMNS($DU43:DV43)-1)*5 + 4) = "SF"), INDEX($CZ$8:$CZ$23, COLUMNS($DU43:DV43)), "0"), "")</f>
        <v>0</v>
      </c>
      <c r="DW43" s="390" t="str">
        <f t="array" ref="DW43">IFERROR(IF(AND(INDEX($E$8:$CE$57, MATCH($C43, $C$8:$C$57, 0), (COLUMNS($DU43:DW43)-1)*5 + 1) = INDEX($E$5:$CE$5, 1, (COLUMNS($DU43:DW43)-1)*5 + 1), INDEX($E$8:$CE$57, MATCH($C43, $C$8:$C$57, 0), (COLUMNS($DU43:DW43)-1)*5 + 4) = "SF"), INDEX($CZ$8:$CZ$23, COLUMNS($DU43:DW43)), "0"), "")</f>
        <v>0</v>
      </c>
      <c r="DX43" s="390" t="str">
        <f t="array" ref="DX43">IFERROR(IF(AND(INDEX($E$8:$CE$57, MATCH($C43, $C$8:$C$57, 0), (COLUMNS($DU43:DX43)-1)*5 + 1) = INDEX($E$5:$CE$5, 1, (COLUMNS($DU43:DX43)-1)*5 + 1), INDEX($E$8:$CE$57, MATCH($C43, $C$8:$C$57, 0), (COLUMNS($DU43:DX43)-1)*5 + 4) = "SF"), INDEX($CZ$8:$CZ$23, COLUMNS($DU43:DX43)), "0"), "")</f>
        <v>0</v>
      </c>
      <c r="DY43" s="390" t="str">
        <f t="array" ref="DY43">IFERROR(IF(AND(INDEX($E$8:$CE$57, MATCH($C43, $C$8:$C$57, 0), (COLUMNS($DU43:DY43)-1)*5 + 1) = INDEX($E$5:$CE$5, 1, (COLUMNS($DU43:DY43)-1)*5 + 1), INDEX($E$8:$CE$57, MATCH($C43, $C$8:$C$57, 0), (COLUMNS($DU43:DY43)-1)*5 + 4) = "SF"), INDEX($CZ$8:$CZ$23, COLUMNS($DU43:DY43)), "0"), "")</f>
        <v>0</v>
      </c>
      <c r="DZ43" s="390" t="str">
        <f t="array" ref="DZ43">IFERROR(IF(AND(INDEX($E$8:$CE$57, MATCH($C43, $C$8:$C$57, 0), (COLUMNS($DU43:DZ43)-1)*5 + 1) = INDEX($E$5:$CE$5, 1, (COLUMNS($DU43:DZ43)-1)*5 + 1), INDEX($E$8:$CE$57, MATCH($C43, $C$8:$C$57, 0), (COLUMNS($DU43:DZ43)-1)*5 + 4) = "SF"), INDEX($CZ$8:$CZ$23, COLUMNS($DU43:DZ43)), "0"), "")</f>
        <v>0</v>
      </c>
      <c r="EA43" s="390" t="str">
        <f t="array" ref="EA43">IFERROR(IF(AND(INDEX($E$8:$CE$57, MATCH($C43, $C$8:$C$57, 0), (COLUMNS($DU43:EA43)-1)*5 + 1) = INDEX($E$5:$CE$5, 1, (COLUMNS($DU43:EA43)-1)*5 + 1), INDEX($E$8:$CE$57, MATCH($C43, $C$8:$C$57, 0), (COLUMNS($DU43:EA43)-1)*5 + 4) = "SF"), INDEX($CZ$8:$CZ$23, COLUMNS($DU43:EA43)), "0"), "")</f>
        <v>0</v>
      </c>
      <c r="EB43" s="390" t="str">
        <f t="array" ref="EB43">IFERROR(IF(AND(INDEX($E$8:$CE$57, MATCH($C43, $C$8:$C$57, 0), (COLUMNS($DU43:EB43)-1)*5 + 1) = INDEX($E$5:$CE$5, 1, (COLUMNS($DU43:EB43)-1)*5 + 1), INDEX($E$8:$CE$57, MATCH($C43, $C$8:$C$57, 0), (COLUMNS($DU43:EB43)-1)*5 + 4) = "SF"), INDEX($CZ$8:$CZ$23, COLUMNS($DU43:EB43)), "0"), "")</f>
        <v>0</v>
      </c>
      <c r="EC43" s="390" t="str">
        <f t="array" ref="EC43">IFERROR(IF(AND(INDEX($E$8:$CE$57, MATCH($C43, $C$8:$C$57, 0), (COLUMNS($DU43:EC43)-1)*5 + 1) = INDEX($E$5:$CE$5, 1, (COLUMNS($DU43:EC43)-1)*5 + 1), INDEX($E$8:$CE$57, MATCH($C43, $C$8:$C$57, 0), (COLUMNS($DU43:EC43)-1)*5 + 4) = "SF"), INDEX($CZ$8:$CZ$23, COLUMNS($DU43:EC43)), "0"), "")</f>
        <v>0</v>
      </c>
      <c r="ED43" s="390" t="str">
        <f t="array" ref="ED43">IFERROR(IF(AND(INDEX($E$8:$CE$57, MATCH($C43, $C$8:$C$57, 0), (COLUMNS($DU43:ED43)-1)*5 + 1) = INDEX($E$5:$CE$5, 1, (COLUMNS($DU43:ED43)-1)*5 + 1), INDEX($E$8:$CE$57, MATCH($C43, $C$8:$C$57, 0), (COLUMNS($DU43:ED43)-1)*5 + 4) = "SF"), INDEX($CZ$8:$CZ$23, COLUMNS($DU43:ED43)), "0"), "")</f>
        <v>0</v>
      </c>
      <c r="EE43" s="390" t="str">
        <f t="array" ref="EE43">IFERROR(IF(AND(INDEX($E$8:$CE$57, MATCH($C43, $C$8:$C$57, 0), (COLUMNS($DU43:EE43)-1)*5 + 1) = INDEX($E$5:$CE$5, 1, (COLUMNS($DU43:EE43)-1)*5 + 1), INDEX($E$8:$CE$57, MATCH($C43, $C$8:$C$57, 0), (COLUMNS($DU43:EE43)-1)*5 + 4) = "SF"), INDEX($CZ$8:$CZ$23, COLUMNS($DU43:EE43)), "0"), "")</f>
        <v>0</v>
      </c>
      <c r="EF43" s="390" t="str">
        <f t="array" ref="EF43">IFERROR(IF(AND(INDEX($E$8:$CE$57, MATCH($C43, $C$8:$C$57, 0), (COLUMNS($DU43:EF43)-1)*5 + 1) = INDEX($E$5:$CE$5, 1, (COLUMNS($DU43:EF43)-1)*5 + 1), INDEX($E$8:$CE$57, MATCH($C43, $C$8:$C$57, 0), (COLUMNS($DU43:EF43)-1)*5 + 4) = "SF"), INDEX($CZ$8:$CZ$23, COLUMNS($DU43:EF43)), "0"), "")</f>
        <v>0</v>
      </c>
      <c r="EG43" s="390" t="str">
        <f t="array" ref="EG43">IFERROR(IF(AND(INDEX($E$8:$CE$57, MATCH($C43, $C$8:$C$57, 0), (COLUMNS($DU43:EG43)-1)*5 + 1) = INDEX($E$5:$CE$5, 1, (COLUMNS($DU43:EG43)-1)*5 + 1), INDEX($E$8:$CE$57, MATCH($C43, $C$8:$C$57, 0), (COLUMNS($DU43:EG43)-1)*5 + 4) = "SF"), INDEX($CZ$8:$CZ$23, COLUMNS($DU43:EG43)), "0"), "")</f>
        <v>0</v>
      </c>
      <c r="EH43" s="390" t="str">
        <f t="array" ref="EH43">IFERROR(IF(AND(INDEX($E$8:$CE$57, MATCH($C43, $C$8:$C$57, 0), (COLUMNS($DU43:EH43)-1)*5 + 1) = INDEX($E$5:$CE$5, 1, (COLUMNS($DU43:EH43)-1)*5 + 1), INDEX($E$8:$CE$57, MATCH($C43, $C$8:$C$57, 0), (COLUMNS($DU43:EH43)-1)*5 + 4) = "SF"), INDEX($CZ$8:$CZ$23, COLUMNS($DU43:EH43)), "0"), "")</f>
        <v>0</v>
      </c>
      <c r="EI43" s="390" t="str">
        <f t="array" ref="EI43">IFERROR(IF(AND(INDEX($E$8:$CE$57, MATCH($C43, $C$8:$C$57, 0), (COLUMNS($DU43:EI43)-1)*5 + 1) = INDEX($E$5:$CE$5, 1, (COLUMNS($DU43:EI43)-1)*5 + 1), INDEX($E$8:$CE$57, MATCH($C43, $C$8:$C$57, 0), (COLUMNS($DU43:EI43)-1)*5 + 4) = "SF"), INDEX($CZ$8:$CZ$23, COLUMNS($DU43:EI43)), "0"), "")</f>
        <v>0</v>
      </c>
      <c r="EJ43" s="390" t="str">
        <f t="array" ref="EJ43">IFERROR(IF(AND(INDEX($E$8:$CE$57, MATCH($C43, $C$8:$C$57, 0), (COLUMNS($DU43:EJ43)-1)*5 + 1) = INDEX($E$5:$CE$5, 1, (COLUMNS($DU43:EJ43)-1)*5 + 1), INDEX($E$8:$CE$57, MATCH($C43, $C$8:$C$57, 0), (COLUMNS($DU43:EJ43)-1)*5 + 4) = "SF"), INDEX($CZ$8:$CZ$23, COLUMNS($DU43:EJ43)), "0"), "")</f>
        <v>0</v>
      </c>
    </row>
    <row r="44" spans="1:140" ht="20.100000000000001" customHeight="1" x14ac:dyDescent="0.35">
      <c r="A44" s="515"/>
      <c r="B44" s="444">
        <f>IF(SEMANA2[[#This Row],[COD]]&lt;&gt;"",B43+1,"")</f>
        <v>37</v>
      </c>
      <c r="C44" s="554" t="s">
        <v>103</v>
      </c>
      <c r="D44" s="410" t="str">
        <f t="array" ref="D44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44" s="411">
        <v>9</v>
      </c>
      <c r="F44" s="412"/>
      <c r="G44" s="412"/>
      <c r="H44" s="412" t="s">
        <v>255</v>
      </c>
      <c r="I44" s="534">
        <f t="shared" si="18"/>
        <v>0</v>
      </c>
      <c r="J44" s="411">
        <v>1</v>
      </c>
      <c r="K44" s="412">
        <v>2</v>
      </c>
      <c r="L44" s="412">
        <v>6</v>
      </c>
      <c r="M44" s="412"/>
      <c r="N44" s="534">
        <f t="shared" si="19"/>
        <v>0</v>
      </c>
      <c r="O44" s="411">
        <v>5</v>
      </c>
      <c r="P44" s="412">
        <v>1</v>
      </c>
      <c r="Q44" s="412">
        <v>7</v>
      </c>
      <c r="R44" s="412"/>
      <c r="S44" s="534">
        <f t="shared" si="20"/>
        <v>2</v>
      </c>
      <c r="T44" s="411">
        <v>3</v>
      </c>
      <c r="U44" s="412">
        <v>1</v>
      </c>
      <c r="V44" s="412">
        <v>5</v>
      </c>
      <c r="W44" s="412"/>
      <c r="X44" s="534">
        <f t="shared" si="21"/>
        <v>3</v>
      </c>
      <c r="Y44" s="411">
        <v>5</v>
      </c>
      <c r="Z44" s="412">
        <v>2</v>
      </c>
      <c r="AA44" s="412">
        <v>1</v>
      </c>
      <c r="AB44" s="412"/>
      <c r="AC44" s="534">
        <f t="shared" si="22"/>
        <v>2</v>
      </c>
      <c r="AD44" s="411">
        <v>4</v>
      </c>
      <c r="AE44" s="412">
        <v>5</v>
      </c>
      <c r="AF44" s="412">
        <v>10</v>
      </c>
      <c r="AG44" s="412"/>
      <c r="AH44" s="534">
        <f t="shared" si="23"/>
        <v>0</v>
      </c>
      <c r="AI44" s="411">
        <v>7</v>
      </c>
      <c r="AJ44" s="412">
        <v>6</v>
      </c>
      <c r="AK44" s="412">
        <v>3</v>
      </c>
      <c r="AL44" s="412"/>
      <c r="AM44" s="534">
        <f t="shared" si="24"/>
        <v>0</v>
      </c>
      <c r="AN44" s="411">
        <v>8</v>
      </c>
      <c r="AO44" s="412">
        <v>1</v>
      </c>
      <c r="AP44" s="412">
        <v>2</v>
      </c>
      <c r="AQ44" s="412" t="s">
        <v>254</v>
      </c>
      <c r="AR44" s="534">
        <f t="shared" si="25"/>
        <v>4.5</v>
      </c>
      <c r="AS44" s="411">
        <v>11</v>
      </c>
      <c r="AT44" s="412">
        <v>5</v>
      </c>
      <c r="AU44" s="412">
        <v>9</v>
      </c>
      <c r="AV44" s="412"/>
      <c r="AW44" s="534">
        <f t="shared" si="26"/>
        <v>0</v>
      </c>
      <c r="AX44" s="411">
        <v>6</v>
      </c>
      <c r="AY44" s="412">
        <v>10</v>
      </c>
      <c r="AZ44" s="412">
        <v>7</v>
      </c>
      <c r="BA44" s="412"/>
      <c r="BB44" s="534">
        <f t="shared" si="27"/>
        <v>0</v>
      </c>
      <c r="BC44" s="411">
        <v>7</v>
      </c>
      <c r="BD44" s="412">
        <v>3</v>
      </c>
      <c r="BE44" s="412">
        <v>4</v>
      </c>
      <c r="BF44" s="412" t="s">
        <v>254</v>
      </c>
      <c r="BG44" s="534">
        <f t="shared" si="28"/>
        <v>5</v>
      </c>
      <c r="BH44" s="411">
        <v>1</v>
      </c>
      <c r="BI44" s="412">
        <v>2</v>
      </c>
      <c r="BJ44" s="412">
        <v>6</v>
      </c>
      <c r="BK44" s="412"/>
      <c r="BL44" s="534">
        <f t="shared" si="29"/>
        <v>1</v>
      </c>
      <c r="BM44" s="411">
        <v>9</v>
      </c>
      <c r="BN44" s="412">
        <v>1</v>
      </c>
      <c r="BO44" s="412">
        <v>4</v>
      </c>
      <c r="BP44" s="412"/>
      <c r="BQ44" s="534">
        <f t="shared" si="30"/>
        <v>0</v>
      </c>
      <c r="BR44" s="411">
        <v>5</v>
      </c>
      <c r="BS44" s="412">
        <v>11</v>
      </c>
      <c r="BT44" s="412">
        <v>1</v>
      </c>
      <c r="BU44" s="412"/>
      <c r="BV44" s="534">
        <f t="shared" si="31"/>
        <v>3</v>
      </c>
      <c r="BW44" s="411"/>
      <c r="BX44" s="412"/>
      <c r="BY44" s="412"/>
      <c r="BZ44" s="412"/>
      <c r="CA44" s="534">
        <f t="shared" si="32"/>
        <v>0</v>
      </c>
      <c r="CB44" s="411"/>
      <c r="CC44" s="412"/>
      <c r="CD44" s="412"/>
      <c r="CE44" s="412"/>
      <c r="CF44" s="534">
        <f t="shared" si="33"/>
        <v>0</v>
      </c>
      <c r="CG44" s="162">
        <f>IF(SEMANA2[[#This Row],[1]]="",0,$B$4)</f>
        <v>14</v>
      </c>
      <c r="CH44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2</v>
      </c>
      <c r="CI44" s="164">
        <f>IF(SEMANA2[[#This Row],[Columna14]]=0,0,(CH44/CG44))</f>
        <v>0.14285714285714285</v>
      </c>
      <c r="CJ44" s="163">
        <f>IF(SEMANA2[[#This Row],[1]]="",0,$B$4)</f>
        <v>14</v>
      </c>
      <c r="CK44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5</v>
      </c>
      <c r="CL44" s="164">
        <f>IF(SEMANA2[[#This Row],[Columna14]]=0,0,(CK44/CJ44))</f>
        <v>0.35714285714285715</v>
      </c>
      <c r="CM44" s="162">
        <f>IF(SEMANA2[[#This Row],[1]]="",0,$B$4)</f>
        <v>14</v>
      </c>
      <c r="CN44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7</v>
      </c>
      <c r="CO44" s="164">
        <f>IF(SEMANA2[[#This Row],[Columna14]]=0,0,(CN44/CM44))</f>
        <v>0.5</v>
      </c>
      <c r="CP44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44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Row],[Columna25]],$AX$5,BA44,"SF")+COUNTIFS(SEMANA2[[#This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2</v>
      </c>
      <c r="CR44" s="164">
        <f>IFERROR(IF(SEMANA2[[#This Row],[Columna14]]=0,0,(CQ44/CP44)),0)</f>
        <v>0.66666666666666663</v>
      </c>
      <c r="CS44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20.5</v>
      </c>
      <c r="CT44" s="93">
        <f>_xlfn.XLOOKUP(SEMANA2[[#This Row],[COD]],BASE01[COD],BASE01[Columna33])</f>
        <v>41</v>
      </c>
      <c r="CU44" s="536">
        <f t="shared" si="34"/>
        <v>61.5</v>
      </c>
      <c r="CV44" s="445">
        <f>IF(SEMANA2[[#This Row],[TIPO]]="PREMIO",$O$3,"0,00")</f>
        <v>1000</v>
      </c>
      <c r="CW44" s="515"/>
      <c r="CY44" s="387" t="str">
        <f t="shared" si="17"/>
        <v/>
      </c>
      <c r="CZ44" s="387"/>
      <c r="DA44" s="387" t="str">
        <f t="array" ref="DA44">IF(CZ44="", "", IF((INDEX(E$8:CE$57, MATCH(CZ44, C$8:C$57, 0), ($CZ$25-1)*5 + 1) &amp; "") = (INDEX(E$5:CE$5, 1, ($CZ$25-1)*5 + 1) &amp; ""), 1, IF((INDEX(E$8:CE$57, MATCH(CZ44, C$8:C$57, 0), ($CZ$25-1)*5 + 2) &amp; "") = (INDEX(E$5:CE$5, 1, ($CZ$25-1)*5 + 1) &amp; ""), 2, IF((INDEX(E$8:CE$57, MATCH(CZ44, C$8:C$57, 0), ($CZ$25-1)*5 + 3) &amp; "") = (INDEX(E$5:CE$5, 1, ($CZ$25-1)*5 + 1) &amp; ""), 3, ""))))</f>
        <v/>
      </c>
      <c r="DB44" s="537" t="str">
        <f>SEMANA2[[#This Row],[COD]]</f>
        <v>COD 37</v>
      </c>
      <c r="DC44" s="390" t="str">
        <f t="array" ref="DC44">IFERROR(IF(AND(INDEX($E$8:$CE$57, MATCH($C44, $C$8:$C$57, 0), (COLUMNS($DC44:DC44)-1)*5 + 1) = INDEX($E$5:$CE$5, 1, (COLUMNS($DC44:DC44)-1)*5 + 1), INDEX($E$8:$CE$57, MATCH($C44, $C$8:$C$57, 0), (COLUMNS($DC44:DC44)-1)*5 + 4) = "F"), INDEX($CZ$8:$CZ$23, COLUMNS($DC44:DC44)), "0"), "")</f>
        <v>0</v>
      </c>
      <c r="DD44" s="390" t="str">
        <f t="array" ref="DD44">IFERROR(IF(AND(INDEX($E$8:$CE$57, MATCH($C44, $C$8:$C$57, 0), (COLUMNS($DC44:DD44)-1)*5 + 1) = INDEX($E$5:$CE$5, 1, (COLUMNS($DC44:DD44)-1)*5 + 1), INDEX($E$8:$CE$57, MATCH($C44, $C$8:$C$57, 0), (COLUMNS($DC44:DD44)-1)*5 + 4) = "F"), INDEX($CZ$8:$CZ$23, COLUMNS($DC44:DD44)), "0"), "")</f>
        <v>0</v>
      </c>
      <c r="DE44" s="390" t="str">
        <f t="array" ref="DE44">IFERROR(IF(AND(INDEX($E$8:$CE$57, MATCH($C44, $C$8:$C$57, 0), (COLUMNS($DC44:DE44)-1)*5 + 1) = INDEX($E$5:$CE$5, 1, (COLUMNS($DC44:DE44)-1)*5 + 1), INDEX($E$8:$CE$57, MATCH($C44, $C$8:$C$57, 0), (COLUMNS($DC44:DE44)-1)*5 + 4) = "F"), INDEX($CZ$8:$CZ$23, COLUMNS($DC44:DE44)), "0"), "")</f>
        <v>0</v>
      </c>
      <c r="DF44" s="390" t="str">
        <f t="array" ref="DF44">IFERROR(IF(AND(INDEX($E$8:$CE$57, MATCH($C44, $C$8:$C$57, 0), (COLUMNS($DC44:DF44)-1)*5 + 1) = INDEX($E$5:$CE$5, 1, (COLUMNS($DC44:DF44)-1)*5 + 1), INDEX($E$8:$CE$57, MATCH($C44, $C$8:$C$57, 0), (COLUMNS($DC44:DF44)-1)*5 + 4) = "F"), INDEX($CZ$8:$CZ$23, COLUMNS($DC44:DF44)), "0"), "")</f>
        <v>0</v>
      </c>
      <c r="DG44" s="390" t="str">
        <f t="array" ref="DG44">IFERROR(IF(AND(INDEX($E$8:$CE$57, MATCH($C44, $C$8:$C$57, 0), (COLUMNS($DC44:DG44)-1)*5 + 1) = INDEX($E$5:$CE$5, 1, (COLUMNS($DC44:DG44)-1)*5 + 1), INDEX($E$8:$CE$57, MATCH($C44, $C$8:$C$57, 0), (COLUMNS($DC44:DG44)-1)*5 + 4) = "F"), INDEX($CZ$8:$CZ$23, COLUMNS($DC44:DG44)), "0"), "")</f>
        <v>0</v>
      </c>
      <c r="DH44" s="390" t="str">
        <f t="array" ref="DH44">IFERROR(IF(AND(INDEX($E$8:$CE$57, MATCH($C44, $C$8:$C$57, 0), (COLUMNS($DC44:DH44)-1)*5 + 1) = INDEX($E$5:$CE$5, 1, (COLUMNS($DC44:DH44)-1)*5 + 1), INDEX($E$8:$CE$57, MATCH($C44, $C$8:$C$57, 0), (COLUMNS($DC44:DH44)-1)*5 + 4) = "F"), INDEX($CZ$8:$CZ$23, COLUMNS($DC44:DH44)), "0"), "")</f>
        <v>0</v>
      </c>
      <c r="DI44" s="390" t="str">
        <f t="array" ref="DI44">IFERROR(IF(AND(INDEX($E$8:$CE$57, MATCH($C44, $C$8:$C$57, 0), (COLUMNS($DC44:DI44)-1)*5 + 1) = INDEX($E$5:$CE$5, 1, (COLUMNS($DC44:DI44)-1)*5 + 1), INDEX($E$8:$CE$57, MATCH($C44, $C$8:$C$57, 0), (COLUMNS($DC44:DI44)-1)*5 + 4) = "F"), INDEX($CZ$8:$CZ$23, COLUMNS($DC44:DI44)), "0"), "")</f>
        <v>0</v>
      </c>
      <c r="DJ44" s="390">
        <f t="array" ref="DJ44">IFERROR(IF(AND(INDEX($E$8:$CE$57, MATCH($C44, $C$8:$C$57, 0), (COLUMNS($DC44:DJ44)-1)*5 + 1) = INDEX($E$5:$CE$5, 1, (COLUMNS($DC44:DJ44)-1)*5 + 1), INDEX($E$8:$CE$57, MATCH($C44, $C$8:$C$57, 0), (COLUMNS($DC44:DJ44)-1)*5 + 4) = "F"), INDEX($CZ$8:$CZ$23, COLUMNS($DC44:DJ44)), "0"), "")</f>
        <v>128.36000000000001</v>
      </c>
      <c r="DK44" s="390" t="str">
        <f t="array" ref="DK44">IFERROR(IF(AND(INDEX($E$8:$CE$57, MATCH($C44, $C$8:$C$57, 0), (COLUMNS($DC44:DK44)-1)*5 + 1) = INDEX($E$5:$CE$5, 1, (COLUMNS($DC44:DK44)-1)*5 + 1), INDEX($E$8:$CE$57, MATCH($C44, $C$8:$C$57, 0), (COLUMNS($DC44:DK44)-1)*5 + 4) = "F"), INDEX($CZ$8:$CZ$23, COLUMNS($DC44:DK44)), "0"), "")</f>
        <v>0</v>
      </c>
      <c r="DL44" s="390" t="str">
        <f t="array" ref="DL44">IFERROR(IF(AND(INDEX($E$8:$CE$57, MATCH($C44, $C$8:$C$57, 0), (COLUMNS($DC44:DL44)-1)*5 + 1) = INDEX($E$5:$CE$5, 1, (COLUMNS($DC44:DL44)-1)*5 + 1), INDEX($E$8:$CE$57, MATCH($C44, $C$8:$C$57, 0), (COLUMNS($DC44:DL44)-1)*5 + 4) = "F"), INDEX($CZ$8:$CZ$23, COLUMNS($DC44:DL44)), "0"), "")</f>
        <v>0</v>
      </c>
      <c r="DM44" s="390">
        <f t="array" ref="DM44">IFERROR(IF(AND(INDEX($E$8:$CE$57, MATCH($C44, $C$8:$C$57, 0), (COLUMNS($DC44:DM44)-1)*5 + 1) = INDEX($E$5:$CE$5, 1, (COLUMNS($DC44:DM44)-1)*5 + 1), INDEX($E$8:$CE$57, MATCH($C44, $C$8:$C$57, 0), (COLUMNS($DC44:DM44)-1)*5 + 4) = "F"), INDEX($CZ$8:$CZ$23, COLUMNS($DC44:DM44)), "0"), "")</f>
        <v>156.87</v>
      </c>
      <c r="DN44" s="390" t="str">
        <f t="array" ref="DN44">IFERROR(IF(AND(INDEX($E$8:$CE$57, MATCH($C44, $C$8:$C$57, 0), (COLUMNS($DC44:DN44)-1)*5 + 1) = INDEX($E$5:$CE$5, 1, (COLUMNS($DC44:DN44)-1)*5 + 1), INDEX($E$8:$CE$57, MATCH($C44, $C$8:$C$57, 0), (COLUMNS($DC44:DN44)-1)*5 + 4) = "F"), INDEX($CZ$8:$CZ$23, COLUMNS($DC44:DN44)), "0"), "")</f>
        <v>0</v>
      </c>
      <c r="DO44" s="390" t="str">
        <f t="array" ref="DO44">IFERROR(IF(AND(INDEX($E$8:$CE$57, MATCH($C44, $C$8:$C$57, 0), (COLUMNS($DC44:DO44)-1)*5 + 1) = INDEX($E$5:$CE$5, 1, (COLUMNS($DC44:DO44)-1)*5 + 1), INDEX($E$8:$CE$57, MATCH($C44, $C$8:$C$57, 0), (COLUMNS($DC44:DO44)-1)*5 + 4) = "F"), INDEX($CZ$8:$CZ$23, COLUMNS($DC44:DO44)), "0"), "")</f>
        <v>0</v>
      </c>
      <c r="DP44" s="390" t="str">
        <f t="array" ref="DP44">IFERROR(IF(AND(INDEX($E$8:$CE$57, MATCH($C44, $C$8:$C$57, 0), (COLUMNS($DC44:DP44)-1)*5 + 1) = INDEX($E$5:$CE$5, 1, (COLUMNS($DC44:DP44)-1)*5 + 1), INDEX($E$8:$CE$57, MATCH($C44, $C$8:$C$57, 0), (COLUMNS($DC44:DP44)-1)*5 + 4) = "F"), INDEX($CZ$8:$CZ$23, COLUMNS($DC44:DP44)), "0"), "")</f>
        <v>0</v>
      </c>
      <c r="DQ44" s="390" t="str">
        <f t="array" ref="DQ44">IFERROR(IF(AND(INDEX($E$8:$CE$57, MATCH($C44, $C$8:$C$57, 0), (COLUMNS($DC44:DQ44)-1)*5 + 1) = INDEX($E$5:$CE$5, 1, (COLUMNS($DC44:DQ44)-1)*5 + 1), INDEX($E$8:$CE$57, MATCH($C44, $C$8:$C$57, 0), (COLUMNS($DC44:DQ44)-1)*5 + 4) = "F"), INDEX($CZ$8:$CZ$23, COLUMNS($DC44:DQ44)), "0"), "")</f>
        <v>0</v>
      </c>
      <c r="DR44" s="390" t="str">
        <f t="array" ref="DR44">IFERROR(IF(AND(INDEX($E$8:$CE$57, MATCH($C44, $C$8:$C$57, 0), (COLUMNS($DC44:DR44)-1)*5 + 1) = INDEX($E$5:$CE$5, 1, (COLUMNS($DC44:DR44)-1)*5 + 1), INDEX($E$8:$CE$57, MATCH($C44, $C$8:$C$57, 0), (COLUMNS($DC44:DR44)-1)*5 + 4) = "F"), INDEX($CZ$8:$CZ$23, COLUMNS($DC44:DR44)), "0"), "")</f>
        <v>0</v>
      </c>
      <c r="DT44" s="537" t="str">
        <f>SEMANA2[[#This Row],[COD]]</f>
        <v>COD 37</v>
      </c>
      <c r="DU44" s="390" t="str">
        <f t="array" ref="DU44">IFERROR(IF(AND(INDEX($E$8:$CE$57, MATCH($C44, $C$8:$C$57, 0), (COLUMNS($DU44:DU44)-1)*5 + 1) = INDEX($E$5:$CE$5, 1, (COLUMNS($DU44:DU44)-1)*5 + 1), INDEX($E$8:$CE$57, MATCH($C44, $C$8:$C$57, 0), (COLUMNS($DU44:DU44)-1)*5 + 4) = "SF"), INDEX($CZ$8:$CZ$23, COLUMNS($DU44:DU44)), "0"), "")</f>
        <v>0</v>
      </c>
      <c r="DV44" s="390" t="str">
        <f t="array" ref="DV44">IFERROR(IF(AND(INDEX($E$8:$CE$57, MATCH($C44, $C$8:$C$57, 0), (COLUMNS($DU44:DV44)-1)*5 + 1) = INDEX($E$5:$CE$5, 1, (COLUMNS($DU44:DV44)-1)*5 + 1), INDEX($E$8:$CE$57, MATCH($C44, $C$8:$C$57, 0), (COLUMNS($DU44:DV44)-1)*5 + 4) = "SF"), INDEX($CZ$8:$CZ$23, COLUMNS($DU44:DV44)), "0"), "")</f>
        <v>0</v>
      </c>
      <c r="DW44" s="390" t="str">
        <f t="array" ref="DW44">IFERROR(IF(AND(INDEX($E$8:$CE$57, MATCH($C44, $C$8:$C$57, 0), (COLUMNS($DU44:DW44)-1)*5 + 1) = INDEX($E$5:$CE$5, 1, (COLUMNS($DU44:DW44)-1)*5 + 1), INDEX($E$8:$CE$57, MATCH($C44, $C$8:$C$57, 0), (COLUMNS($DU44:DW44)-1)*5 + 4) = "SF"), INDEX($CZ$8:$CZ$23, COLUMNS($DU44:DW44)), "0"), "")</f>
        <v>0</v>
      </c>
      <c r="DX44" s="390" t="str">
        <f t="array" ref="DX44">IFERROR(IF(AND(INDEX($E$8:$CE$57, MATCH($C44, $C$8:$C$57, 0), (COLUMNS($DU44:DX44)-1)*5 + 1) = INDEX($E$5:$CE$5, 1, (COLUMNS($DU44:DX44)-1)*5 + 1), INDEX($E$8:$CE$57, MATCH($C44, $C$8:$C$57, 0), (COLUMNS($DU44:DX44)-1)*5 + 4) = "SF"), INDEX($CZ$8:$CZ$23, COLUMNS($DU44:DX44)), "0"), "")</f>
        <v>0</v>
      </c>
      <c r="DY44" s="390" t="str">
        <f t="array" ref="DY44">IFERROR(IF(AND(INDEX($E$8:$CE$57, MATCH($C44, $C$8:$C$57, 0), (COLUMNS($DU44:DY44)-1)*5 + 1) = INDEX($E$5:$CE$5, 1, (COLUMNS($DU44:DY44)-1)*5 + 1), INDEX($E$8:$CE$57, MATCH($C44, $C$8:$C$57, 0), (COLUMNS($DU44:DY44)-1)*5 + 4) = "SF"), INDEX($CZ$8:$CZ$23, COLUMNS($DU44:DY44)), "0"), "")</f>
        <v>0</v>
      </c>
      <c r="DZ44" s="390" t="str">
        <f t="array" ref="DZ44">IFERROR(IF(AND(INDEX($E$8:$CE$57, MATCH($C44, $C$8:$C$57, 0), (COLUMNS($DU44:DZ44)-1)*5 + 1) = INDEX($E$5:$CE$5, 1, (COLUMNS($DU44:DZ44)-1)*5 + 1), INDEX($E$8:$CE$57, MATCH($C44, $C$8:$C$57, 0), (COLUMNS($DU44:DZ44)-1)*5 + 4) = "SF"), INDEX($CZ$8:$CZ$23, COLUMNS($DU44:DZ44)), "0"), "")</f>
        <v>0</v>
      </c>
      <c r="EA44" s="390" t="str">
        <f t="array" ref="EA44">IFERROR(IF(AND(INDEX($E$8:$CE$57, MATCH($C44, $C$8:$C$57, 0), (COLUMNS($DU44:EA44)-1)*5 + 1) = INDEX($E$5:$CE$5, 1, (COLUMNS($DU44:EA44)-1)*5 + 1), INDEX($E$8:$CE$57, MATCH($C44, $C$8:$C$57, 0), (COLUMNS($DU44:EA44)-1)*5 + 4) = "SF"), INDEX($CZ$8:$CZ$23, COLUMNS($DU44:EA44)), "0"), "")</f>
        <v>0</v>
      </c>
      <c r="EB44" s="390" t="str">
        <f t="array" ref="EB44">IFERROR(IF(AND(INDEX($E$8:$CE$57, MATCH($C44, $C$8:$C$57, 0), (COLUMNS($DU44:EB44)-1)*5 + 1) = INDEX($E$5:$CE$5, 1, (COLUMNS($DU44:EB44)-1)*5 + 1), INDEX($E$8:$CE$57, MATCH($C44, $C$8:$C$57, 0), (COLUMNS($DU44:EB44)-1)*5 + 4) = "SF"), INDEX($CZ$8:$CZ$23, COLUMNS($DU44:EB44)), "0"), "")</f>
        <v>0</v>
      </c>
      <c r="EC44" s="390" t="str">
        <f t="array" ref="EC44">IFERROR(IF(AND(INDEX($E$8:$CE$57, MATCH($C44, $C$8:$C$57, 0), (COLUMNS($DU44:EC44)-1)*5 + 1) = INDEX($E$5:$CE$5, 1, (COLUMNS($DU44:EC44)-1)*5 + 1), INDEX($E$8:$CE$57, MATCH($C44, $C$8:$C$57, 0), (COLUMNS($DU44:EC44)-1)*5 + 4) = "SF"), INDEX($CZ$8:$CZ$23, COLUMNS($DU44:EC44)), "0"), "")</f>
        <v>0</v>
      </c>
      <c r="ED44" s="390" t="str">
        <f t="array" ref="ED44">IFERROR(IF(AND(INDEX($E$8:$CE$57, MATCH($C44, $C$8:$C$57, 0), (COLUMNS($DU44:ED44)-1)*5 + 1) = INDEX($E$5:$CE$5, 1, (COLUMNS($DU44:ED44)-1)*5 + 1), INDEX($E$8:$CE$57, MATCH($C44, $C$8:$C$57, 0), (COLUMNS($DU44:ED44)-1)*5 + 4) = "SF"), INDEX($CZ$8:$CZ$23, COLUMNS($DU44:ED44)), "0"), "")</f>
        <v>0</v>
      </c>
      <c r="EE44" s="390" t="str">
        <f t="array" ref="EE44">IFERROR(IF(AND(INDEX($E$8:$CE$57, MATCH($C44, $C$8:$C$57, 0), (COLUMNS($DU44:EE44)-1)*5 + 1) = INDEX($E$5:$CE$5, 1, (COLUMNS($DU44:EE44)-1)*5 + 1), INDEX($E$8:$CE$57, MATCH($C44, $C$8:$C$57, 0), (COLUMNS($DU44:EE44)-1)*5 + 4) = "SF"), INDEX($CZ$8:$CZ$23, COLUMNS($DU44:EE44)), "0"), "")</f>
        <v>0</v>
      </c>
      <c r="EF44" s="390" t="str">
        <f t="array" ref="EF44">IFERROR(IF(AND(INDEX($E$8:$CE$57, MATCH($C44, $C$8:$C$57, 0), (COLUMNS($DU44:EF44)-1)*5 + 1) = INDEX($E$5:$CE$5, 1, (COLUMNS($DU44:EF44)-1)*5 + 1), INDEX($E$8:$CE$57, MATCH($C44, $C$8:$C$57, 0), (COLUMNS($DU44:EF44)-1)*5 + 4) = "SF"), INDEX($CZ$8:$CZ$23, COLUMNS($DU44:EF44)), "0"), "")</f>
        <v>0</v>
      </c>
      <c r="EG44" s="390" t="str">
        <f t="array" ref="EG44">IFERROR(IF(AND(INDEX($E$8:$CE$57, MATCH($C44, $C$8:$C$57, 0), (COLUMNS($DU44:EG44)-1)*5 + 1) = INDEX($E$5:$CE$5, 1, (COLUMNS($DU44:EG44)-1)*5 + 1), INDEX($E$8:$CE$57, MATCH($C44, $C$8:$C$57, 0), (COLUMNS($DU44:EG44)-1)*5 + 4) = "SF"), INDEX($CZ$8:$CZ$23, COLUMNS($DU44:EG44)), "0"), "")</f>
        <v>0</v>
      </c>
      <c r="EH44" s="390" t="str">
        <f t="array" ref="EH44">IFERROR(IF(AND(INDEX($E$8:$CE$57, MATCH($C44, $C$8:$C$57, 0), (COLUMNS($DU44:EH44)-1)*5 + 1) = INDEX($E$5:$CE$5, 1, (COLUMNS($DU44:EH44)-1)*5 + 1), INDEX($E$8:$CE$57, MATCH($C44, $C$8:$C$57, 0), (COLUMNS($DU44:EH44)-1)*5 + 4) = "SF"), INDEX($CZ$8:$CZ$23, COLUMNS($DU44:EH44)), "0"), "")</f>
        <v>0</v>
      </c>
      <c r="EI44" s="390" t="str">
        <f t="array" ref="EI44">IFERROR(IF(AND(INDEX($E$8:$CE$57, MATCH($C44, $C$8:$C$57, 0), (COLUMNS($DU44:EI44)-1)*5 + 1) = INDEX($E$5:$CE$5, 1, (COLUMNS($DU44:EI44)-1)*5 + 1), INDEX($E$8:$CE$57, MATCH($C44, $C$8:$C$57, 0), (COLUMNS($DU44:EI44)-1)*5 + 4) = "SF"), INDEX($CZ$8:$CZ$23, COLUMNS($DU44:EI44)), "0"), "")</f>
        <v>0</v>
      </c>
      <c r="EJ44" s="390" t="str">
        <f t="array" ref="EJ44">IFERROR(IF(AND(INDEX($E$8:$CE$57, MATCH($C44, $C$8:$C$57, 0), (COLUMNS($DU44:EJ44)-1)*5 + 1) = INDEX($E$5:$CE$5, 1, (COLUMNS($DU44:EJ44)-1)*5 + 1), INDEX($E$8:$CE$57, MATCH($C44, $C$8:$C$57, 0), (COLUMNS($DU44:EJ44)-1)*5 + 4) = "SF"), INDEX($CZ$8:$CZ$23, COLUMNS($DU44:EJ44)), "0"), "")</f>
        <v>0</v>
      </c>
    </row>
    <row r="45" spans="1:140" ht="20.100000000000001" customHeight="1" x14ac:dyDescent="0.35">
      <c r="A45" s="515"/>
      <c r="B45" s="444">
        <f>IF(SEMANA2[[#This Row],[COD]]&lt;&gt;"",B44+1,"")</f>
        <v>38</v>
      </c>
      <c r="C45" s="554" t="s">
        <v>105</v>
      </c>
      <c r="D45" s="410" t="str">
        <f t="array" ref="D45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45" s="411">
        <v>6</v>
      </c>
      <c r="F45" s="417">
        <v>2</v>
      </c>
      <c r="G45" s="417">
        <v>9</v>
      </c>
      <c r="H45" s="417" t="s">
        <v>254</v>
      </c>
      <c r="I45" s="534">
        <f t="shared" si="18"/>
        <v>5</v>
      </c>
      <c r="J45" s="411">
        <v>1</v>
      </c>
      <c r="K45" s="417">
        <v>4</v>
      </c>
      <c r="L45" s="417">
        <v>7</v>
      </c>
      <c r="M45" s="417"/>
      <c r="N45" s="534">
        <f t="shared" si="19"/>
        <v>1</v>
      </c>
      <c r="O45" s="411">
        <v>5</v>
      </c>
      <c r="P45" s="417">
        <v>3</v>
      </c>
      <c r="Q45" s="417">
        <v>4</v>
      </c>
      <c r="R45" s="417"/>
      <c r="S45" s="534">
        <f t="shared" si="20"/>
        <v>0</v>
      </c>
      <c r="T45" s="411">
        <v>3</v>
      </c>
      <c r="U45" s="417">
        <v>5</v>
      </c>
      <c r="V45" s="417">
        <v>6</v>
      </c>
      <c r="W45" s="417"/>
      <c r="X45" s="534">
        <f t="shared" si="21"/>
        <v>0</v>
      </c>
      <c r="Y45" s="411">
        <v>1</v>
      </c>
      <c r="Z45" s="417">
        <v>7</v>
      </c>
      <c r="AA45" s="417">
        <v>5</v>
      </c>
      <c r="AB45" s="417"/>
      <c r="AC45" s="534">
        <f t="shared" si="22"/>
        <v>0</v>
      </c>
      <c r="AD45" s="411">
        <v>10</v>
      </c>
      <c r="AE45" s="417">
        <v>5</v>
      </c>
      <c r="AF45" s="417">
        <v>4</v>
      </c>
      <c r="AG45" s="417"/>
      <c r="AH45" s="534">
        <f t="shared" si="23"/>
        <v>0</v>
      </c>
      <c r="AI45" s="411">
        <v>6</v>
      </c>
      <c r="AJ45" s="417">
        <v>7</v>
      </c>
      <c r="AK45" s="417">
        <v>8</v>
      </c>
      <c r="AL45" s="417"/>
      <c r="AM45" s="534">
        <f t="shared" si="24"/>
        <v>0</v>
      </c>
      <c r="AN45" s="411">
        <v>6</v>
      </c>
      <c r="AO45" s="417">
        <v>7</v>
      </c>
      <c r="AP45" s="417">
        <v>8</v>
      </c>
      <c r="AQ45" s="417"/>
      <c r="AR45" s="534">
        <f t="shared" si="25"/>
        <v>0.5</v>
      </c>
      <c r="AS45" s="411">
        <v>1</v>
      </c>
      <c r="AT45" s="417">
        <v>5</v>
      </c>
      <c r="AU45" s="417">
        <v>10</v>
      </c>
      <c r="AV45" s="417" t="s">
        <v>255</v>
      </c>
      <c r="AW45" s="534">
        <f t="shared" si="26"/>
        <v>0</v>
      </c>
      <c r="AX45" s="411">
        <v>1</v>
      </c>
      <c r="AY45" s="417">
        <v>3</v>
      </c>
      <c r="AZ45" s="417">
        <v>2</v>
      </c>
      <c r="BA45" s="417"/>
      <c r="BB45" s="534">
        <f t="shared" si="27"/>
        <v>1</v>
      </c>
      <c r="BC45" s="411">
        <v>2</v>
      </c>
      <c r="BD45" s="417">
        <v>7</v>
      </c>
      <c r="BE45" s="417">
        <v>6</v>
      </c>
      <c r="BF45" s="417" t="s">
        <v>254</v>
      </c>
      <c r="BG45" s="534">
        <f t="shared" si="28"/>
        <v>2</v>
      </c>
      <c r="BH45" s="411">
        <v>1</v>
      </c>
      <c r="BI45" s="417">
        <v>6</v>
      </c>
      <c r="BJ45" s="417">
        <v>5</v>
      </c>
      <c r="BK45" s="417"/>
      <c r="BL45" s="534">
        <f t="shared" si="29"/>
        <v>4</v>
      </c>
      <c r="BM45" s="411">
        <v>4</v>
      </c>
      <c r="BN45" s="417">
        <v>9</v>
      </c>
      <c r="BO45" s="417">
        <v>3</v>
      </c>
      <c r="BP45" s="417"/>
      <c r="BQ45" s="534">
        <f t="shared" si="30"/>
        <v>0</v>
      </c>
      <c r="BR45" s="411">
        <v>1</v>
      </c>
      <c r="BS45" s="417">
        <v>11</v>
      </c>
      <c r="BT45" s="417">
        <v>5</v>
      </c>
      <c r="BU45" s="417"/>
      <c r="BV45" s="534">
        <f t="shared" si="31"/>
        <v>6</v>
      </c>
      <c r="BW45" s="411"/>
      <c r="BX45" s="417"/>
      <c r="BY45" s="417"/>
      <c r="BZ45" s="417"/>
      <c r="CA45" s="534">
        <f t="shared" si="32"/>
        <v>0</v>
      </c>
      <c r="CB45" s="411"/>
      <c r="CC45" s="417"/>
      <c r="CD45" s="417"/>
      <c r="CE45" s="417"/>
      <c r="CF45" s="534">
        <f t="shared" si="33"/>
        <v>0</v>
      </c>
      <c r="CG45" s="162">
        <f>IF(SEMANA2[[#This Row],[1]]="",0,$B$4)</f>
        <v>14</v>
      </c>
      <c r="CH45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2</v>
      </c>
      <c r="CI45" s="164">
        <f>IF(SEMANA2[[#This Row],[Columna14]]=0,0,(CH45/CG45))</f>
        <v>0.14285714285714285</v>
      </c>
      <c r="CJ45" s="163">
        <f>IF(SEMANA2[[#This Row],[1]]="",0,$B$4)</f>
        <v>14</v>
      </c>
      <c r="CK45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4</v>
      </c>
      <c r="CL45" s="164">
        <f>IF(SEMANA2[[#This Row],[Columna14]]=0,0,(CK45/CJ45))</f>
        <v>0.2857142857142857</v>
      </c>
      <c r="CM45" s="162">
        <f>IF(SEMANA2[[#This Row],[1]]="",0,$B$4)</f>
        <v>14</v>
      </c>
      <c r="CN45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7</v>
      </c>
      <c r="CO45" s="164">
        <f>IF(SEMANA2[[#This Row],[Columna14]]=0,0,(CN45/CM45))</f>
        <v>0.5</v>
      </c>
      <c r="CP45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45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Row],[Columna25]],$AX$5,BA45,"SF")+COUNTIFS(SEMANA2[[#This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1</v>
      </c>
      <c r="CR45" s="164">
        <f>IFERROR(IF(SEMANA2[[#This Row],[Columna14]]=0,0,(CQ45/CP45)),0)</f>
        <v>0.33333333333333331</v>
      </c>
      <c r="CS45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19.5</v>
      </c>
      <c r="CT45" s="93">
        <f>_xlfn.XLOOKUP(SEMANA2[[#This Row],[COD]],BASE01[COD],BASE01[Columna33])</f>
        <v>35</v>
      </c>
      <c r="CU45" s="536">
        <f t="shared" si="34"/>
        <v>54.5</v>
      </c>
      <c r="CV45" s="445">
        <f>IF(SEMANA2[[#This Row],[TIPO]]="PREMIO",$O$3,"0,00")</f>
        <v>1000</v>
      </c>
      <c r="CW45" s="515"/>
      <c r="CY45" s="387" t="str">
        <f t="shared" si="17"/>
        <v/>
      </c>
      <c r="CZ45" s="387"/>
      <c r="DA45" s="387" t="str">
        <f t="array" ref="DA45">IF(CZ45="", "", IF((INDEX(E$8:CE$57, MATCH(CZ45, C$8:C$57, 0), ($CZ$25-1)*5 + 1) &amp; "") = (INDEX(E$5:CE$5, 1, ($CZ$25-1)*5 + 1) &amp; ""), 1, IF((INDEX(E$8:CE$57, MATCH(CZ45, C$8:C$57, 0), ($CZ$25-1)*5 + 2) &amp; "") = (INDEX(E$5:CE$5, 1, ($CZ$25-1)*5 + 1) &amp; ""), 2, IF((INDEX(E$8:CE$57, MATCH(CZ45, C$8:C$57, 0), ($CZ$25-1)*5 + 3) &amp; "") = (INDEX(E$5:CE$5, 1, ($CZ$25-1)*5 + 1) &amp; ""), 3, ""))))</f>
        <v/>
      </c>
      <c r="DB45" s="537" t="str">
        <f>SEMANA2[[#This Row],[COD]]</f>
        <v>COD 38</v>
      </c>
      <c r="DC45" s="390">
        <f t="array" ref="DC45">IFERROR(IF(AND(INDEX($E$8:$CE$57, MATCH($C45, $C$8:$C$57, 0), (COLUMNS($DC45:DC45)-1)*5 + 1) = INDEX($E$5:$CE$5, 1, (COLUMNS($DC45:DC45)-1)*5 + 1), INDEX($E$8:$CE$57, MATCH($C45, $C$8:$C$57, 0), (COLUMNS($DC45:DC45)-1)*5 + 4) = "F"), INDEX($CZ$8:$CZ$23, COLUMNS($DC45:DC45)), "0"), "")</f>
        <v>476.82</v>
      </c>
      <c r="DD45" s="390" t="str">
        <f t="array" ref="DD45">IFERROR(IF(AND(INDEX($E$8:$CE$57, MATCH($C45, $C$8:$C$57, 0), (COLUMNS($DC45:DD45)-1)*5 + 1) = INDEX($E$5:$CE$5, 1, (COLUMNS($DC45:DD45)-1)*5 + 1), INDEX($E$8:$CE$57, MATCH($C45, $C$8:$C$57, 0), (COLUMNS($DC45:DD45)-1)*5 + 4) = "F"), INDEX($CZ$8:$CZ$23, COLUMNS($DC45:DD45)), "0"), "")</f>
        <v>0</v>
      </c>
      <c r="DE45" s="390" t="str">
        <f t="array" ref="DE45">IFERROR(IF(AND(INDEX($E$8:$CE$57, MATCH($C45, $C$8:$C$57, 0), (COLUMNS($DC45:DE45)-1)*5 + 1) = INDEX($E$5:$CE$5, 1, (COLUMNS($DC45:DE45)-1)*5 + 1), INDEX($E$8:$CE$57, MATCH($C45, $C$8:$C$57, 0), (COLUMNS($DC45:DE45)-1)*5 + 4) = "F"), INDEX($CZ$8:$CZ$23, COLUMNS($DC45:DE45)), "0"), "")</f>
        <v>0</v>
      </c>
      <c r="DF45" s="390" t="str">
        <f t="array" ref="DF45">IFERROR(IF(AND(INDEX($E$8:$CE$57, MATCH($C45, $C$8:$C$57, 0), (COLUMNS($DC45:DF45)-1)*5 + 1) = INDEX($E$5:$CE$5, 1, (COLUMNS($DC45:DF45)-1)*5 + 1), INDEX($E$8:$CE$57, MATCH($C45, $C$8:$C$57, 0), (COLUMNS($DC45:DF45)-1)*5 + 4) = "F"), INDEX($CZ$8:$CZ$23, COLUMNS($DC45:DF45)), "0"), "")</f>
        <v>0</v>
      </c>
      <c r="DG45" s="390" t="str">
        <f t="array" ref="DG45">IFERROR(IF(AND(INDEX($E$8:$CE$57, MATCH($C45, $C$8:$C$57, 0), (COLUMNS($DC45:DG45)-1)*5 + 1) = INDEX($E$5:$CE$5, 1, (COLUMNS($DC45:DG45)-1)*5 + 1), INDEX($E$8:$CE$57, MATCH($C45, $C$8:$C$57, 0), (COLUMNS($DC45:DG45)-1)*5 + 4) = "F"), INDEX($CZ$8:$CZ$23, COLUMNS($DC45:DG45)), "0"), "")</f>
        <v>0</v>
      </c>
      <c r="DH45" s="390" t="str">
        <f t="array" ref="DH45">IFERROR(IF(AND(INDEX($E$8:$CE$57, MATCH($C45, $C$8:$C$57, 0), (COLUMNS($DC45:DH45)-1)*5 + 1) = INDEX($E$5:$CE$5, 1, (COLUMNS($DC45:DH45)-1)*5 + 1), INDEX($E$8:$CE$57, MATCH($C45, $C$8:$C$57, 0), (COLUMNS($DC45:DH45)-1)*5 + 4) = "F"), INDEX($CZ$8:$CZ$23, COLUMNS($DC45:DH45)), "0"), "")</f>
        <v>0</v>
      </c>
      <c r="DI45" s="390" t="str">
        <f t="array" ref="DI45">IFERROR(IF(AND(INDEX($E$8:$CE$57, MATCH($C45, $C$8:$C$57, 0), (COLUMNS($DC45:DI45)-1)*5 + 1) = INDEX($E$5:$CE$5, 1, (COLUMNS($DC45:DI45)-1)*5 + 1), INDEX($E$8:$CE$57, MATCH($C45, $C$8:$C$57, 0), (COLUMNS($DC45:DI45)-1)*5 + 4) = "F"), INDEX($CZ$8:$CZ$23, COLUMNS($DC45:DI45)), "0"), "")</f>
        <v>0</v>
      </c>
      <c r="DJ45" s="390" t="str">
        <f t="array" ref="DJ45">IFERROR(IF(AND(INDEX($E$8:$CE$57, MATCH($C45, $C$8:$C$57, 0), (COLUMNS($DC45:DJ45)-1)*5 + 1) = INDEX($E$5:$CE$5, 1, (COLUMNS($DC45:DJ45)-1)*5 + 1), INDEX($E$8:$CE$57, MATCH($C45, $C$8:$C$57, 0), (COLUMNS($DC45:DJ45)-1)*5 + 4) = "F"), INDEX($CZ$8:$CZ$23, COLUMNS($DC45:DJ45)), "0"), "")</f>
        <v>0</v>
      </c>
      <c r="DK45" s="390" t="str">
        <f t="array" ref="DK45">IFERROR(IF(AND(INDEX($E$8:$CE$57, MATCH($C45, $C$8:$C$57, 0), (COLUMNS($DC45:DK45)-1)*5 + 1) = INDEX($E$5:$CE$5, 1, (COLUMNS($DC45:DK45)-1)*5 + 1), INDEX($E$8:$CE$57, MATCH($C45, $C$8:$C$57, 0), (COLUMNS($DC45:DK45)-1)*5 + 4) = "F"), INDEX($CZ$8:$CZ$23, COLUMNS($DC45:DK45)), "0"), "")</f>
        <v>0</v>
      </c>
      <c r="DL45" s="390" t="str">
        <f t="array" ref="DL45">IFERROR(IF(AND(INDEX($E$8:$CE$57, MATCH($C45, $C$8:$C$57, 0), (COLUMNS($DC45:DL45)-1)*5 + 1) = INDEX($E$5:$CE$5, 1, (COLUMNS($DC45:DL45)-1)*5 + 1), INDEX($E$8:$CE$57, MATCH($C45, $C$8:$C$57, 0), (COLUMNS($DC45:DL45)-1)*5 + 4) = "F"), INDEX($CZ$8:$CZ$23, COLUMNS($DC45:DL45)), "0"), "")</f>
        <v>0</v>
      </c>
      <c r="DM45" s="390" t="str">
        <f t="array" ref="DM45">IFERROR(IF(AND(INDEX($E$8:$CE$57, MATCH($C45, $C$8:$C$57, 0), (COLUMNS($DC45:DM45)-1)*5 + 1) = INDEX($E$5:$CE$5, 1, (COLUMNS($DC45:DM45)-1)*5 + 1), INDEX($E$8:$CE$57, MATCH($C45, $C$8:$C$57, 0), (COLUMNS($DC45:DM45)-1)*5 + 4) = "F"), INDEX($CZ$8:$CZ$23, COLUMNS($DC45:DM45)), "0"), "")</f>
        <v>0</v>
      </c>
      <c r="DN45" s="390" t="str">
        <f t="array" ref="DN45">IFERROR(IF(AND(INDEX($E$8:$CE$57, MATCH($C45, $C$8:$C$57, 0), (COLUMNS($DC45:DN45)-1)*5 + 1) = INDEX($E$5:$CE$5, 1, (COLUMNS($DC45:DN45)-1)*5 + 1), INDEX($E$8:$CE$57, MATCH($C45, $C$8:$C$57, 0), (COLUMNS($DC45:DN45)-1)*5 + 4) = "F"), INDEX($CZ$8:$CZ$23, COLUMNS($DC45:DN45)), "0"), "")</f>
        <v>0</v>
      </c>
      <c r="DO45" s="390" t="str">
        <f t="array" ref="DO45">IFERROR(IF(AND(INDEX($E$8:$CE$57, MATCH($C45, $C$8:$C$57, 0), (COLUMNS($DC45:DO45)-1)*5 + 1) = INDEX($E$5:$CE$5, 1, (COLUMNS($DC45:DO45)-1)*5 + 1), INDEX($E$8:$CE$57, MATCH($C45, $C$8:$C$57, 0), (COLUMNS($DC45:DO45)-1)*5 + 4) = "F"), INDEX($CZ$8:$CZ$23, COLUMNS($DC45:DO45)), "0"), "")</f>
        <v>0</v>
      </c>
      <c r="DP45" s="390" t="str">
        <f t="array" ref="DP45">IFERROR(IF(AND(INDEX($E$8:$CE$57, MATCH($C45, $C$8:$C$57, 0), (COLUMNS($DC45:DP45)-1)*5 + 1) = INDEX($E$5:$CE$5, 1, (COLUMNS($DC45:DP45)-1)*5 + 1), INDEX($E$8:$CE$57, MATCH($C45, $C$8:$C$57, 0), (COLUMNS($DC45:DP45)-1)*5 + 4) = "F"), INDEX($CZ$8:$CZ$23, COLUMNS($DC45:DP45)), "0"), "")</f>
        <v>0</v>
      </c>
      <c r="DQ45" s="390" t="str">
        <f t="array" ref="DQ45">IFERROR(IF(AND(INDEX($E$8:$CE$57, MATCH($C45, $C$8:$C$57, 0), (COLUMNS($DC45:DQ45)-1)*5 + 1) = INDEX($E$5:$CE$5, 1, (COLUMNS($DC45:DQ45)-1)*5 + 1), INDEX($E$8:$CE$57, MATCH($C45, $C$8:$C$57, 0), (COLUMNS($DC45:DQ45)-1)*5 + 4) = "F"), INDEX($CZ$8:$CZ$23, COLUMNS($DC45:DQ45)), "0"), "")</f>
        <v>0</v>
      </c>
      <c r="DR45" s="390" t="str">
        <f t="array" ref="DR45">IFERROR(IF(AND(INDEX($E$8:$CE$57, MATCH($C45, $C$8:$C$57, 0), (COLUMNS($DC45:DR45)-1)*5 + 1) = INDEX($E$5:$CE$5, 1, (COLUMNS($DC45:DR45)-1)*5 + 1), INDEX($E$8:$CE$57, MATCH($C45, $C$8:$C$57, 0), (COLUMNS($DC45:DR45)-1)*5 + 4) = "F"), INDEX($CZ$8:$CZ$23, COLUMNS($DC45:DR45)), "0"), "")</f>
        <v>0</v>
      </c>
      <c r="DT45" s="537" t="str">
        <f>SEMANA2[[#This Row],[COD]]</f>
        <v>COD 38</v>
      </c>
      <c r="DU45" s="390" t="str">
        <f t="array" ref="DU45">IFERROR(IF(AND(INDEX($E$8:$CE$57, MATCH($C45, $C$8:$C$57, 0), (COLUMNS($DU45:DU45)-1)*5 + 1) = INDEX($E$5:$CE$5, 1, (COLUMNS($DU45:DU45)-1)*5 + 1), INDEX($E$8:$CE$57, MATCH($C45, $C$8:$C$57, 0), (COLUMNS($DU45:DU45)-1)*5 + 4) = "SF"), INDEX($CZ$8:$CZ$23, COLUMNS($DU45:DU45)), "0"), "")</f>
        <v>0</v>
      </c>
      <c r="DV45" s="390" t="str">
        <f t="array" ref="DV45">IFERROR(IF(AND(INDEX($E$8:$CE$57, MATCH($C45, $C$8:$C$57, 0), (COLUMNS($DU45:DV45)-1)*5 + 1) = INDEX($E$5:$CE$5, 1, (COLUMNS($DU45:DV45)-1)*5 + 1), INDEX($E$8:$CE$57, MATCH($C45, $C$8:$C$57, 0), (COLUMNS($DU45:DV45)-1)*5 + 4) = "SF"), INDEX($CZ$8:$CZ$23, COLUMNS($DU45:DV45)), "0"), "")</f>
        <v>0</v>
      </c>
      <c r="DW45" s="390" t="str">
        <f t="array" ref="DW45">IFERROR(IF(AND(INDEX($E$8:$CE$57, MATCH($C45, $C$8:$C$57, 0), (COLUMNS($DU45:DW45)-1)*5 + 1) = INDEX($E$5:$CE$5, 1, (COLUMNS($DU45:DW45)-1)*5 + 1), INDEX($E$8:$CE$57, MATCH($C45, $C$8:$C$57, 0), (COLUMNS($DU45:DW45)-1)*5 + 4) = "SF"), INDEX($CZ$8:$CZ$23, COLUMNS($DU45:DW45)), "0"), "")</f>
        <v>0</v>
      </c>
      <c r="DX45" s="390" t="str">
        <f t="array" ref="DX45">IFERROR(IF(AND(INDEX($E$8:$CE$57, MATCH($C45, $C$8:$C$57, 0), (COLUMNS($DU45:DX45)-1)*5 + 1) = INDEX($E$5:$CE$5, 1, (COLUMNS($DU45:DX45)-1)*5 + 1), INDEX($E$8:$CE$57, MATCH($C45, $C$8:$C$57, 0), (COLUMNS($DU45:DX45)-1)*5 + 4) = "SF"), INDEX($CZ$8:$CZ$23, COLUMNS($DU45:DX45)), "0"), "")</f>
        <v>0</v>
      </c>
      <c r="DY45" s="390" t="str">
        <f t="array" ref="DY45">IFERROR(IF(AND(INDEX($E$8:$CE$57, MATCH($C45, $C$8:$C$57, 0), (COLUMNS($DU45:DY45)-1)*5 + 1) = INDEX($E$5:$CE$5, 1, (COLUMNS($DU45:DY45)-1)*5 + 1), INDEX($E$8:$CE$57, MATCH($C45, $C$8:$C$57, 0), (COLUMNS($DU45:DY45)-1)*5 + 4) = "SF"), INDEX($CZ$8:$CZ$23, COLUMNS($DU45:DY45)), "0"), "")</f>
        <v>0</v>
      </c>
      <c r="DZ45" s="390" t="str">
        <f t="array" ref="DZ45">IFERROR(IF(AND(INDEX($E$8:$CE$57, MATCH($C45, $C$8:$C$57, 0), (COLUMNS($DU45:DZ45)-1)*5 + 1) = INDEX($E$5:$CE$5, 1, (COLUMNS($DU45:DZ45)-1)*5 + 1), INDEX($E$8:$CE$57, MATCH($C45, $C$8:$C$57, 0), (COLUMNS($DU45:DZ45)-1)*5 + 4) = "SF"), INDEX($CZ$8:$CZ$23, COLUMNS($DU45:DZ45)), "0"), "")</f>
        <v>0</v>
      </c>
      <c r="EA45" s="390" t="str">
        <f t="array" ref="EA45">IFERROR(IF(AND(INDEX($E$8:$CE$57, MATCH($C45, $C$8:$C$57, 0), (COLUMNS($DU45:EA45)-1)*5 + 1) = INDEX($E$5:$CE$5, 1, (COLUMNS($DU45:EA45)-1)*5 + 1), INDEX($E$8:$CE$57, MATCH($C45, $C$8:$C$57, 0), (COLUMNS($DU45:EA45)-1)*5 + 4) = "SF"), INDEX($CZ$8:$CZ$23, COLUMNS($DU45:EA45)), "0"), "")</f>
        <v>0</v>
      </c>
      <c r="EB45" s="390" t="str">
        <f t="array" ref="EB45">IFERROR(IF(AND(INDEX($E$8:$CE$57, MATCH($C45, $C$8:$C$57, 0), (COLUMNS($DU45:EB45)-1)*5 + 1) = INDEX($E$5:$CE$5, 1, (COLUMNS($DU45:EB45)-1)*5 + 1), INDEX($E$8:$CE$57, MATCH($C45, $C$8:$C$57, 0), (COLUMNS($DU45:EB45)-1)*5 + 4) = "SF"), INDEX($CZ$8:$CZ$23, COLUMNS($DU45:EB45)), "0"), "")</f>
        <v>0</v>
      </c>
      <c r="EC45" s="390" t="str">
        <f t="array" ref="EC45">IFERROR(IF(AND(INDEX($E$8:$CE$57, MATCH($C45, $C$8:$C$57, 0), (COLUMNS($DU45:EC45)-1)*5 + 1) = INDEX($E$5:$CE$5, 1, (COLUMNS($DU45:EC45)-1)*5 + 1), INDEX($E$8:$CE$57, MATCH($C45, $C$8:$C$57, 0), (COLUMNS($DU45:EC45)-1)*5 + 4) = "SF"), INDEX($CZ$8:$CZ$23, COLUMNS($DU45:EC45)), "0"), "")</f>
        <v>0</v>
      </c>
      <c r="ED45" s="390" t="str">
        <f t="array" ref="ED45">IFERROR(IF(AND(INDEX($E$8:$CE$57, MATCH($C45, $C$8:$C$57, 0), (COLUMNS($DU45:ED45)-1)*5 + 1) = INDEX($E$5:$CE$5, 1, (COLUMNS($DU45:ED45)-1)*5 + 1), INDEX($E$8:$CE$57, MATCH($C45, $C$8:$C$57, 0), (COLUMNS($DU45:ED45)-1)*5 + 4) = "SF"), INDEX($CZ$8:$CZ$23, COLUMNS($DU45:ED45)), "0"), "")</f>
        <v>0</v>
      </c>
      <c r="EE45" s="390" t="str">
        <f t="array" ref="EE45">IFERROR(IF(AND(INDEX($E$8:$CE$57, MATCH($C45, $C$8:$C$57, 0), (COLUMNS($DU45:EE45)-1)*5 + 1) = INDEX($E$5:$CE$5, 1, (COLUMNS($DU45:EE45)-1)*5 + 1), INDEX($E$8:$CE$57, MATCH($C45, $C$8:$C$57, 0), (COLUMNS($DU45:EE45)-1)*5 + 4) = "SF"), INDEX($CZ$8:$CZ$23, COLUMNS($DU45:EE45)), "0"), "")</f>
        <v>0</v>
      </c>
      <c r="EF45" s="390" t="str">
        <f t="array" ref="EF45">IFERROR(IF(AND(INDEX($E$8:$CE$57, MATCH($C45, $C$8:$C$57, 0), (COLUMNS($DU45:EF45)-1)*5 + 1) = INDEX($E$5:$CE$5, 1, (COLUMNS($DU45:EF45)-1)*5 + 1), INDEX($E$8:$CE$57, MATCH($C45, $C$8:$C$57, 0), (COLUMNS($DU45:EF45)-1)*5 + 4) = "SF"), INDEX($CZ$8:$CZ$23, COLUMNS($DU45:EF45)), "0"), "")</f>
        <v>0</v>
      </c>
      <c r="EG45" s="390" t="str">
        <f t="array" ref="EG45">IFERROR(IF(AND(INDEX($E$8:$CE$57, MATCH($C45, $C$8:$C$57, 0), (COLUMNS($DU45:EG45)-1)*5 + 1) = INDEX($E$5:$CE$5, 1, (COLUMNS($DU45:EG45)-1)*5 + 1), INDEX($E$8:$CE$57, MATCH($C45, $C$8:$C$57, 0), (COLUMNS($DU45:EG45)-1)*5 + 4) = "SF"), INDEX($CZ$8:$CZ$23, COLUMNS($DU45:EG45)), "0"), "")</f>
        <v>0</v>
      </c>
      <c r="EH45" s="390" t="str">
        <f t="array" ref="EH45">IFERROR(IF(AND(INDEX($E$8:$CE$57, MATCH($C45, $C$8:$C$57, 0), (COLUMNS($DU45:EH45)-1)*5 + 1) = INDEX($E$5:$CE$5, 1, (COLUMNS($DU45:EH45)-1)*5 + 1), INDEX($E$8:$CE$57, MATCH($C45, $C$8:$C$57, 0), (COLUMNS($DU45:EH45)-1)*5 + 4) = "SF"), INDEX($CZ$8:$CZ$23, COLUMNS($DU45:EH45)), "0"), "")</f>
        <v>0</v>
      </c>
      <c r="EI45" s="390" t="str">
        <f t="array" ref="EI45">IFERROR(IF(AND(INDEX($E$8:$CE$57, MATCH($C45, $C$8:$C$57, 0), (COLUMNS($DU45:EI45)-1)*5 + 1) = INDEX($E$5:$CE$5, 1, (COLUMNS($DU45:EI45)-1)*5 + 1), INDEX($E$8:$CE$57, MATCH($C45, $C$8:$C$57, 0), (COLUMNS($DU45:EI45)-1)*5 + 4) = "SF"), INDEX($CZ$8:$CZ$23, COLUMNS($DU45:EI45)), "0"), "")</f>
        <v>0</v>
      </c>
      <c r="EJ45" s="390" t="str">
        <f t="array" ref="EJ45">IFERROR(IF(AND(INDEX($E$8:$CE$57, MATCH($C45, $C$8:$C$57, 0), (COLUMNS($DU45:EJ45)-1)*5 + 1) = INDEX($E$5:$CE$5, 1, (COLUMNS($DU45:EJ45)-1)*5 + 1), INDEX($E$8:$CE$57, MATCH($C45, $C$8:$C$57, 0), (COLUMNS($DU45:EJ45)-1)*5 + 4) = "SF"), INDEX($CZ$8:$CZ$23, COLUMNS($DU45:EJ45)), "0"), "")</f>
        <v>0</v>
      </c>
    </row>
    <row r="46" spans="1:140" ht="20.100000000000001" customHeight="1" x14ac:dyDescent="0.35">
      <c r="A46" s="515"/>
      <c r="B46" s="444">
        <f>IF(SEMANA2[[#This Row],[COD]]&lt;&gt;"",B45+1,"")</f>
        <v>39</v>
      </c>
      <c r="C46" s="554" t="s">
        <v>107</v>
      </c>
      <c r="D46" s="410" t="str">
        <f t="array" ref="D46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46" s="411">
        <v>9</v>
      </c>
      <c r="F46" s="413"/>
      <c r="G46" s="413"/>
      <c r="H46" s="413" t="s">
        <v>255</v>
      </c>
      <c r="I46" s="534">
        <f t="shared" si="18"/>
        <v>0</v>
      </c>
      <c r="J46" s="411">
        <v>1</v>
      </c>
      <c r="K46" s="413">
        <v>6</v>
      </c>
      <c r="L46" s="413">
        <v>7</v>
      </c>
      <c r="M46" s="413"/>
      <c r="N46" s="534">
        <f t="shared" si="19"/>
        <v>1</v>
      </c>
      <c r="O46" s="411">
        <v>5</v>
      </c>
      <c r="P46" s="413">
        <v>7</v>
      </c>
      <c r="Q46" s="413">
        <v>1</v>
      </c>
      <c r="R46" s="413"/>
      <c r="S46" s="534">
        <f t="shared" si="20"/>
        <v>1</v>
      </c>
      <c r="T46" s="411">
        <v>5</v>
      </c>
      <c r="U46" s="413">
        <v>3</v>
      </c>
      <c r="V46" s="413">
        <v>4</v>
      </c>
      <c r="W46" s="413"/>
      <c r="X46" s="534">
        <f t="shared" si="21"/>
        <v>0</v>
      </c>
      <c r="Y46" s="411">
        <v>5</v>
      </c>
      <c r="Z46" s="413">
        <v>2</v>
      </c>
      <c r="AA46" s="413">
        <v>1</v>
      </c>
      <c r="AB46" s="413"/>
      <c r="AC46" s="534">
        <f t="shared" si="22"/>
        <v>2</v>
      </c>
      <c r="AD46" s="411">
        <v>10</v>
      </c>
      <c r="AE46" s="413">
        <v>5</v>
      </c>
      <c r="AF46" s="413">
        <v>2</v>
      </c>
      <c r="AG46" s="413"/>
      <c r="AH46" s="534">
        <f t="shared" si="23"/>
        <v>0</v>
      </c>
      <c r="AI46" s="411">
        <v>7</v>
      </c>
      <c r="AJ46" s="413">
        <v>8</v>
      </c>
      <c r="AK46" s="413">
        <v>2</v>
      </c>
      <c r="AL46" s="413"/>
      <c r="AM46" s="534">
        <f t="shared" si="24"/>
        <v>0</v>
      </c>
      <c r="AN46" s="411">
        <v>8</v>
      </c>
      <c r="AO46" s="413">
        <v>1</v>
      </c>
      <c r="AP46" s="413">
        <v>2</v>
      </c>
      <c r="AQ46" s="413" t="s">
        <v>254</v>
      </c>
      <c r="AR46" s="534">
        <f t="shared" si="25"/>
        <v>4.5</v>
      </c>
      <c r="AS46" s="411">
        <v>10</v>
      </c>
      <c r="AT46" s="413">
        <v>1</v>
      </c>
      <c r="AU46" s="413">
        <v>2</v>
      </c>
      <c r="AV46" s="413" t="s">
        <v>254</v>
      </c>
      <c r="AW46" s="534">
        <f t="shared" si="26"/>
        <v>1</v>
      </c>
      <c r="AX46" s="411">
        <v>10</v>
      </c>
      <c r="AY46" s="413">
        <v>1</v>
      </c>
      <c r="AZ46" s="413">
        <v>6</v>
      </c>
      <c r="BA46" s="413"/>
      <c r="BB46" s="534">
        <f t="shared" si="27"/>
        <v>0</v>
      </c>
      <c r="BC46" s="411">
        <v>7</v>
      </c>
      <c r="BD46" s="413">
        <v>4</v>
      </c>
      <c r="BE46" s="413">
        <v>5</v>
      </c>
      <c r="BF46" s="413"/>
      <c r="BG46" s="534">
        <f t="shared" si="28"/>
        <v>4</v>
      </c>
      <c r="BH46" s="411">
        <v>6</v>
      </c>
      <c r="BI46" s="413">
        <v>5</v>
      </c>
      <c r="BJ46" s="413">
        <v>2</v>
      </c>
      <c r="BK46" s="413"/>
      <c r="BL46" s="534">
        <f t="shared" si="29"/>
        <v>5</v>
      </c>
      <c r="BM46" s="411">
        <v>4</v>
      </c>
      <c r="BN46" s="413">
        <v>1</v>
      </c>
      <c r="BO46" s="413">
        <v>3</v>
      </c>
      <c r="BP46" s="413"/>
      <c r="BQ46" s="534">
        <f t="shared" si="30"/>
        <v>0</v>
      </c>
      <c r="BR46" s="411">
        <v>9</v>
      </c>
      <c r="BS46" s="413">
        <v>2</v>
      </c>
      <c r="BT46" s="413">
        <v>11</v>
      </c>
      <c r="BU46" s="413"/>
      <c r="BV46" s="534">
        <f t="shared" si="31"/>
        <v>0</v>
      </c>
      <c r="BW46" s="411"/>
      <c r="BX46" s="413"/>
      <c r="BY46" s="413"/>
      <c r="BZ46" s="413"/>
      <c r="CA46" s="534">
        <f t="shared" si="32"/>
        <v>0</v>
      </c>
      <c r="CB46" s="411"/>
      <c r="CC46" s="413"/>
      <c r="CD46" s="413"/>
      <c r="CE46" s="413"/>
      <c r="CF46" s="534">
        <f t="shared" si="33"/>
        <v>0</v>
      </c>
      <c r="CG46" s="162">
        <f>IF(SEMANA2[[#This Row],[1]]="",0,$B$4)</f>
        <v>14</v>
      </c>
      <c r="CH46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3</v>
      </c>
      <c r="CI46" s="164">
        <f>IF(SEMANA2[[#This Row],[Columna14]]=0,0,(CH46/CG46))</f>
        <v>0.21428571428571427</v>
      </c>
      <c r="CJ46" s="163">
        <f>IF(SEMANA2[[#This Row],[1]]="",0,$B$4)</f>
        <v>14</v>
      </c>
      <c r="CK46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4</v>
      </c>
      <c r="CL46" s="164">
        <f>IF(SEMANA2[[#This Row],[Columna14]]=0,0,(CK46/CJ46))</f>
        <v>0.2857142857142857</v>
      </c>
      <c r="CM46" s="162">
        <f>IF(SEMANA2[[#This Row],[1]]="",0,$B$4)</f>
        <v>14</v>
      </c>
      <c r="CN46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7</v>
      </c>
      <c r="CO46" s="164">
        <f>IF(SEMANA2[[#This Row],[Columna14]]=0,0,(CN46/CM46))</f>
        <v>0.5</v>
      </c>
      <c r="CP46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3</v>
      </c>
      <c r="CQ46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Row],[Columna25]],$AX$5,BA46,"SF")+COUNTIFS(SEMANA2[[#This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1</v>
      </c>
      <c r="CR46" s="164">
        <f>IFERROR(IF(SEMANA2[[#This Row],[Columna14]]=0,0,(CQ46/CP46)),0)</f>
        <v>0.33333333333333331</v>
      </c>
      <c r="CS46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18.5</v>
      </c>
      <c r="CT46" s="93">
        <f>_xlfn.XLOOKUP(SEMANA2[[#This Row],[COD]],BASE01[COD],BASE01[Columna33])</f>
        <v>0</v>
      </c>
      <c r="CU46" s="536">
        <f t="shared" si="34"/>
        <v>18.5</v>
      </c>
      <c r="CV46" s="445">
        <f>IF(SEMANA2[[#This Row],[TIPO]]="PREMIO",$O$3,"0,00")</f>
        <v>1000</v>
      </c>
      <c r="CW46" s="515"/>
      <c r="CY46" s="387" t="str">
        <f t="shared" si="17"/>
        <v/>
      </c>
      <c r="CZ46" s="387"/>
      <c r="DA46" s="387" t="str">
        <f t="array" ref="DA46">IF(CZ46="", "", IF((INDEX(E$8:CE$57, MATCH(CZ46, C$8:C$57, 0), ($CZ$25-1)*5 + 1) &amp; "") = (INDEX(E$5:CE$5, 1, ($CZ$25-1)*5 + 1) &amp; ""), 1, IF((INDEX(E$8:CE$57, MATCH(CZ46, C$8:C$57, 0), ($CZ$25-1)*5 + 2) &amp; "") = (INDEX(E$5:CE$5, 1, ($CZ$25-1)*5 + 1) &amp; ""), 2, IF((INDEX(E$8:CE$57, MATCH(CZ46, C$8:C$57, 0), ($CZ$25-1)*5 + 3) &amp; "") = (INDEX(E$5:CE$5, 1, ($CZ$25-1)*5 + 1) &amp; ""), 3, ""))))</f>
        <v/>
      </c>
      <c r="DB46" s="537" t="str">
        <f>SEMANA2[[#This Row],[COD]]</f>
        <v>COD 39</v>
      </c>
      <c r="DC46" s="390" t="str">
        <f t="array" ref="DC46">IFERROR(IF(AND(INDEX($E$8:$CE$57, MATCH($C46, $C$8:$C$57, 0), (COLUMNS($DC46:DC46)-1)*5 + 1) = INDEX($E$5:$CE$5, 1, (COLUMNS($DC46:DC46)-1)*5 + 1), INDEX($E$8:$CE$57, MATCH($C46, $C$8:$C$57, 0), (COLUMNS($DC46:DC46)-1)*5 + 4) = "F"), INDEX($CZ$8:$CZ$23, COLUMNS($DC46:DC46)), "0"), "")</f>
        <v>0</v>
      </c>
      <c r="DD46" s="390" t="str">
        <f t="array" ref="DD46">IFERROR(IF(AND(INDEX($E$8:$CE$57, MATCH($C46, $C$8:$C$57, 0), (COLUMNS($DC46:DD46)-1)*5 + 1) = INDEX($E$5:$CE$5, 1, (COLUMNS($DC46:DD46)-1)*5 + 1), INDEX($E$8:$CE$57, MATCH($C46, $C$8:$C$57, 0), (COLUMNS($DC46:DD46)-1)*5 + 4) = "F"), INDEX($CZ$8:$CZ$23, COLUMNS($DC46:DD46)), "0"), "")</f>
        <v>0</v>
      </c>
      <c r="DE46" s="390" t="str">
        <f t="array" ref="DE46">IFERROR(IF(AND(INDEX($E$8:$CE$57, MATCH($C46, $C$8:$C$57, 0), (COLUMNS($DC46:DE46)-1)*5 + 1) = INDEX($E$5:$CE$5, 1, (COLUMNS($DC46:DE46)-1)*5 + 1), INDEX($E$8:$CE$57, MATCH($C46, $C$8:$C$57, 0), (COLUMNS($DC46:DE46)-1)*5 + 4) = "F"), INDEX($CZ$8:$CZ$23, COLUMNS($DC46:DE46)), "0"), "")</f>
        <v>0</v>
      </c>
      <c r="DF46" s="390" t="str">
        <f t="array" ref="DF46">IFERROR(IF(AND(INDEX($E$8:$CE$57, MATCH($C46, $C$8:$C$57, 0), (COLUMNS($DC46:DF46)-1)*5 + 1) = INDEX($E$5:$CE$5, 1, (COLUMNS($DC46:DF46)-1)*5 + 1), INDEX($E$8:$CE$57, MATCH($C46, $C$8:$C$57, 0), (COLUMNS($DC46:DF46)-1)*5 + 4) = "F"), INDEX($CZ$8:$CZ$23, COLUMNS($DC46:DF46)), "0"), "")</f>
        <v>0</v>
      </c>
      <c r="DG46" s="390" t="str">
        <f t="array" ref="DG46">IFERROR(IF(AND(INDEX($E$8:$CE$57, MATCH($C46, $C$8:$C$57, 0), (COLUMNS($DC46:DG46)-1)*5 + 1) = INDEX($E$5:$CE$5, 1, (COLUMNS($DC46:DG46)-1)*5 + 1), INDEX($E$8:$CE$57, MATCH($C46, $C$8:$C$57, 0), (COLUMNS($DC46:DG46)-1)*5 + 4) = "F"), INDEX($CZ$8:$CZ$23, COLUMNS($DC46:DG46)), "0"), "")</f>
        <v>0</v>
      </c>
      <c r="DH46" s="390" t="str">
        <f t="array" ref="DH46">IFERROR(IF(AND(INDEX($E$8:$CE$57, MATCH($C46, $C$8:$C$57, 0), (COLUMNS($DC46:DH46)-1)*5 + 1) = INDEX($E$5:$CE$5, 1, (COLUMNS($DC46:DH46)-1)*5 + 1), INDEX($E$8:$CE$57, MATCH($C46, $C$8:$C$57, 0), (COLUMNS($DC46:DH46)-1)*5 + 4) = "F"), INDEX($CZ$8:$CZ$23, COLUMNS($DC46:DH46)), "0"), "")</f>
        <v>0</v>
      </c>
      <c r="DI46" s="390" t="str">
        <f t="array" ref="DI46">IFERROR(IF(AND(INDEX($E$8:$CE$57, MATCH($C46, $C$8:$C$57, 0), (COLUMNS($DC46:DI46)-1)*5 + 1) = INDEX($E$5:$CE$5, 1, (COLUMNS($DC46:DI46)-1)*5 + 1), INDEX($E$8:$CE$57, MATCH($C46, $C$8:$C$57, 0), (COLUMNS($DC46:DI46)-1)*5 + 4) = "F"), INDEX($CZ$8:$CZ$23, COLUMNS($DC46:DI46)), "0"), "")</f>
        <v>0</v>
      </c>
      <c r="DJ46" s="390">
        <f t="array" ref="DJ46">IFERROR(IF(AND(INDEX($E$8:$CE$57, MATCH($C46, $C$8:$C$57, 0), (COLUMNS($DC46:DJ46)-1)*5 + 1) = INDEX($E$5:$CE$5, 1, (COLUMNS($DC46:DJ46)-1)*5 + 1), INDEX($E$8:$CE$57, MATCH($C46, $C$8:$C$57, 0), (COLUMNS($DC46:DJ46)-1)*5 + 4) = "F"), INDEX($CZ$8:$CZ$23, COLUMNS($DC46:DJ46)), "0"), "")</f>
        <v>128.36000000000001</v>
      </c>
      <c r="DK46" s="390" t="str">
        <f t="array" ref="DK46">IFERROR(IF(AND(INDEX($E$8:$CE$57, MATCH($C46, $C$8:$C$57, 0), (COLUMNS($DC46:DK46)-1)*5 + 1) = INDEX($E$5:$CE$5, 1, (COLUMNS($DC46:DK46)-1)*5 + 1), INDEX($E$8:$CE$57, MATCH($C46, $C$8:$C$57, 0), (COLUMNS($DC46:DK46)-1)*5 + 4) = "F"), INDEX($CZ$8:$CZ$23, COLUMNS($DC46:DK46)), "0"), "")</f>
        <v>0</v>
      </c>
      <c r="DL46" s="390" t="str">
        <f t="array" ref="DL46">IFERROR(IF(AND(INDEX($E$8:$CE$57, MATCH($C46, $C$8:$C$57, 0), (COLUMNS($DC46:DL46)-1)*5 + 1) = INDEX($E$5:$CE$5, 1, (COLUMNS($DC46:DL46)-1)*5 + 1), INDEX($E$8:$CE$57, MATCH($C46, $C$8:$C$57, 0), (COLUMNS($DC46:DL46)-1)*5 + 4) = "F"), INDEX($CZ$8:$CZ$23, COLUMNS($DC46:DL46)), "0"), "")</f>
        <v>0</v>
      </c>
      <c r="DM46" s="390" t="str">
        <f t="array" ref="DM46">IFERROR(IF(AND(INDEX($E$8:$CE$57, MATCH($C46, $C$8:$C$57, 0), (COLUMNS($DC46:DM46)-1)*5 + 1) = INDEX($E$5:$CE$5, 1, (COLUMNS($DC46:DM46)-1)*5 + 1), INDEX($E$8:$CE$57, MATCH($C46, $C$8:$C$57, 0), (COLUMNS($DC46:DM46)-1)*5 + 4) = "F"), INDEX($CZ$8:$CZ$23, COLUMNS($DC46:DM46)), "0"), "")</f>
        <v>0</v>
      </c>
      <c r="DN46" s="390" t="str">
        <f t="array" ref="DN46">IFERROR(IF(AND(INDEX($E$8:$CE$57, MATCH($C46, $C$8:$C$57, 0), (COLUMNS($DC46:DN46)-1)*5 + 1) = INDEX($E$5:$CE$5, 1, (COLUMNS($DC46:DN46)-1)*5 + 1), INDEX($E$8:$CE$57, MATCH($C46, $C$8:$C$57, 0), (COLUMNS($DC46:DN46)-1)*5 + 4) = "F"), INDEX($CZ$8:$CZ$23, COLUMNS($DC46:DN46)), "0"), "")</f>
        <v>0</v>
      </c>
      <c r="DO46" s="390" t="str">
        <f t="array" ref="DO46">IFERROR(IF(AND(INDEX($E$8:$CE$57, MATCH($C46, $C$8:$C$57, 0), (COLUMNS($DC46:DO46)-1)*5 + 1) = INDEX($E$5:$CE$5, 1, (COLUMNS($DC46:DO46)-1)*5 + 1), INDEX($E$8:$CE$57, MATCH($C46, $C$8:$C$57, 0), (COLUMNS($DC46:DO46)-1)*5 + 4) = "F"), INDEX($CZ$8:$CZ$23, COLUMNS($DC46:DO46)), "0"), "")</f>
        <v>0</v>
      </c>
      <c r="DP46" s="390" t="str">
        <f t="array" ref="DP46">IFERROR(IF(AND(INDEX($E$8:$CE$57, MATCH($C46, $C$8:$C$57, 0), (COLUMNS($DC46:DP46)-1)*5 + 1) = INDEX($E$5:$CE$5, 1, (COLUMNS($DC46:DP46)-1)*5 + 1), INDEX($E$8:$CE$57, MATCH($C46, $C$8:$C$57, 0), (COLUMNS($DC46:DP46)-1)*5 + 4) = "F"), INDEX($CZ$8:$CZ$23, COLUMNS($DC46:DP46)), "0"), "")</f>
        <v>0</v>
      </c>
      <c r="DQ46" s="390" t="str">
        <f t="array" ref="DQ46">IFERROR(IF(AND(INDEX($E$8:$CE$57, MATCH($C46, $C$8:$C$57, 0), (COLUMNS($DC46:DQ46)-1)*5 + 1) = INDEX($E$5:$CE$5, 1, (COLUMNS($DC46:DQ46)-1)*5 + 1), INDEX($E$8:$CE$57, MATCH($C46, $C$8:$C$57, 0), (COLUMNS($DC46:DQ46)-1)*5 + 4) = "F"), INDEX($CZ$8:$CZ$23, COLUMNS($DC46:DQ46)), "0"), "")</f>
        <v>0</v>
      </c>
      <c r="DR46" s="390" t="str">
        <f t="array" ref="DR46">IFERROR(IF(AND(INDEX($E$8:$CE$57, MATCH($C46, $C$8:$C$57, 0), (COLUMNS($DC46:DR46)-1)*5 + 1) = INDEX($E$5:$CE$5, 1, (COLUMNS($DC46:DR46)-1)*5 + 1), INDEX($E$8:$CE$57, MATCH($C46, $C$8:$C$57, 0), (COLUMNS($DC46:DR46)-1)*5 + 4) = "F"), INDEX($CZ$8:$CZ$23, COLUMNS($DC46:DR46)), "0"), "")</f>
        <v>0</v>
      </c>
      <c r="DT46" s="537" t="str">
        <f>SEMANA2[[#This Row],[COD]]</f>
        <v>COD 39</v>
      </c>
      <c r="DU46" s="390" t="str">
        <f t="array" ref="DU46">IFERROR(IF(AND(INDEX($E$8:$CE$57, MATCH($C46, $C$8:$C$57, 0), (COLUMNS($DU46:DU46)-1)*5 + 1) = INDEX($E$5:$CE$5, 1, (COLUMNS($DU46:DU46)-1)*5 + 1), INDEX($E$8:$CE$57, MATCH($C46, $C$8:$C$57, 0), (COLUMNS($DU46:DU46)-1)*5 + 4) = "SF"), INDEX($CZ$8:$CZ$23, COLUMNS($DU46:DU46)), "0"), "")</f>
        <v>0</v>
      </c>
      <c r="DV46" s="390" t="str">
        <f t="array" ref="DV46">IFERROR(IF(AND(INDEX($E$8:$CE$57, MATCH($C46, $C$8:$C$57, 0), (COLUMNS($DU46:DV46)-1)*5 + 1) = INDEX($E$5:$CE$5, 1, (COLUMNS($DU46:DV46)-1)*5 + 1), INDEX($E$8:$CE$57, MATCH($C46, $C$8:$C$57, 0), (COLUMNS($DU46:DV46)-1)*5 + 4) = "SF"), INDEX($CZ$8:$CZ$23, COLUMNS($DU46:DV46)), "0"), "")</f>
        <v>0</v>
      </c>
      <c r="DW46" s="390" t="str">
        <f t="array" ref="DW46">IFERROR(IF(AND(INDEX($E$8:$CE$57, MATCH($C46, $C$8:$C$57, 0), (COLUMNS($DU46:DW46)-1)*5 + 1) = INDEX($E$5:$CE$5, 1, (COLUMNS($DU46:DW46)-1)*5 + 1), INDEX($E$8:$CE$57, MATCH($C46, $C$8:$C$57, 0), (COLUMNS($DU46:DW46)-1)*5 + 4) = "SF"), INDEX($CZ$8:$CZ$23, COLUMNS($DU46:DW46)), "0"), "")</f>
        <v>0</v>
      </c>
      <c r="DX46" s="390" t="str">
        <f t="array" ref="DX46">IFERROR(IF(AND(INDEX($E$8:$CE$57, MATCH($C46, $C$8:$C$57, 0), (COLUMNS($DU46:DX46)-1)*5 + 1) = INDEX($E$5:$CE$5, 1, (COLUMNS($DU46:DX46)-1)*5 + 1), INDEX($E$8:$CE$57, MATCH($C46, $C$8:$C$57, 0), (COLUMNS($DU46:DX46)-1)*5 + 4) = "SF"), INDEX($CZ$8:$CZ$23, COLUMNS($DU46:DX46)), "0"), "")</f>
        <v>0</v>
      </c>
      <c r="DY46" s="390" t="str">
        <f t="array" ref="DY46">IFERROR(IF(AND(INDEX($E$8:$CE$57, MATCH($C46, $C$8:$C$57, 0), (COLUMNS($DU46:DY46)-1)*5 + 1) = INDEX($E$5:$CE$5, 1, (COLUMNS($DU46:DY46)-1)*5 + 1), INDEX($E$8:$CE$57, MATCH($C46, $C$8:$C$57, 0), (COLUMNS($DU46:DY46)-1)*5 + 4) = "SF"), INDEX($CZ$8:$CZ$23, COLUMNS($DU46:DY46)), "0"), "")</f>
        <v>0</v>
      </c>
      <c r="DZ46" s="390" t="str">
        <f t="array" ref="DZ46">IFERROR(IF(AND(INDEX($E$8:$CE$57, MATCH($C46, $C$8:$C$57, 0), (COLUMNS($DU46:DZ46)-1)*5 + 1) = INDEX($E$5:$CE$5, 1, (COLUMNS($DU46:DZ46)-1)*5 + 1), INDEX($E$8:$CE$57, MATCH($C46, $C$8:$C$57, 0), (COLUMNS($DU46:DZ46)-1)*5 + 4) = "SF"), INDEX($CZ$8:$CZ$23, COLUMNS($DU46:DZ46)), "0"), "")</f>
        <v>0</v>
      </c>
      <c r="EA46" s="390" t="str">
        <f t="array" ref="EA46">IFERROR(IF(AND(INDEX($E$8:$CE$57, MATCH($C46, $C$8:$C$57, 0), (COLUMNS($DU46:EA46)-1)*5 + 1) = INDEX($E$5:$CE$5, 1, (COLUMNS($DU46:EA46)-1)*5 + 1), INDEX($E$8:$CE$57, MATCH($C46, $C$8:$C$57, 0), (COLUMNS($DU46:EA46)-1)*5 + 4) = "SF"), INDEX($CZ$8:$CZ$23, COLUMNS($DU46:EA46)), "0"), "")</f>
        <v>0</v>
      </c>
      <c r="EB46" s="390" t="str">
        <f t="array" ref="EB46">IFERROR(IF(AND(INDEX($E$8:$CE$57, MATCH($C46, $C$8:$C$57, 0), (COLUMNS($DU46:EB46)-1)*5 + 1) = INDEX($E$5:$CE$5, 1, (COLUMNS($DU46:EB46)-1)*5 + 1), INDEX($E$8:$CE$57, MATCH($C46, $C$8:$C$57, 0), (COLUMNS($DU46:EB46)-1)*5 + 4) = "SF"), INDEX($CZ$8:$CZ$23, COLUMNS($DU46:EB46)), "0"), "")</f>
        <v>0</v>
      </c>
      <c r="EC46" s="390" t="str">
        <f t="array" ref="EC46">IFERROR(IF(AND(INDEX($E$8:$CE$57, MATCH($C46, $C$8:$C$57, 0), (COLUMNS($DU46:EC46)-1)*5 + 1) = INDEX($E$5:$CE$5, 1, (COLUMNS($DU46:EC46)-1)*5 + 1), INDEX($E$8:$CE$57, MATCH($C46, $C$8:$C$57, 0), (COLUMNS($DU46:EC46)-1)*5 + 4) = "SF"), INDEX($CZ$8:$CZ$23, COLUMNS($DU46:EC46)), "0"), "")</f>
        <v>0</v>
      </c>
      <c r="ED46" s="390" t="str">
        <f t="array" ref="ED46">IFERROR(IF(AND(INDEX($E$8:$CE$57, MATCH($C46, $C$8:$C$57, 0), (COLUMNS($DU46:ED46)-1)*5 + 1) = INDEX($E$5:$CE$5, 1, (COLUMNS($DU46:ED46)-1)*5 + 1), INDEX($E$8:$CE$57, MATCH($C46, $C$8:$C$57, 0), (COLUMNS($DU46:ED46)-1)*5 + 4) = "SF"), INDEX($CZ$8:$CZ$23, COLUMNS($DU46:ED46)), "0"), "")</f>
        <v>0</v>
      </c>
      <c r="EE46" s="390" t="str">
        <f t="array" ref="EE46">IFERROR(IF(AND(INDEX($E$8:$CE$57, MATCH($C46, $C$8:$C$57, 0), (COLUMNS($DU46:EE46)-1)*5 + 1) = INDEX($E$5:$CE$5, 1, (COLUMNS($DU46:EE46)-1)*5 + 1), INDEX($E$8:$CE$57, MATCH($C46, $C$8:$C$57, 0), (COLUMNS($DU46:EE46)-1)*5 + 4) = "SF"), INDEX($CZ$8:$CZ$23, COLUMNS($DU46:EE46)), "0"), "")</f>
        <v>0</v>
      </c>
      <c r="EF46" s="390" t="str">
        <f t="array" ref="EF46">IFERROR(IF(AND(INDEX($E$8:$CE$57, MATCH($C46, $C$8:$C$57, 0), (COLUMNS($DU46:EF46)-1)*5 + 1) = INDEX($E$5:$CE$5, 1, (COLUMNS($DU46:EF46)-1)*5 + 1), INDEX($E$8:$CE$57, MATCH($C46, $C$8:$C$57, 0), (COLUMNS($DU46:EF46)-1)*5 + 4) = "SF"), INDEX($CZ$8:$CZ$23, COLUMNS($DU46:EF46)), "0"), "")</f>
        <v>0</v>
      </c>
      <c r="EG46" s="390" t="str">
        <f t="array" ref="EG46">IFERROR(IF(AND(INDEX($E$8:$CE$57, MATCH($C46, $C$8:$C$57, 0), (COLUMNS($DU46:EG46)-1)*5 + 1) = INDEX($E$5:$CE$5, 1, (COLUMNS($DU46:EG46)-1)*5 + 1), INDEX($E$8:$CE$57, MATCH($C46, $C$8:$C$57, 0), (COLUMNS($DU46:EG46)-1)*5 + 4) = "SF"), INDEX($CZ$8:$CZ$23, COLUMNS($DU46:EG46)), "0"), "")</f>
        <v>0</v>
      </c>
      <c r="EH46" s="390" t="str">
        <f t="array" ref="EH46">IFERROR(IF(AND(INDEX($E$8:$CE$57, MATCH($C46, $C$8:$C$57, 0), (COLUMNS($DU46:EH46)-1)*5 + 1) = INDEX($E$5:$CE$5, 1, (COLUMNS($DU46:EH46)-1)*5 + 1), INDEX($E$8:$CE$57, MATCH($C46, $C$8:$C$57, 0), (COLUMNS($DU46:EH46)-1)*5 + 4) = "SF"), INDEX($CZ$8:$CZ$23, COLUMNS($DU46:EH46)), "0"), "")</f>
        <v>0</v>
      </c>
      <c r="EI46" s="390" t="str">
        <f t="array" ref="EI46">IFERROR(IF(AND(INDEX($E$8:$CE$57, MATCH($C46, $C$8:$C$57, 0), (COLUMNS($DU46:EI46)-1)*5 + 1) = INDEX($E$5:$CE$5, 1, (COLUMNS($DU46:EI46)-1)*5 + 1), INDEX($E$8:$CE$57, MATCH($C46, $C$8:$C$57, 0), (COLUMNS($DU46:EI46)-1)*5 + 4) = "SF"), INDEX($CZ$8:$CZ$23, COLUMNS($DU46:EI46)), "0"), "")</f>
        <v>0</v>
      </c>
      <c r="EJ46" s="390" t="str">
        <f t="array" ref="EJ46">IFERROR(IF(AND(INDEX($E$8:$CE$57, MATCH($C46, $C$8:$C$57, 0), (COLUMNS($DU46:EJ46)-1)*5 + 1) = INDEX($E$5:$CE$5, 1, (COLUMNS($DU46:EJ46)-1)*5 + 1), INDEX($E$8:$CE$57, MATCH($C46, $C$8:$C$57, 0), (COLUMNS($DU46:EJ46)-1)*5 + 4) = "SF"), INDEX($CZ$8:$CZ$23, COLUMNS($DU46:EJ46)), "0"), "")</f>
        <v>0</v>
      </c>
    </row>
    <row r="47" spans="1:140" ht="20.100000000000001" customHeight="1" outlineLevel="1" x14ac:dyDescent="0.35">
      <c r="A47" s="515"/>
      <c r="B47" s="444">
        <f>IF(SEMANA2[[#This Row],[COD]]&lt;&gt;"",B46+1,"")</f>
        <v>40</v>
      </c>
      <c r="C47" s="554" t="s">
        <v>109</v>
      </c>
      <c r="D47" s="410" t="str">
        <f t="array" ref="D47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47" s="411"/>
      <c r="F47" s="412"/>
      <c r="G47" s="412"/>
      <c r="H47" s="412"/>
      <c r="I47" s="534">
        <f t="shared" si="18"/>
        <v>0</v>
      </c>
      <c r="J47" s="411"/>
      <c r="K47" s="412"/>
      <c r="L47" s="412"/>
      <c r="M47" s="412"/>
      <c r="N47" s="534">
        <f t="shared" si="19"/>
        <v>0</v>
      </c>
      <c r="O47" s="411"/>
      <c r="P47" s="412"/>
      <c r="Q47" s="412"/>
      <c r="R47" s="412"/>
      <c r="S47" s="534">
        <f t="shared" si="20"/>
        <v>0</v>
      </c>
      <c r="T47" s="411"/>
      <c r="U47" s="412"/>
      <c r="V47" s="412"/>
      <c r="W47" s="412"/>
      <c r="X47" s="534">
        <f t="shared" si="21"/>
        <v>0</v>
      </c>
      <c r="Y47" s="411"/>
      <c r="Z47" s="412"/>
      <c r="AA47" s="412"/>
      <c r="AB47" s="412"/>
      <c r="AC47" s="534">
        <f t="shared" si="22"/>
        <v>0</v>
      </c>
      <c r="AD47" s="411"/>
      <c r="AE47" s="412"/>
      <c r="AF47" s="412"/>
      <c r="AG47" s="412"/>
      <c r="AH47" s="534">
        <f t="shared" si="23"/>
        <v>0</v>
      </c>
      <c r="AI47" s="411"/>
      <c r="AJ47" s="412"/>
      <c r="AK47" s="412"/>
      <c r="AL47" s="412"/>
      <c r="AM47" s="534">
        <f t="shared" si="24"/>
        <v>0</v>
      </c>
      <c r="AN47" s="411"/>
      <c r="AO47" s="412"/>
      <c r="AP47" s="412"/>
      <c r="AQ47" s="412"/>
      <c r="AR47" s="534">
        <f t="shared" si="25"/>
        <v>0</v>
      </c>
      <c r="AS47" s="411"/>
      <c r="AT47" s="412"/>
      <c r="AU47" s="412"/>
      <c r="AV47" s="412"/>
      <c r="AW47" s="534">
        <f t="shared" si="26"/>
        <v>0</v>
      </c>
      <c r="AX47" s="411"/>
      <c r="AY47" s="412"/>
      <c r="AZ47" s="412"/>
      <c r="BA47" s="412"/>
      <c r="BB47" s="534">
        <f t="shared" si="27"/>
        <v>0</v>
      </c>
      <c r="BC47" s="411"/>
      <c r="BD47" s="412"/>
      <c r="BE47" s="412"/>
      <c r="BF47" s="412"/>
      <c r="BG47" s="534">
        <f t="shared" si="28"/>
        <v>0</v>
      </c>
      <c r="BH47" s="411"/>
      <c r="BI47" s="412"/>
      <c r="BJ47" s="412"/>
      <c r="BK47" s="412"/>
      <c r="BL47" s="534">
        <f t="shared" si="29"/>
        <v>0</v>
      </c>
      <c r="BM47" s="411"/>
      <c r="BN47" s="412"/>
      <c r="BO47" s="412"/>
      <c r="BP47" s="412"/>
      <c r="BQ47" s="534">
        <f t="shared" si="30"/>
        <v>0</v>
      </c>
      <c r="BR47" s="411"/>
      <c r="BS47" s="412"/>
      <c r="BT47" s="412"/>
      <c r="BU47" s="412"/>
      <c r="BV47" s="534">
        <f t="shared" si="31"/>
        <v>0</v>
      </c>
      <c r="BW47" s="411"/>
      <c r="BX47" s="412"/>
      <c r="BY47" s="412"/>
      <c r="BZ47" s="412"/>
      <c r="CA47" s="534">
        <f t="shared" si="32"/>
        <v>0</v>
      </c>
      <c r="CB47" s="411"/>
      <c r="CC47" s="412"/>
      <c r="CD47" s="412"/>
      <c r="CE47" s="412"/>
      <c r="CF47" s="534">
        <f t="shared" si="33"/>
        <v>0</v>
      </c>
      <c r="CG47" s="162">
        <f>IF(SEMANA2[[#This Row],[1]]="",0,$B$4)</f>
        <v>0</v>
      </c>
      <c r="CH47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0</v>
      </c>
      <c r="CI47" s="164">
        <f>IF(SEMANA2[[#This Row],[Columna14]]=0,0,(CH47/CG47))</f>
        <v>0</v>
      </c>
      <c r="CJ47" s="163">
        <f>IF(SEMANA2[[#This Row],[1]]="",0,$B$4)</f>
        <v>0</v>
      </c>
      <c r="CK47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0</v>
      </c>
      <c r="CL47" s="164">
        <f>IF(SEMANA2[[#This Row],[Columna14]]=0,0,(CK47/CJ47))</f>
        <v>0</v>
      </c>
      <c r="CM47" s="162">
        <f>IF(SEMANA2[[#This Row],[1]]="",0,$B$4)</f>
        <v>0</v>
      </c>
      <c r="CN47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0</v>
      </c>
      <c r="CO47" s="164">
        <f>IF(SEMANA2[[#This Row],[Columna14]]=0,0,(CN47/CM47))</f>
        <v>0</v>
      </c>
      <c r="CP47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0</v>
      </c>
      <c r="CQ47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Row],[Columna25]],$AX$5,BA47,"SF")+COUNTIFS(SEMANA2[[#This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0</v>
      </c>
      <c r="CR47" s="164">
        <f>IFERROR(IF(SEMANA2[[#This Row],[Columna14]]=0,0,(CQ47/CP47)),0)</f>
        <v>0</v>
      </c>
      <c r="CS47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0</v>
      </c>
      <c r="CT47" s="93">
        <f>_xlfn.XLOOKUP(SEMANA2[[#This Row],[COD]],BASE01[COD],BASE01[Columna33])</f>
        <v>0</v>
      </c>
      <c r="CU47" s="536">
        <f t="shared" si="34"/>
        <v>0</v>
      </c>
      <c r="CV47" s="445">
        <f>IF(SEMANA2[[#This Row],[TIPO]]="PREMIO",$O$3,"0,00")</f>
        <v>1000</v>
      </c>
      <c r="CW47" s="515"/>
      <c r="CY47" s="387" t="str">
        <f t="shared" si="17"/>
        <v/>
      </c>
      <c r="CZ47" s="387"/>
      <c r="DA47" s="387" t="str">
        <f t="array" ref="DA47">IF(CZ47="", "", IF((INDEX(E$8:CE$57, MATCH(CZ47, C$8:C$57, 0), ($CZ$25-1)*5 + 1) &amp; "") = (INDEX(E$5:CE$5, 1, ($CZ$25-1)*5 + 1) &amp; ""), 1, IF((INDEX(E$8:CE$57, MATCH(CZ47, C$8:C$57, 0), ($CZ$25-1)*5 + 2) &amp; "") = (INDEX(E$5:CE$5, 1, ($CZ$25-1)*5 + 1) &amp; ""), 2, IF((INDEX(E$8:CE$57, MATCH(CZ47, C$8:C$57, 0), ($CZ$25-1)*5 + 3) &amp; "") = (INDEX(E$5:CE$5, 1, ($CZ$25-1)*5 + 1) &amp; ""), 3, ""))))</f>
        <v/>
      </c>
      <c r="DB47" s="537" t="str">
        <f>SEMANA2[[#This Row],[COD]]</f>
        <v>COD 40</v>
      </c>
      <c r="DC47" s="390" t="str">
        <f t="array" ref="DC47">IFERROR(IF(AND(INDEX($E$8:$CE$57, MATCH($C47, $C$8:$C$57, 0), (COLUMNS($DC47:DC47)-1)*5 + 1) = INDEX($E$5:$CE$5, 1, (COLUMNS($DC47:DC47)-1)*5 + 1), INDEX($E$8:$CE$57, MATCH($C47, $C$8:$C$57, 0), (COLUMNS($DC47:DC47)-1)*5 + 4) = "F"), INDEX($CZ$8:$CZ$23, COLUMNS($DC47:DC47)), "0"), "")</f>
        <v>0</v>
      </c>
      <c r="DD47" s="390" t="str">
        <f t="array" ref="DD47">IFERROR(IF(AND(INDEX($E$8:$CE$57, MATCH($C47, $C$8:$C$57, 0), (COLUMNS($DC47:DD47)-1)*5 + 1) = INDEX($E$5:$CE$5, 1, (COLUMNS($DC47:DD47)-1)*5 + 1), INDEX($E$8:$CE$57, MATCH($C47, $C$8:$C$57, 0), (COLUMNS($DC47:DD47)-1)*5 + 4) = "F"), INDEX($CZ$8:$CZ$23, COLUMNS($DC47:DD47)), "0"), "")</f>
        <v>0</v>
      </c>
      <c r="DE47" s="390" t="str">
        <f t="array" ref="DE47">IFERROR(IF(AND(INDEX($E$8:$CE$57, MATCH($C47, $C$8:$C$57, 0), (COLUMNS($DC47:DE47)-1)*5 + 1) = INDEX($E$5:$CE$5, 1, (COLUMNS($DC47:DE47)-1)*5 + 1), INDEX($E$8:$CE$57, MATCH($C47, $C$8:$C$57, 0), (COLUMNS($DC47:DE47)-1)*5 + 4) = "F"), INDEX($CZ$8:$CZ$23, COLUMNS($DC47:DE47)), "0"), "")</f>
        <v>0</v>
      </c>
      <c r="DF47" s="390" t="str">
        <f t="array" ref="DF47">IFERROR(IF(AND(INDEX($E$8:$CE$57, MATCH($C47, $C$8:$C$57, 0), (COLUMNS($DC47:DF47)-1)*5 + 1) = INDEX($E$5:$CE$5, 1, (COLUMNS($DC47:DF47)-1)*5 + 1), INDEX($E$8:$CE$57, MATCH($C47, $C$8:$C$57, 0), (COLUMNS($DC47:DF47)-1)*5 + 4) = "F"), INDEX($CZ$8:$CZ$23, COLUMNS($DC47:DF47)), "0"), "")</f>
        <v>0</v>
      </c>
      <c r="DG47" s="390" t="str">
        <f t="array" ref="DG47">IFERROR(IF(AND(INDEX($E$8:$CE$57, MATCH($C47, $C$8:$C$57, 0), (COLUMNS($DC47:DG47)-1)*5 + 1) = INDEX($E$5:$CE$5, 1, (COLUMNS($DC47:DG47)-1)*5 + 1), INDEX($E$8:$CE$57, MATCH($C47, $C$8:$C$57, 0), (COLUMNS($DC47:DG47)-1)*5 + 4) = "F"), INDEX($CZ$8:$CZ$23, COLUMNS($DC47:DG47)), "0"), "")</f>
        <v>0</v>
      </c>
      <c r="DH47" s="390" t="str">
        <f t="array" ref="DH47">IFERROR(IF(AND(INDEX($E$8:$CE$57, MATCH($C47, $C$8:$C$57, 0), (COLUMNS($DC47:DH47)-1)*5 + 1) = INDEX($E$5:$CE$5, 1, (COLUMNS($DC47:DH47)-1)*5 + 1), INDEX($E$8:$CE$57, MATCH($C47, $C$8:$C$57, 0), (COLUMNS($DC47:DH47)-1)*5 + 4) = "F"), INDEX($CZ$8:$CZ$23, COLUMNS($DC47:DH47)), "0"), "")</f>
        <v>0</v>
      </c>
      <c r="DI47" s="390" t="str">
        <f t="array" ref="DI47">IFERROR(IF(AND(INDEX($E$8:$CE$57, MATCH($C47, $C$8:$C$57, 0), (COLUMNS($DC47:DI47)-1)*5 + 1) = INDEX($E$5:$CE$5, 1, (COLUMNS($DC47:DI47)-1)*5 + 1), INDEX($E$8:$CE$57, MATCH($C47, $C$8:$C$57, 0), (COLUMNS($DC47:DI47)-1)*5 + 4) = "F"), INDEX($CZ$8:$CZ$23, COLUMNS($DC47:DI47)), "0"), "")</f>
        <v>0</v>
      </c>
      <c r="DJ47" s="390" t="str">
        <f t="array" ref="DJ47">IFERROR(IF(AND(INDEX($E$8:$CE$57, MATCH($C47, $C$8:$C$57, 0), (COLUMNS($DC47:DJ47)-1)*5 + 1) = INDEX($E$5:$CE$5, 1, (COLUMNS($DC47:DJ47)-1)*5 + 1), INDEX($E$8:$CE$57, MATCH($C47, $C$8:$C$57, 0), (COLUMNS($DC47:DJ47)-1)*5 + 4) = "F"), INDEX($CZ$8:$CZ$23, COLUMNS($DC47:DJ47)), "0"), "")</f>
        <v>0</v>
      </c>
      <c r="DK47" s="390" t="str">
        <f t="array" ref="DK47">IFERROR(IF(AND(INDEX($E$8:$CE$57, MATCH($C47, $C$8:$C$57, 0), (COLUMNS($DC47:DK47)-1)*5 + 1) = INDEX($E$5:$CE$5, 1, (COLUMNS($DC47:DK47)-1)*5 + 1), INDEX($E$8:$CE$57, MATCH($C47, $C$8:$C$57, 0), (COLUMNS($DC47:DK47)-1)*5 + 4) = "F"), INDEX($CZ$8:$CZ$23, COLUMNS($DC47:DK47)), "0"), "")</f>
        <v>0</v>
      </c>
      <c r="DL47" s="390" t="str">
        <f t="array" ref="DL47">IFERROR(IF(AND(INDEX($E$8:$CE$57, MATCH($C47, $C$8:$C$57, 0), (COLUMNS($DC47:DL47)-1)*5 + 1) = INDEX($E$5:$CE$5, 1, (COLUMNS($DC47:DL47)-1)*5 + 1), INDEX($E$8:$CE$57, MATCH($C47, $C$8:$C$57, 0), (COLUMNS($DC47:DL47)-1)*5 + 4) = "F"), INDEX($CZ$8:$CZ$23, COLUMNS($DC47:DL47)), "0"), "")</f>
        <v>0</v>
      </c>
      <c r="DM47" s="390" t="str">
        <f t="array" ref="DM47">IFERROR(IF(AND(INDEX($E$8:$CE$57, MATCH($C47, $C$8:$C$57, 0), (COLUMNS($DC47:DM47)-1)*5 + 1) = INDEX($E$5:$CE$5, 1, (COLUMNS($DC47:DM47)-1)*5 + 1), INDEX($E$8:$CE$57, MATCH($C47, $C$8:$C$57, 0), (COLUMNS($DC47:DM47)-1)*5 + 4) = "F"), INDEX($CZ$8:$CZ$23, COLUMNS($DC47:DM47)), "0"), "")</f>
        <v>0</v>
      </c>
      <c r="DN47" s="390" t="str">
        <f t="array" ref="DN47">IFERROR(IF(AND(INDEX($E$8:$CE$57, MATCH($C47, $C$8:$C$57, 0), (COLUMNS($DC47:DN47)-1)*5 + 1) = INDEX($E$5:$CE$5, 1, (COLUMNS($DC47:DN47)-1)*5 + 1), INDEX($E$8:$CE$57, MATCH($C47, $C$8:$C$57, 0), (COLUMNS($DC47:DN47)-1)*5 + 4) = "F"), INDEX($CZ$8:$CZ$23, COLUMNS($DC47:DN47)), "0"), "")</f>
        <v>0</v>
      </c>
      <c r="DO47" s="390" t="str">
        <f t="array" ref="DO47">IFERROR(IF(AND(INDEX($E$8:$CE$57, MATCH($C47, $C$8:$C$57, 0), (COLUMNS($DC47:DO47)-1)*5 + 1) = INDEX($E$5:$CE$5, 1, (COLUMNS($DC47:DO47)-1)*5 + 1), INDEX($E$8:$CE$57, MATCH($C47, $C$8:$C$57, 0), (COLUMNS($DC47:DO47)-1)*5 + 4) = "F"), INDEX($CZ$8:$CZ$23, COLUMNS($DC47:DO47)), "0"), "")</f>
        <v>0</v>
      </c>
      <c r="DP47" s="390" t="str">
        <f t="array" ref="DP47">IFERROR(IF(AND(INDEX($E$8:$CE$57, MATCH($C47, $C$8:$C$57, 0), (COLUMNS($DC47:DP47)-1)*5 + 1) = INDEX($E$5:$CE$5, 1, (COLUMNS($DC47:DP47)-1)*5 + 1), INDEX($E$8:$CE$57, MATCH($C47, $C$8:$C$57, 0), (COLUMNS($DC47:DP47)-1)*5 + 4) = "F"), INDEX($CZ$8:$CZ$23, COLUMNS($DC47:DP47)), "0"), "")</f>
        <v>0</v>
      </c>
      <c r="DQ47" s="390" t="str">
        <f t="array" ref="DQ47">IFERROR(IF(AND(INDEX($E$8:$CE$57, MATCH($C47, $C$8:$C$57, 0), (COLUMNS($DC47:DQ47)-1)*5 + 1) = INDEX($E$5:$CE$5, 1, (COLUMNS($DC47:DQ47)-1)*5 + 1), INDEX($E$8:$CE$57, MATCH($C47, $C$8:$C$57, 0), (COLUMNS($DC47:DQ47)-1)*5 + 4) = "F"), INDEX($CZ$8:$CZ$23, COLUMNS($DC47:DQ47)), "0"), "")</f>
        <v>0</v>
      </c>
      <c r="DR47" s="390" t="str">
        <f t="array" ref="DR47">IFERROR(IF(AND(INDEX($E$8:$CE$57, MATCH($C47, $C$8:$C$57, 0), (COLUMNS($DC47:DR47)-1)*5 + 1) = INDEX($E$5:$CE$5, 1, (COLUMNS($DC47:DR47)-1)*5 + 1), INDEX($E$8:$CE$57, MATCH($C47, $C$8:$C$57, 0), (COLUMNS($DC47:DR47)-1)*5 + 4) = "F"), INDEX($CZ$8:$CZ$23, COLUMNS($DC47:DR47)), "0"), "")</f>
        <v>0</v>
      </c>
      <c r="DT47" s="537" t="str">
        <f>SEMANA2[[#This Row],[COD]]</f>
        <v>COD 40</v>
      </c>
      <c r="DU47" s="390" t="str">
        <f t="array" ref="DU47">IFERROR(IF(AND(INDEX($E$8:$CE$57, MATCH($C47, $C$8:$C$57, 0), (COLUMNS($DU47:DU47)-1)*5 + 1) = INDEX($E$5:$CE$5, 1, (COLUMNS($DU47:DU47)-1)*5 + 1), INDEX($E$8:$CE$57, MATCH($C47, $C$8:$C$57, 0), (COLUMNS($DU47:DU47)-1)*5 + 4) = "SF"), INDEX($CZ$8:$CZ$23, COLUMNS($DU47:DU47)), "0"), "")</f>
        <v>0</v>
      </c>
      <c r="DV47" s="390" t="str">
        <f t="array" ref="DV47">IFERROR(IF(AND(INDEX($E$8:$CE$57, MATCH($C47, $C$8:$C$57, 0), (COLUMNS($DU47:DV47)-1)*5 + 1) = INDEX($E$5:$CE$5, 1, (COLUMNS($DU47:DV47)-1)*5 + 1), INDEX($E$8:$CE$57, MATCH($C47, $C$8:$C$57, 0), (COLUMNS($DU47:DV47)-1)*5 + 4) = "SF"), INDEX($CZ$8:$CZ$23, COLUMNS($DU47:DV47)), "0"), "")</f>
        <v>0</v>
      </c>
      <c r="DW47" s="390" t="str">
        <f t="array" ref="DW47">IFERROR(IF(AND(INDEX($E$8:$CE$57, MATCH($C47, $C$8:$C$57, 0), (COLUMNS($DU47:DW47)-1)*5 + 1) = INDEX($E$5:$CE$5, 1, (COLUMNS($DU47:DW47)-1)*5 + 1), INDEX($E$8:$CE$57, MATCH($C47, $C$8:$C$57, 0), (COLUMNS($DU47:DW47)-1)*5 + 4) = "SF"), INDEX($CZ$8:$CZ$23, COLUMNS($DU47:DW47)), "0"), "")</f>
        <v>0</v>
      </c>
      <c r="DX47" s="390" t="str">
        <f t="array" ref="DX47">IFERROR(IF(AND(INDEX($E$8:$CE$57, MATCH($C47, $C$8:$C$57, 0), (COLUMNS($DU47:DX47)-1)*5 + 1) = INDEX($E$5:$CE$5, 1, (COLUMNS($DU47:DX47)-1)*5 + 1), INDEX($E$8:$CE$57, MATCH($C47, $C$8:$C$57, 0), (COLUMNS($DU47:DX47)-1)*5 + 4) = "SF"), INDEX($CZ$8:$CZ$23, COLUMNS($DU47:DX47)), "0"), "")</f>
        <v>0</v>
      </c>
      <c r="DY47" s="390" t="str">
        <f t="array" ref="DY47">IFERROR(IF(AND(INDEX($E$8:$CE$57, MATCH($C47, $C$8:$C$57, 0), (COLUMNS($DU47:DY47)-1)*5 + 1) = INDEX($E$5:$CE$5, 1, (COLUMNS($DU47:DY47)-1)*5 + 1), INDEX($E$8:$CE$57, MATCH($C47, $C$8:$C$57, 0), (COLUMNS($DU47:DY47)-1)*5 + 4) = "SF"), INDEX($CZ$8:$CZ$23, COLUMNS($DU47:DY47)), "0"), "")</f>
        <v>0</v>
      </c>
      <c r="DZ47" s="390" t="str">
        <f t="array" ref="DZ47">IFERROR(IF(AND(INDEX($E$8:$CE$57, MATCH($C47, $C$8:$C$57, 0), (COLUMNS($DU47:DZ47)-1)*5 + 1) = INDEX($E$5:$CE$5, 1, (COLUMNS($DU47:DZ47)-1)*5 + 1), INDEX($E$8:$CE$57, MATCH($C47, $C$8:$C$57, 0), (COLUMNS($DU47:DZ47)-1)*5 + 4) = "SF"), INDEX($CZ$8:$CZ$23, COLUMNS($DU47:DZ47)), "0"), "")</f>
        <v>0</v>
      </c>
      <c r="EA47" s="390" t="str">
        <f t="array" ref="EA47">IFERROR(IF(AND(INDEX($E$8:$CE$57, MATCH($C47, $C$8:$C$57, 0), (COLUMNS($DU47:EA47)-1)*5 + 1) = INDEX($E$5:$CE$5, 1, (COLUMNS($DU47:EA47)-1)*5 + 1), INDEX($E$8:$CE$57, MATCH($C47, $C$8:$C$57, 0), (COLUMNS($DU47:EA47)-1)*5 + 4) = "SF"), INDEX($CZ$8:$CZ$23, COLUMNS($DU47:EA47)), "0"), "")</f>
        <v>0</v>
      </c>
      <c r="EB47" s="390" t="str">
        <f t="array" ref="EB47">IFERROR(IF(AND(INDEX($E$8:$CE$57, MATCH($C47, $C$8:$C$57, 0), (COLUMNS($DU47:EB47)-1)*5 + 1) = INDEX($E$5:$CE$5, 1, (COLUMNS($DU47:EB47)-1)*5 + 1), INDEX($E$8:$CE$57, MATCH($C47, $C$8:$C$57, 0), (COLUMNS($DU47:EB47)-1)*5 + 4) = "SF"), INDEX($CZ$8:$CZ$23, COLUMNS($DU47:EB47)), "0"), "")</f>
        <v>0</v>
      </c>
      <c r="EC47" s="390" t="str">
        <f t="array" ref="EC47">IFERROR(IF(AND(INDEX($E$8:$CE$57, MATCH($C47, $C$8:$C$57, 0), (COLUMNS($DU47:EC47)-1)*5 + 1) = INDEX($E$5:$CE$5, 1, (COLUMNS($DU47:EC47)-1)*5 + 1), INDEX($E$8:$CE$57, MATCH($C47, $C$8:$C$57, 0), (COLUMNS($DU47:EC47)-1)*5 + 4) = "SF"), INDEX($CZ$8:$CZ$23, COLUMNS($DU47:EC47)), "0"), "")</f>
        <v>0</v>
      </c>
      <c r="ED47" s="390" t="str">
        <f t="array" ref="ED47">IFERROR(IF(AND(INDEX($E$8:$CE$57, MATCH($C47, $C$8:$C$57, 0), (COLUMNS($DU47:ED47)-1)*5 + 1) = INDEX($E$5:$CE$5, 1, (COLUMNS($DU47:ED47)-1)*5 + 1), INDEX($E$8:$CE$57, MATCH($C47, $C$8:$C$57, 0), (COLUMNS($DU47:ED47)-1)*5 + 4) = "SF"), INDEX($CZ$8:$CZ$23, COLUMNS($DU47:ED47)), "0"), "")</f>
        <v>0</v>
      </c>
      <c r="EE47" s="390" t="str">
        <f t="array" ref="EE47">IFERROR(IF(AND(INDEX($E$8:$CE$57, MATCH($C47, $C$8:$C$57, 0), (COLUMNS($DU47:EE47)-1)*5 + 1) = INDEX($E$5:$CE$5, 1, (COLUMNS($DU47:EE47)-1)*5 + 1), INDEX($E$8:$CE$57, MATCH($C47, $C$8:$C$57, 0), (COLUMNS($DU47:EE47)-1)*5 + 4) = "SF"), INDEX($CZ$8:$CZ$23, COLUMNS($DU47:EE47)), "0"), "")</f>
        <v>0</v>
      </c>
      <c r="EF47" s="390" t="str">
        <f t="array" ref="EF47">IFERROR(IF(AND(INDEX($E$8:$CE$57, MATCH($C47, $C$8:$C$57, 0), (COLUMNS($DU47:EF47)-1)*5 + 1) = INDEX($E$5:$CE$5, 1, (COLUMNS($DU47:EF47)-1)*5 + 1), INDEX($E$8:$CE$57, MATCH($C47, $C$8:$C$57, 0), (COLUMNS($DU47:EF47)-1)*5 + 4) = "SF"), INDEX($CZ$8:$CZ$23, COLUMNS($DU47:EF47)), "0"), "")</f>
        <v>0</v>
      </c>
      <c r="EG47" s="390" t="str">
        <f t="array" ref="EG47">IFERROR(IF(AND(INDEX($E$8:$CE$57, MATCH($C47, $C$8:$C$57, 0), (COLUMNS($DU47:EG47)-1)*5 + 1) = INDEX($E$5:$CE$5, 1, (COLUMNS($DU47:EG47)-1)*5 + 1), INDEX($E$8:$CE$57, MATCH($C47, $C$8:$C$57, 0), (COLUMNS($DU47:EG47)-1)*5 + 4) = "SF"), INDEX($CZ$8:$CZ$23, COLUMNS($DU47:EG47)), "0"), "")</f>
        <v>0</v>
      </c>
      <c r="EH47" s="390" t="str">
        <f t="array" ref="EH47">IFERROR(IF(AND(INDEX($E$8:$CE$57, MATCH($C47, $C$8:$C$57, 0), (COLUMNS($DU47:EH47)-1)*5 + 1) = INDEX($E$5:$CE$5, 1, (COLUMNS($DU47:EH47)-1)*5 + 1), INDEX($E$8:$CE$57, MATCH($C47, $C$8:$C$57, 0), (COLUMNS($DU47:EH47)-1)*5 + 4) = "SF"), INDEX($CZ$8:$CZ$23, COLUMNS($DU47:EH47)), "0"), "")</f>
        <v>0</v>
      </c>
      <c r="EI47" s="390" t="str">
        <f t="array" ref="EI47">IFERROR(IF(AND(INDEX($E$8:$CE$57, MATCH($C47, $C$8:$C$57, 0), (COLUMNS($DU47:EI47)-1)*5 + 1) = INDEX($E$5:$CE$5, 1, (COLUMNS($DU47:EI47)-1)*5 + 1), INDEX($E$8:$CE$57, MATCH($C47, $C$8:$C$57, 0), (COLUMNS($DU47:EI47)-1)*5 + 4) = "SF"), INDEX($CZ$8:$CZ$23, COLUMNS($DU47:EI47)), "0"), "")</f>
        <v>0</v>
      </c>
      <c r="EJ47" s="390" t="str">
        <f t="array" ref="EJ47">IFERROR(IF(AND(INDEX($E$8:$CE$57, MATCH($C47, $C$8:$C$57, 0), (COLUMNS($DU47:EJ47)-1)*5 + 1) = INDEX($E$5:$CE$5, 1, (COLUMNS($DU47:EJ47)-1)*5 + 1), INDEX($E$8:$CE$57, MATCH($C47, $C$8:$C$57, 0), (COLUMNS($DU47:EJ47)-1)*5 + 4) = "SF"), INDEX($CZ$8:$CZ$23, COLUMNS($DU47:EJ47)), "0"), "")</f>
        <v>0</v>
      </c>
    </row>
    <row r="48" spans="1:140" ht="20.100000000000001" customHeight="1" outlineLevel="1" x14ac:dyDescent="0.35">
      <c r="A48" s="515"/>
      <c r="B48" s="444">
        <f>IF(SEMANA2[[#This Row],[COD]]&lt;&gt;"",B47+1,"")</f>
        <v>41</v>
      </c>
      <c r="C48" s="554" t="s">
        <v>111</v>
      </c>
      <c r="D48" s="410" t="str">
        <f t="array" ref="D48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MEETING</v>
      </c>
      <c r="E48" s="411"/>
      <c r="F48" s="413"/>
      <c r="G48" s="413"/>
      <c r="H48" s="413"/>
      <c r="I48" s="534">
        <f t="shared" si="18"/>
        <v>0</v>
      </c>
      <c r="J48" s="411"/>
      <c r="K48" s="413"/>
      <c r="L48" s="413"/>
      <c r="M48" s="413"/>
      <c r="N48" s="534">
        <f t="shared" si="19"/>
        <v>0</v>
      </c>
      <c r="O48" s="411"/>
      <c r="P48" s="413"/>
      <c r="Q48" s="413"/>
      <c r="R48" s="413"/>
      <c r="S48" s="534">
        <f t="shared" si="20"/>
        <v>0</v>
      </c>
      <c r="T48" s="411"/>
      <c r="U48" s="413"/>
      <c r="V48" s="413"/>
      <c r="W48" s="413"/>
      <c r="X48" s="534">
        <f t="shared" si="21"/>
        <v>0</v>
      </c>
      <c r="Y48" s="411"/>
      <c r="Z48" s="413"/>
      <c r="AA48" s="413"/>
      <c r="AB48" s="413"/>
      <c r="AC48" s="534">
        <f t="shared" si="22"/>
        <v>0</v>
      </c>
      <c r="AD48" s="411"/>
      <c r="AE48" s="413"/>
      <c r="AF48" s="413"/>
      <c r="AG48" s="413"/>
      <c r="AH48" s="534">
        <f t="shared" si="23"/>
        <v>0</v>
      </c>
      <c r="AI48" s="411"/>
      <c r="AJ48" s="413"/>
      <c r="AK48" s="413"/>
      <c r="AL48" s="413"/>
      <c r="AM48" s="534">
        <f t="shared" si="24"/>
        <v>0</v>
      </c>
      <c r="AN48" s="411"/>
      <c r="AO48" s="413"/>
      <c r="AP48" s="413"/>
      <c r="AQ48" s="413"/>
      <c r="AR48" s="534">
        <f t="shared" si="25"/>
        <v>0</v>
      </c>
      <c r="AS48" s="411"/>
      <c r="AT48" s="413"/>
      <c r="AU48" s="413"/>
      <c r="AV48" s="413"/>
      <c r="AW48" s="534">
        <f t="shared" si="26"/>
        <v>0</v>
      </c>
      <c r="AX48" s="411"/>
      <c r="AY48" s="413"/>
      <c r="AZ48" s="413"/>
      <c r="BA48" s="413"/>
      <c r="BB48" s="534">
        <f t="shared" si="27"/>
        <v>0</v>
      </c>
      <c r="BC48" s="411"/>
      <c r="BD48" s="413"/>
      <c r="BE48" s="413"/>
      <c r="BF48" s="413"/>
      <c r="BG48" s="534">
        <f t="shared" si="28"/>
        <v>0</v>
      </c>
      <c r="BH48" s="411"/>
      <c r="BI48" s="413"/>
      <c r="BJ48" s="413"/>
      <c r="BK48" s="413"/>
      <c r="BL48" s="534">
        <f t="shared" si="29"/>
        <v>0</v>
      </c>
      <c r="BM48" s="411"/>
      <c r="BN48" s="413"/>
      <c r="BO48" s="413"/>
      <c r="BP48" s="413"/>
      <c r="BQ48" s="534">
        <f t="shared" si="30"/>
        <v>0</v>
      </c>
      <c r="BR48" s="411"/>
      <c r="BS48" s="413"/>
      <c r="BT48" s="413"/>
      <c r="BU48" s="413"/>
      <c r="BV48" s="534">
        <f t="shared" si="31"/>
        <v>0</v>
      </c>
      <c r="BW48" s="411"/>
      <c r="BX48" s="413"/>
      <c r="BY48" s="413"/>
      <c r="BZ48" s="413"/>
      <c r="CA48" s="534">
        <f t="shared" si="32"/>
        <v>0</v>
      </c>
      <c r="CB48" s="411"/>
      <c r="CC48" s="413"/>
      <c r="CD48" s="413"/>
      <c r="CE48" s="413"/>
      <c r="CF48" s="534">
        <f t="shared" si="33"/>
        <v>0</v>
      </c>
      <c r="CG48" s="162">
        <f>IF(SEMANA2[[#This Row],[1]]="",0,$B$4)</f>
        <v>0</v>
      </c>
      <c r="CH48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0</v>
      </c>
      <c r="CI48" s="164">
        <f>IF(SEMANA2[[#This Row],[Columna14]]=0,0,(CH48/CG48))</f>
        <v>0</v>
      </c>
      <c r="CJ48" s="163">
        <f>IF(SEMANA2[[#This Row],[1]]="",0,$B$4)</f>
        <v>0</v>
      </c>
      <c r="CK48" s="163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0</v>
      </c>
      <c r="CL48" s="164">
        <f>IF(SEMANA2[[#This Row],[Columna14]]=0,0,(CK48/CJ48))</f>
        <v>0</v>
      </c>
      <c r="CM48" s="162">
        <f>IF(SEMANA2[[#This Row],[1]]="",0,$B$4)</f>
        <v>0</v>
      </c>
      <c r="CN48" s="163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0</v>
      </c>
      <c r="CO48" s="164">
        <f>IF(SEMANA2[[#This Row],[Columna14]]=0,0,(CN48/CM48))</f>
        <v>0</v>
      </c>
      <c r="CP48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0</v>
      </c>
      <c r="CQ48" s="163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Row],[Columna25]],$AX$5,BA48,"SF")+COUNTIFS(SEMANA2[[#This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0</v>
      </c>
      <c r="CR48" s="164">
        <f>IFERROR(IF(SEMANA2[[#This Row],[Columna14]]=0,0,(CQ48/CP48)),0)</f>
        <v>0</v>
      </c>
      <c r="CS48" s="535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0</v>
      </c>
      <c r="CT48" s="93">
        <f>_xlfn.XLOOKUP(SEMANA2[[#This Row],[COD]],BASE01[COD],BASE01[Columna33])</f>
        <v>0</v>
      </c>
      <c r="CU48" s="536">
        <f t="shared" si="34"/>
        <v>0</v>
      </c>
      <c r="CV48" s="445" t="str">
        <f>IF(SEMANA2[[#This Row],[TIPO]]="PREMIO",$O$3,"0,00")</f>
        <v>0,00</v>
      </c>
      <c r="CW48" s="515"/>
      <c r="CY48" s="387" t="str">
        <f t="shared" si="17"/>
        <v/>
      </c>
      <c r="CZ48" s="387"/>
      <c r="DA48" s="387" t="str">
        <f t="array" ref="DA48">IF(CZ48="", "", IF((INDEX(E$8:CE$57, MATCH(CZ48, C$8:C$57, 0), ($CZ$25-1)*5 + 1) &amp; "") = (INDEX(E$5:CE$5, 1, ($CZ$25-1)*5 + 1) &amp; ""), 1, IF((INDEX(E$8:CE$57, MATCH(CZ48, C$8:C$57, 0), ($CZ$25-1)*5 + 2) &amp; "") = (INDEX(E$5:CE$5, 1, ($CZ$25-1)*5 + 1) &amp; ""), 2, IF((INDEX(E$8:CE$57, MATCH(CZ48, C$8:C$57, 0), ($CZ$25-1)*5 + 3) &amp; "") = (INDEX(E$5:CE$5, 1, ($CZ$25-1)*5 + 1) &amp; ""), 3, ""))))</f>
        <v/>
      </c>
      <c r="DB48" s="537" t="str">
        <f>SEMANA2[[#This Row],[COD]]</f>
        <v>COD 41</v>
      </c>
      <c r="DC48" s="390" t="str">
        <f t="array" ref="DC48">IFERROR(IF(AND(INDEX($E$8:$CE$57, MATCH($C48, $C$8:$C$57, 0), (COLUMNS($DC48:DC48)-1)*5 + 1) = INDEX($E$5:$CE$5, 1, (COLUMNS($DC48:DC48)-1)*5 + 1), INDEX($E$8:$CE$57, MATCH($C48, $C$8:$C$57, 0), (COLUMNS($DC48:DC48)-1)*5 + 4) = "F"), INDEX($CZ$8:$CZ$23, COLUMNS($DC48:DC48)), "0"), "")</f>
        <v>0</v>
      </c>
      <c r="DD48" s="390" t="str">
        <f t="array" ref="DD48">IFERROR(IF(AND(INDEX($E$8:$CE$57, MATCH($C48, $C$8:$C$57, 0), (COLUMNS($DC48:DD48)-1)*5 + 1) = INDEX($E$5:$CE$5, 1, (COLUMNS($DC48:DD48)-1)*5 + 1), INDEX($E$8:$CE$57, MATCH($C48, $C$8:$C$57, 0), (COLUMNS($DC48:DD48)-1)*5 + 4) = "F"), INDEX($CZ$8:$CZ$23, COLUMNS($DC48:DD48)), "0"), "")</f>
        <v>0</v>
      </c>
      <c r="DE48" s="390" t="str">
        <f t="array" ref="DE48">IFERROR(IF(AND(INDEX($E$8:$CE$57, MATCH($C48, $C$8:$C$57, 0), (COLUMNS($DC48:DE48)-1)*5 + 1) = INDEX($E$5:$CE$5, 1, (COLUMNS($DC48:DE48)-1)*5 + 1), INDEX($E$8:$CE$57, MATCH($C48, $C$8:$C$57, 0), (COLUMNS($DC48:DE48)-1)*5 + 4) = "F"), INDEX($CZ$8:$CZ$23, COLUMNS($DC48:DE48)), "0"), "")</f>
        <v>0</v>
      </c>
      <c r="DF48" s="390" t="str">
        <f t="array" ref="DF48">IFERROR(IF(AND(INDEX($E$8:$CE$57, MATCH($C48, $C$8:$C$57, 0), (COLUMNS($DC48:DF48)-1)*5 + 1) = INDEX($E$5:$CE$5, 1, (COLUMNS($DC48:DF48)-1)*5 + 1), INDEX($E$8:$CE$57, MATCH($C48, $C$8:$C$57, 0), (COLUMNS($DC48:DF48)-1)*5 + 4) = "F"), INDEX($CZ$8:$CZ$23, COLUMNS($DC48:DF48)), "0"), "")</f>
        <v>0</v>
      </c>
      <c r="DG48" s="390" t="str">
        <f t="array" ref="DG48">IFERROR(IF(AND(INDEX($E$8:$CE$57, MATCH($C48, $C$8:$C$57, 0), (COLUMNS($DC48:DG48)-1)*5 + 1) = INDEX($E$5:$CE$5, 1, (COLUMNS($DC48:DG48)-1)*5 + 1), INDEX($E$8:$CE$57, MATCH($C48, $C$8:$C$57, 0), (COLUMNS($DC48:DG48)-1)*5 + 4) = "F"), INDEX($CZ$8:$CZ$23, COLUMNS($DC48:DG48)), "0"), "")</f>
        <v>0</v>
      </c>
      <c r="DH48" s="390" t="str">
        <f t="array" ref="DH48">IFERROR(IF(AND(INDEX($E$8:$CE$57, MATCH($C48, $C$8:$C$57, 0), (COLUMNS($DC48:DH48)-1)*5 + 1) = INDEX($E$5:$CE$5, 1, (COLUMNS($DC48:DH48)-1)*5 + 1), INDEX($E$8:$CE$57, MATCH($C48, $C$8:$C$57, 0), (COLUMNS($DC48:DH48)-1)*5 + 4) = "F"), INDEX($CZ$8:$CZ$23, COLUMNS($DC48:DH48)), "0"), "")</f>
        <v>0</v>
      </c>
      <c r="DI48" s="390" t="str">
        <f t="array" ref="DI48">IFERROR(IF(AND(INDEX($E$8:$CE$57, MATCH($C48, $C$8:$C$57, 0), (COLUMNS($DC48:DI48)-1)*5 + 1) = INDEX($E$5:$CE$5, 1, (COLUMNS($DC48:DI48)-1)*5 + 1), INDEX($E$8:$CE$57, MATCH($C48, $C$8:$C$57, 0), (COLUMNS($DC48:DI48)-1)*5 + 4) = "F"), INDEX($CZ$8:$CZ$23, COLUMNS($DC48:DI48)), "0"), "")</f>
        <v>0</v>
      </c>
      <c r="DJ48" s="390" t="str">
        <f t="array" ref="DJ48">IFERROR(IF(AND(INDEX($E$8:$CE$57, MATCH($C48, $C$8:$C$57, 0), (COLUMNS($DC48:DJ48)-1)*5 + 1) = INDEX($E$5:$CE$5, 1, (COLUMNS($DC48:DJ48)-1)*5 + 1), INDEX($E$8:$CE$57, MATCH($C48, $C$8:$C$57, 0), (COLUMNS($DC48:DJ48)-1)*5 + 4) = "F"), INDEX($CZ$8:$CZ$23, COLUMNS($DC48:DJ48)), "0"), "")</f>
        <v>0</v>
      </c>
      <c r="DK48" s="390" t="str">
        <f t="array" ref="DK48">IFERROR(IF(AND(INDEX($E$8:$CE$57, MATCH($C48, $C$8:$C$57, 0), (COLUMNS($DC48:DK48)-1)*5 + 1) = INDEX($E$5:$CE$5, 1, (COLUMNS($DC48:DK48)-1)*5 + 1), INDEX($E$8:$CE$57, MATCH($C48, $C$8:$C$57, 0), (COLUMNS($DC48:DK48)-1)*5 + 4) = "F"), INDEX($CZ$8:$CZ$23, COLUMNS($DC48:DK48)), "0"), "")</f>
        <v>0</v>
      </c>
      <c r="DL48" s="390" t="str">
        <f t="array" ref="DL48">IFERROR(IF(AND(INDEX($E$8:$CE$57, MATCH($C48, $C$8:$C$57, 0), (COLUMNS($DC48:DL48)-1)*5 + 1) = INDEX($E$5:$CE$5, 1, (COLUMNS($DC48:DL48)-1)*5 + 1), INDEX($E$8:$CE$57, MATCH($C48, $C$8:$C$57, 0), (COLUMNS($DC48:DL48)-1)*5 + 4) = "F"), INDEX($CZ$8:$CZ$23, COLUMNS($DC48:DL48)), "0"), "")</f>
        <v>0</v>
      </c>
      <c r="DM48" s="390" t="str">
        <f t="array" ref="DM48">IFERROR(IF(AND(INDEX($E$8:$CE$57, MATCH($C48, $C$8:$C$57, 0), (COLUMNS($DC48:DM48)-1)*5 + 1) = INDEX($E$5:$CE$5, 1, (COLUMNS($DC48:DM48)-1)*5 + 1), INDEX($E$8:$CE$57, MATCH($C48, $C$8:$C$57, 0), (COLUMNS($DC48:DM48)-1)*5 + 4) = "F"), INDEX($CZ$8:$CZ$23, COLUMNS($DC48:DM48)), "0"), "")</f>
        <v>0</v>
      </c>
      <c r="DN48" s="390" t="str">
        <f t="array" ref="DN48">IFERROR(IF(AND(INDEX($E$8:$CE$57, MATCH($C48, $C$8:$C$57, 0), (COLUMNS($DC48:DN48)-1)*5 + 1) = INDEX($E$5:$CE$5, 1, (COLUMNS($DC48:DN48)-1)*5 + 1), INDEX($E$8:$CE$57, MATCH($C48, $C$8:$C$57, 0), (COLUMNS($DC48:DN48)-1)*5 + 4) = "F"), INDEX($CZ$8:$CZ$23, COLUMNS($DC48:DN48)), "0"), "")</f>
        <v>0</v>
      </c>
      <c r="DO48" s="390" t="str">
        <f t="array" ref="DO48">IFERROR(IF(AND(INDEX($E$8:$CE$57, MATCH($C48, $C$8:$C$57, 0), (COLUMNS($DC48:DO48)-1)*5 + 1) = INDEX($E$5:$CE$5, 1, (COLUMNS($DC48:DO48)-1)*5 + 1), INDEX($E$8:$CE$57, MATCH($C48, $C$8:$C$57, 0), (COLUMNS($DC48:DO48)-1)*5 + 4) = "F"), INDEX($CZ$8:$CZ$23, COLUMNS($DC48:DO48)), "0"), "")</f>
        <v>0</v>
      </c>
      <c r="DP48" s="390" t="str">
        <f t="array" ref="DP48">IFERROR(IF(AND(INDEX($E$8:$CE$57, MATCH($C48, $C$8:$C$57, 0), (COLUMNS($DC48:DP48)-1)*5 + 1) = INDEX($E$5:$CE$5, 1, (COLUMNS($DC48:DP48)-1)*5 + 1), INDEX($E$8:$CE$57, MATCH($C48, $C$8:$C$57, 0), (COLUMNS($DC48:DP48)-1)*5 + 4) = "F"), INDEX($CZ$8:$CZ$23, COLUMNS($DC48:DP48)), "0"), "")</f>
        <v>0</v>
      </c>
      <c r="DQ48" s="390" t="str">
        <f t="array" ref="DQ48">IFERROR(IF(AND(INDEX($E$8:$CE$57, MATCH($C48, $C$8:$C$57, 0), (COLUMNS($DC48:DQ48)-1)*5 + 1) = INDEX($E$5:$CE$5, 1, (COLUMNS($DC48:DQ48)-1)*5 + 1), INDEX($E$8:$CE$57, MATCH($C48, $C$8:$C$57, 0), (COLUMNS($DC48:DQ48)-1)*5 + 4) = "F"), INDEX($CZ$8:$CZ$23, COLUMNS($DC48:DQ48)), "0"), "")</f>
        <v>0</v>
      </c>
      <c r="DR48" s="390" t="str">
        <f t="array" ref="DR48">IFERROR(IF(AND(INDEX($E$8:$CE$57, MATCH($C48, $C$8:$C$57, 0), (COLUMNS($DC48:DR48)-1)*5 + 1) = INDEX($E$5:$CE$5, 1, (COLUMNS($DC48:DR48)-1)*5 + 1), INDEX($E$8:$CE$57, MATCH($C48, $C$8:$C$57, 0), (COLUMNS($DC48:DR48)-1)*5 + 4) = "F"), INDEX($CZ$8:$CZ$23, COLUMNS($DC48:DR48)), "0"), "")</f>
        <v>0</v>
      </c>
      <c r="DT48" s="537" t="str">
        <f>SEMANA2[[#This Row],[COD]]</f>
        <v>COD 41</v>
      </c>
      <c r="DU48" s="390" t="str">
        <f t="array" ref="DU48">IFERROR(IF(AND(INDEX($E$8:$CE$57, MATCH($C48, $C$8:$C$57, 0), (COLUMNS($DU48:DU48)-1)*5 + 1) = INDEX($E$5:$CE$5, 1, (COLUMNS($DU48:DU48)-1)*5 + 1), INDEX($E$8:$CE$57, MATCH($C48, $C$8:$C$57, 0), (COLUMNS($DU48:DU48)-1)*5 + 4) = "SF"), INDEX($CZ$8:$CZ$23, COLUMNS($DU48:DU48)), "0"), "")</f>
        <v>0</v>
      </c>
      <c r="DV48" s="390" t="str">
        <f t="array" ref="DV48">IFERROR(IF(AND(INDEX($E$8:$CE$57, MATCH($C48, $C$8:$C$57, 0), (COLUMNS($DU48:DV48)-1)*5 + 1) = INDEX($E$5:$CE$5, 1, (COLUMNS($DU48:DV48)-1)*5 + 1), INDEX($E$8:$CE$57, MATCH($C48, $C$8:$C$57, 0), (COLUMNS($DU48:DV48)-1)*5 + 4) = "SF"), INDEX($CZ$8:$CZ$23, COLUMNS($DU48:DV48)), "0"), "")</f>
        <v>0</v>
      </c>
      <c r="DW48" s="390" t="str">
        <f t="array" ref="DW48">IFERROR(IF(AND(INDEX($E$8:$CE$57, MATCH($C48, $C$8:$C$57, 0), (COLUMNS($DU48:DW48)-1)*5 + 1) = INDEX($E$5:$CE$5, 1, (COLUMNS($DU48:DW48)-1)*5 + 1), INDEX($E$8:$CE$57, MATCH($C48, $C$8:$C$57, 0), (COLUMNS($DU48:DW48)-1)*5 + 4) = "SF"), INDEX($CZ$8:$CZ$23, COLUMNS($DU48:DW48)), "0"), "")</f>
        <v>0</v>
      </c>
      <c r="DX48" s="390" t="str">
        <f t="array" ref="DX48">IFERROR(IF(AND(INDEX($E$8:$CE$57, MATCH($C48, $C$8:$C$57, 0), (COLUMNS($DU48:DX48)-1)*5 + 1) = INDEX($E$5:$CE$5, 1, (COLUMNS($DU48:DX48)-1)*5 + 1), INDEX($E$8:$CE$57, MATCH($C48, $C$8:$C$57, 0), (COLUMNS($DU48:DX48)-1)*5 + 4) = "SF"), INDEX($CZ$8:$CZ$23, COLUMNS($DU48:DX48)), "0"), "")</f>
        <v>0</v>
      </c>
      <c r="DY48" s="390" t="str">
        <f t="array" ref="DY48">IFERROR(IF(AND(INDEX($E$8:$CE$57, MATCH($C48, $C$8:$C$57, 0), (COLUMNS($DU48:DY48)-1)*5 + 1) = INDEX($E$5:$CE$5, 1, (COLUMNS($DU48:DY48)-1)*5 + 1), INDEX($E$8:$CE$57, MATCH($C48, $C$8:$C$57, 0), (COLUMNS($DU48:DY48)-1)*5 + 4) = "SF"), INDEX($CZ$8:$CZ$23, COLUMNS($DU48:DY48)), "0"), "")</f>
        <v>0</v>
      </c>
      <c r="DZ48" s="390" t="str">
        <f t="array" ref="DZ48">IFERROR(IF(AND(INDEX($E$8:$CE$57, MATCH($C48, $C$8:$C$57, 0), (COLUMNS($DU48:DZ48)-1)*5 + 1) = INDEX($E$5:$CE$5, 1, (COLUMNS($DU48:DZ48)-1)*5 + 1), INDEX($E$8:$CE$57, MATCH($C48, $C$8:$C$57, 0), (COLUMNS($DU48:DZ48)-1)*5 + 4) = "SF"), INDEX($CZ$8:$CZ$23, COLUMNS($DU48:DZ48)), "0"), "")</f>
        <v>0</v>
      </c>
      <c r="EA48" s="390" t="str">
        <f t="array" ref="EA48">IFERROR(IF(AND(INDEX($E$8:$CE$57, MATCH($C48, $C$8:$C$57, 0), (COLUMNS($DU48:EA48)-1)*5 + 1) = INDEX($E$5:$CE$5, 1, (COLUMNS($DU48:EA48)-1)*5 + 1), INDEX($E$8:$CE$57, MATCH($C48, $C$8:$C$57, 0), (COLUMNS($DU48:EA48)-1)*5 + 4) = "SF"), INDEX($CZ$8:$CZ$23, COLUMNS($DU48:EA48)), "0"), "")</f>
        <v>0</v>
      </c>
      <c r="EB48" s="390" t="str">
        <f t="array" ref="EB48">IFERROR(IF(AND(INDEX($E$8:$CE$57, MATCH($C48, $C$8:$C$57, 0), (COLUMNS($DU48:EB48)-1)*5 + 1) = INDEX($E$5:$CE$5, 1, (COLUMNS($DU48:EB48)-1)*5 + 1), INDEX($E$8:$CE$57, MATCH($C48, $C$8:$C$57, 0), (COLUMNS($DU48:EB48)-1)*5 + 4) = "SF"), INDEX($CZ$8:$CZ$23, COLUMNS($DU48:EB48)), "0"), "")</f>
        <v>0</v>
      </c>
      <c r="EC48" s="390" t="str">
        <f t="array" ref="EC48">IFERROR(IF(AND(INDEX($E$8:$CE$57, MATCH($C48, $C$8:$C$57, 0), (COLUMNS($DU48:EC48)-1)*5 + 1) = INDEX($E$5:$CE$5, 1, (COLUMNS($DU48:EC48)-1)*5 + 1), INDEX($E$8:$CE$57, MATCH($C48, $C$8:$C$57, 0), (COLUMNS($DU48:EC48)-1)*5 + 4) = "SF"), INDEX($CZ$8:$CZ$23, COLUMNS($DU48:EC48)), "0"), "")</f>
        <v>0</v>
      </c>
      <c r="ED48" s="390" t="str">
        <f t="array" ref="ED48">IFERROR(IF(AND(INDEX($E$8:$CE$57, MATCH($C48, $C$8:$C$57, 0), (COLUMNS($DU48:ED48)-1)*5 + 1) = INDEX($E$5:$CE$5, 1, (COLUMNS($DU48:ED48)-1)*5 + 1), INDEX($E$8:$CE$57, MATCH($C48, $C$8:$C$57, 0), (COLUMNS($DU48:ED48)-1)*5 + 4) = "SF"), INDEX($CZ$8:$CZ$23, COLUMNS($DU48:ED48)), "0"), "")</f>
        <v>0</v>
      </c>
      <c r="EE48" s="390" t="str">
        <f t="array" ref="EE48">IFERROR(IF(AND(INDEX($E$8:$CE$57, MATCH($C48, $C$8:$C$57, 0), (COLUMNS($DU48:EE48)-1)*5 + 1) = INDEX($E$5:$CE$5, 1, (COLUMNS($DU48:EE48)-1)*5 + 1), INDEX($E$8:$CE$57, MATCH($C48, $C$8:$C$57, 0), (COLUMNS($DU48:EE48)-1)*5 + 4) = "SF"), INDEX($CZ$8:$CZ$23, COLUMNS($DU48:EE48)), "0"), "")</f>
        <v>0</v>
      </c>
      <c r="EF48" s="390" t="str">
        <f t="array" ref="EF48">IFERROR(IF(AND(INDEX($E$8:$CE$57, MATCH($C48, $C$8:$C$57, 0), (COLUMNS($DU48:EF48)-1)*5 + 1) = INDEX($E$5:$CE$5, 1, (COLUMNS($DU48:EF48)-1)*5 + 1), INDEX($E$8:$CE$57, MATCH($C48, $C$8:$C$57, 0), (COLUMNS($DU48:EF48)-1)*5 + 4) = "SF"), INDEX($CZ$8:$CZ$23, COLUMNS($DU48:EF48)), "0"), "")</f>
        <v>0</v>
      </c>
      <c r="EG48" s="390" t="str">
        <f t="array" ref="EG48">IFERROR(IF(AND(INDEX($E$8:$CE$57, MATCH($C48, $C$8:$C$57, 0), (COLUMNS($DU48:EG48)-1)*5 + 1) = INDEX($E$5:$CE$5, 1, (COLUMNS($DU48:EG48)-1)*5 + 1), INDEX($E$8:$CE$57, MATCH($C48, $C$8:$C$57, 0), (COLUMNS($DU48:EG48)-1)*5 + 4) = "SF"), INDEX($CZ$8:$CZ$23, COLUMNS($DU48:EG48)), "0"), "")</f>
        <v>0</v>
      </c>
      <c r="EH48" s="390" t="str">
        <f t="array" ref="EH48">IFERROR(IF(AND(INDEX($E$8:$CE$57, MATCH($C48, $C$8:$C$57, 0), (COLUMNS($DU48:EH48)-1)*5 + 1) = INDEX($E$5:$CE$5, 1, (COLUMNS($DU48:EH48)-1)*5 + 1), INDEX($E$8:$CE$57, MATCH($C48, $C$8:$C$57, 0), (COLUMNS($DU48:EH48)-1)*5 + 4) = "SF"), INDEX($CZ$8:$CZ$23, COLUMNS($DU48:EH48)), "0"), "")</f>
        <v>0</v>
      </c>
      <c r="EI48" s="390" t="str">
        <f t="array" ref="EI48">IFERROR(IF(AND(INDEX($E$8:$CE$57, MATCH($C48, $C$8:$C$57, 0), (COLUMNS($DU48:EI48)-1)*5 + 1) = INDEX($E$5:$CE$5, 1, (COLUMNS($DU48:EI48)-1)*5 + 1), INDEX($E$8:$CE$57, MATCH($C48, $C$8:$C$57, 0), (COLUMNS($DU48:EI48)-1)*5 + 4) = "SF"), INDEX($CZ$8:$CZ$23, COLUMNS($DU48:EI48)), "0"), "")</f>
        <v>0</v>
      </c>
      <c r="EJ48" s="390" t="str">
        <f t="array" ref="EJ48">IFERROR(IF(AND(INDEX($E$8:$CE$57, MATCH($C48, $C$8:$C$57, 0), (COLUMNS($DU48:EJ48)-1)*5 + 1) = INDEX($E$5:$CE$5, 1, (COLUMNS($DU48:EJ48)-1)*5 + 1), INDEX($E$8:$CE$57, MATCH($C48, $C$8:$C$57, 0), (COLUMNS($DU48:EJ48)-1)*5 + 4) = "SF"), INDEX($CZ$8:$CZ$23, COLUMNS($DU48:EJ48)), "0"), "")</f>
        <v>0</v>
      </c>
    </row>
    <row r="49" spans="1:140" ht="20.100000000000001" customHeight="1" outlineLevel="1" x14ac:dyDescent="0.35">
      <c r="A49" s="515"/>
      <c r="B49" s="444">
        <f>IF(SEMANA2[[#This Row],[COD]]&lt;&gt;"",B48+1,"")</f>
        <v>42</v>
      </c>
      <c r="C49" s="554" t="s">
        <v>113</v>
      </c>
      <c r="D49" s="410" t="str">
        <f t="array" ref="D49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NO ENVIÓ</v>
      </c>
      <c r="E49" s="411"/>
      <c r="F49" s="413"/>
      <c r="G49" s="413"/>
      <c r="H49" s="413"/>
      <c r="I49" s="534">
        <f t="shared" si="18"/>
        <v>0</v>
      </c>
      <c r="J49" s="411"/>
      <c r="K49" s="413"/>
      <c r="L49" s="413"/>
      <c r="M49" s="413"/>
      <c r="N49" s="534">
        <f t="shared" si="19"/>
        <v>0</v>
      </c>
      <c r="O49" s="411"/>
      <c r="P49" s="413"/>
      <c r="Q49" s="413"/>
      <c r="R49" s="413"/>
      <c r="S49" s="534">
        <f t="shared" si="20"/>
        <v>0</v>
      </c>
      <c r="T49" s="411"/>
      <c r="U49" s="413"/>
      <c r="V49" s="413"/>
      <c r="W49" s="413"/>
      <c r="X49" s="534">
        <f t="shared" si="21"/>
        <v>0</v>
      </c>
      <c r="Y49" s="411"/>
      <c r="Z49" s="413"/>
      <c r="AA49" s="413"/>
      <c r="AB49" s="413"/>
      <c r="AC49" s="534">
        <f t="shared" si="22"/>
        <v>0</v>
      </c>
      <c r="AD49" s="411"/>
      <c r="AE49" s="413"/>
      <c r="AF49" s="413"/>
      <c r="AG49" s="413"/>
      <c r="AH49" s="534">
        <f t="shared" si="23"/>
        <v>0</v>
      </c>
      <c r="AI49" s="411"/>
      <c r="AJ49" s="413"/>
      <c r="AK49" s="413"/>
      <c r="AL49" s="413"/>
      <c r="AM49" s="534">
        <f t="shared" si="24"/>
        <v>0</v>
      </c>
      <c r="AN49" s="411"/>
      <c r="AO49" s="413"/>
      <c r="AP49" s="413"/>
      <c r="AQ49" s="413"/>
      <c r="AR49" s="534">
        <f t="shared" si="25"/>
        <v>0</v>
      </c>
      <c r="AS49" s="411"/>
      <c r="AT49" s="413"/>
      <c r="AU49" s="413"/>
      <c r="AV49" s="413"/>
      <c r="AW49" s="534">
        <f t="shared" si="26"/>
        <v>0</v>
      </c>
      <c r="AX49" s="411"/>
      <c r="AY49" s="413"/>
      <c r="AZ49" s="413"/>
      <c r="BA49" s="413"/>
      <c r="BB49" s="534">
        <f t="shared" si="27"/>
        <v>0</v>
      </c>
      <c r="BC49" s="411"/>
      <c r="BD49" s="413"/>
      <c r="BE49" s="413"/>
      <c r="BF49" s="413"/>
      <c r="BG49" s="534">
        <f t="shared" si="28"/>
        <v>0</v>
      </c>
      <c r="BH49" s="411"/>
      <c r="BI49" s="413"/>
      <c r="BJ49" s="413"/>
      <c r="BK49" s="413"/>
      <c r="BL49" s="534">
        <f t="shared" si="29"/>
        <v>0</v>
      </c>
      <c r="BM49" s="411"/>
      <c r="BN49" s="413"/>
      <c r="BO49" s="413"/>
      <c r="BP49" s="413"/>
      <c r="BQ49" s="534">
        <f t="shared" si="30"/>
        <v>0</v>
      </c>
      <c r="BR49" s="411"/>
      <c r="BS49" s="413"/>
      <c r="BT49" s="413"/>
      <c r="BU49" s="413"/>
      <c r="BV49" s="534">
        <f t="shared" si="31"/>
        <v>0</v>
      </c>
      <c r="BW49" s="411"/>
      <c r="BX49" s="413"/>
      <c r="BY49" s="413"/>
      <c r="BZ49" s="413"/>
      <c r="CA49" s="534">
        <f t="shared" si="32"/>
        <v>0</v>
      </c>
      <c r="CB49" s="411"/>
      <c r="CC49" s="413"/>
      <c r="CD49" s="413"/>
      <c r="CE49" s="413"/>
      <c r="CF49" s="534">
        <f t="shared" si="33"/>
        <v>0</v>
      </c>
      <c r="CG49" s="162">
        <f>IF(SEMANA2[[#This Row],[1]]="",0,$B$4)</f>
        <v>0</v>
      </c>
      <c r="CH49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0</v>
      </c>
      <c r="CI49" s="185">
        <f>IF(SEMANA2[[#This Row],[Columna14]]=0,0,(CH49/CG49))</f>
        <v>0</v>
      </c>
      <c r="CJ49" s="163">
        <f>IF(SEMANA2[[#This Row],[1]]="",0,$B$4)</f>
        <v>0</v>
      </c>
      <c r="CK49" s="186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0</v>
      </c>
      <c r="CL49" s="185">
        <f>IF(SEMANA2[[#This Row],[Columna14]]=0,0,(CK49/CJ49))</f>
        <v>0</v>
      </c>
      <c r="CM49" s="162">
        <f>IF(SEMANA2[[#This Row],[1]]="",0,$B$4)</f>
        <v>0</v>
      </c>
      <c r="CN49" s="186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0</v>
      </c>
      <c r="CO49" s="185">
        <f>IF(SEMANA2[[#This Row],[Columna14]]=0,0,(CN49/CM49))</f>
        <v>0</v>
      </c>
      <c r="CP49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0</v>
      </c>
      <c r="CQ49" s="186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Row],[Columna25]],$AX$5,BA49,"SF")+COUNTIFS(SEMANA2[[#This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0</v>
      </c>
      <c r="CR49" s="185">
        <f>IFERROR(IF(SEMANA2[[#This Row],[Columna14]]=0,0,(CQ49/CP49)),0)</f>
        <v>0</v>
      </c>
      <c r="CS49" s="539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0</v>
      </c>
      <c r="CT49" s="93">
        <f>_xlfn.XLOOKUP(SEMANA2[[#This Row],[COD]],BASE01[COD],BASE01[Columna33])</f>
        <v>0</v>
      </c>
      <c r="CU49" s="536">
        <f t="shared" si="34"/>
        <v>0</v>
      </c>
      <c r="CV49" s="445" t="str">
        <f>IF(SEMANA2[[#This Row],[TIPO]]="PREMIO",$O$3,"0,00")</f>
        <v>0,00</v>
      </c>
      <c r="CW49" s="515"/>
      <c r="CY49" s="387" t="str">
        <f t="shared" si="17"/>
        <v/>
      </c>
      <c r="CZ49" s="387"/>
      <c r="DA49" s="387" t="str">
        <f t="array" ref="DA49">IF(CZ49="", "", IF((INDEX(E$8:CE$57, MATCH(CZ49, C$8:C$57, 0), ($CZ$25-1)*5 + 1) &amp; "") = (INDEX(E$5:CE$5, 1, ($CZ$25-1)*5 + 1) &amp; ""), 1, IF((INDEX(E$8:CE$57, MATCH(CZ49, C$8:C$57, 0), ($CZ$25-1)*5 + 2) &amp; "") = (INDEX(E$5:CE$5, 1, ($CZ$25-1)*5 + 1) &amp; ""), 2, IF((INDEX(E$8:CE$57, MATCH(CZ49, C$8:C$57, 0), ($CZ$25-1)*5 + 3) &amp; "") = (INDEX(E$5:CE$5, 1, ($CZ$25-1)*5 + 1) &amp; ""), 3, ""))))</f>
        <v/>
      </c>
      <c r="DB49" s="537" t="str">
        <f>SEMANA2[[#This Row],[COD]]</f>
        <v>COD 42</v>
      </c>
      <c r="DC49" s="390" t="str">
        <f t="array" ref="DC49">IFERROR(IF(AND(INDEX($E$8:$CE$57, MATCH($C49, $C$8:$C$57, 0), (COLUMNS($DC49:DC49)-1)*5 + 1) = INDEX($E$5:$CE$5, 1, (COLUMNS($DC49:DC49)-1)*5 + 1), INDEX($E$8:$CE$57, MATCH($C49, $C$8:$C$57, 0), (COLUMNS($DC49:DC49)-1)*5 + 4) = "F"), INDEX($CZ$8:$CZ$23, COLUMNS($DC49:DC49)), "0"), "")</f>
        <v>0</v>
      </c>
      <c r="DD49" s="390" t="str">
        <f t="array" ref="DD49">IFERROR(IF(AND(INDEX($E$8:$CE$57, MATCH($C49, $C$8:$C$57, 0), (COLUMNS($DC49:DD49)-1)*5 + 1) = INDEX($E$5:$CE$5, 1, (COLUMNS($DC49:DD49)-1)*5 + 1), INDEX($E$8:$CE$57, MATCH($C49, $C$8:$C$57, 0), (COLUMNS($DC49:DD49)-1)*5 + 4) = "F"), INDEX($CZ$8:$CZ$23, COLUMNS($DC49:DD49)), "0"), "")</f>
        <v>0</v>
      </c>
      <c r="DE49" s="390" t="str">
        <f t="array" ref="DE49">IFERROR(IF(AND(INDEX($E$8:$CE$57, MATCH($C49, $C$8:$C$57, 0), (COLUMNS($DC49:DE49)-1)*5 + 1) = INDEX($E$5:$CE$5, 1, (COLUMNS($DC49:DE49)-1)*5 + 1), INDEX($E$8:$CE$57, MATCH($C49, $C$8:$C$57, 0), (COLUMNS($DC49:DE49)-1)*5 + 4) = "F"), INDEX($CZ$8:$CZ$23, COLUMNS($DC49:DE49)), "0"), "")</f>
        <v>0</v>
      </c>
      <c r="DF49" s="390" t="str">
        <f t="array" ref="DF49">IFERROR(IF(AND(INDEX($E$8:$CE$57, MATCH($C49, $C$8:$C$57, 0), (COLUMNS($DC49:DF49)-1)*5 + 1) = INDEX($E$5:$CE$5, 1, (COLUMNS($DC49:DF49)-1)*5 + 1), INDEX($E$8:$CE$57, MATCH($C49, $C$8:$C$57, 0), (COLUMNS($DC49:DF49)-1)*5 + 4) = "F"), INDEX($CZ$8:$CZ$23, COLUMNS($DC49:DF49)), "0"), "")</f>
        <v>0</v>
      </c>
      <c r="DG49" s="390" t="str">
        <f t="array" ref="DG49">IFERROR(IF(AND(INDEX($E$8:$CE$57, MATCH($C49, $C$8:$C$57, 0), (COLUMNS($DC49:DG49)-1)*5 + 1) = INDEX($E$5:$CE$5, 1, (COLUMNS($DC49:DG49)-1)*5 + 1), INDEX($E$8:$CE$57, MATCH($C49, $C$8:$C$57, 0), (COLUMNS($DC49:DG49)-1)*5 + 4) = "F"), INDEX($CZ$8:$CZ$23, COLUMNS($DC49:DG49)), "0"), "")</f>
        <v>0</v>
      </c>
      <c r="DH49" s="390" t="str">
        <f t="array" ref="DH49">IFERROR(IF(AND(INDEX($E$8:$CE$57, MATCH($C49, $C$8:$C$57, 0), (COLUMNS($DC49:DH49)-1)*5 + 1) = INDEX($E$5:$CE$5, 1, (COLUMNS($DC49:DH49)-1)*5 + 1), INDEX($E$8:$CE$57, MATCH($C49, $C$8:$C$57, 0), (COLUMNS($DC49:DH49)-1)*5 + 4) = "F"), INDEX($CZ$8:$CZ$23, COLUMNS($DC49:DH49)), "0"), "")</f>
        <v>0</v>
      </c>
      <c r="DI49" s="390" t="str">
        <f t="array" ref="DI49">IFERROR(IF(AND(INDEX($E$8:$CE$57, MATCH($C49, $C$8:$C$57, 0), (COLUMNS($DC49:DI49)-1)*5 + 1) = INDEX($E$5:$CE$5, 1, (COLUMNS($DC49:DI49)-1)*5 + 1), INDEX($E$8:$CE$57, MATCH($C49, $C$8:$C$57, 0), (COLUMNS($DC49:DI49)-1)*5 + 4) = "F"), INDEX($CZ$8:$CZ$23, COLUMNS($DC49:DI49)), "0"), "")</f>
        <v>0</v>
      </c>
      <c r="DJ49" s="390" t="str">
        <f t="array" ref="DJ49">IFERROR(IF(AND(INDEX($E$8:$CE$57, MATCH($C49, $C$8:$C$57, 0), (COLUMNS($DC49:DJ49)-1)*5 + 1) = INDEX($E$5:$CE$5, 1, (COLUMNS($DC49:DJ49)-1)*5 + 1), INDEX($E$8:$CE$57, MATCH($C49, $C$8:$C$57, 0), (COLUMNS($DC49:DJ49)-1)*5 + 4) = "F"), INDEX($CZ$8:$CZ$23, COLUMNS($DC49:DJ49)), "0"), "")</f>
        <v>0</v>
      </c>
      <c r="DK49" s="390" t="str">
        <f t="array" ref="DK49">IFERROR(IF(AND(INDEX($E$8:$CE$57, MATCH($C49, $C$8:$C$57, 0), (COLUMNS($DC49:DK49)-1)*5 + 1) = INDEX($E$5:$CE$5, 1, (COLUMNS($DC49:DK49)-1)*5 + 1), INDEX($E$8:$CE$57, MATCH($C49, $C$8:$C$57, 0), (COLUMNS($DC49:DK49)-1)*5 + 4) = "F"), INDEX($CZ$8:$CZ$23, COLUMNS($DC49:DK49)), "0"), "")</f>
        <v>0</v>
      </c>
      <c r="DL49" s="390" t="str">
        <f t="array" ref="DL49">IFERROR(IF(AND(INDEX($E$8:$CE$57, MATCH($C49, $C$8:$C$57, 0), (COLUMNS($DC49:DL49)-1)*5 + 1) = INDEX($E$5:$CE$5, 1, (COLUMNS($DC49:DL49)-1)*5 + 1), INDEX($E$8:$CE$57, MATCH($C49, $C$8:$C$57, 0), (COLUMNS($DC49:DL49)-1)*5 + 4) = "F"), INDEX($CZ$8:$CZ$23, COLUMNS($DC49:DL49)), "0"), "")</f>
        <v>0</v>
      </c>
      <c r="DM49" s="390" t="str">
        <f t="array" ref="DM49">IFERROR(IF(AND(INDEX($E$8:$CE$57, MATCH($C49, $C$8:$C$57, 0), (COLUMNS($DC49:DM49)-1)*5 + 1) = INDEX($E$5:$CE$5, 1, (COLUMNS($DC49:DM49)-1)*5 + 1), INDEX($E$8:$CE$57, MATCH($C49, $C$8:$C$57, 0), (COLUMNS($DC49:DM49)-1)*5 + 4) = "F"), INDEX($CZ$8:$CZ$23, COLUMNS($DC49:DM49)), "0"), "")</f>
        <v>0</v>
      </c>
      <c r="DN49" s="390" t="str">
        <f t="array" ref="DN49">IFERROR(IF(AND(INDEX($E$8:$CE$57, MATCH($C49, $C$8:$C$57, 0), (COLUMNS($DC49:DN49)-1)*5 + 1) = INDEX($E$5:$CE$5, 1, (COLUMNS($DC49:DN49)-1)*5 + 1), INDEX($E$8:$CE$57, MATCH($C49, $C$8:$C$57, 0), (COLUMNS($DC49:DN49)-1)*5 + 4) = "F"), INDEX($CZ$8:$CZ$23, COLUMNS($DC49:DN49)), "0"), "")</f>
        <v>0</v>
      </c>
      <c r="DO49" s="390" t="str">
        <f t="array" ref="DO49">IFERROR(IF(AND(INDEX($E$8:$CE$57, MATCH($C49, $C$8:$C$57, 0), (COLUMNS($DC49:DO49)-1)*5 + 1) = INDEX($E$5:$CE$5, 1, (COLUMNS($DC49:DO49)-1)*5 + 1), INDEX($E$8:$CE$57, MATCH($C49, $C$8:$C$57, 0), (COLUMNS($DC49:DO49)-1)*5 + 4) = "F"), INDEX($CZ$8:$CZ$23, COLUMNS($DC49:DO49)), "0"), "")</f>
        <v>0</v>
      </c>
      <c r="DP49" s="390" t="str">
        <f t="array" ref="DP49">IFERROR(IF(AND(INDEX($E$8:$CE$57, MATCH($C49, $C$8:$C$57, 0), (COLUMNS($DC49:DP49)-1)*5 + 1) = INDEX($E$5:$CE$5, 1, (COLUMNS($DC49:DP49)-1)*5 + 1), INDEX($E$8:$CE$57, MATCH($C49, $C$8:$C$57, 0), (COLUMNS($DC49:DP49)-1)*5 + 4) = "F"), INDEX($CZ$8:$CZ$23, COLUMNS($DC49:DP49)), "0"), "")</f>
        <v>0</v>
      </c>
      <c r="DQ49" s="390" t="str">
        <f t="array" ref="DQ49">IFERROR(IF(AND(INDEX($E$8:$CE$57, MATCH($C49, $C$8:$C$57, 0), (COLUMNS($DC49:DQ49)-1)*5 + 1) = INDEX($E$5:$CE$5, 1, (COLUMNS($DC49:DQ49)-1)*5 + 1), INDEX($E$8:$CE$57, MATCH($C49, $C$8:$C$57, 0), (COLUMNS($DC49:DQ49)-1)*5 + 4) = "F"), INDEX($CZ$8:$CZ$23, COLUMNS($DC49:DQ49)), "0"), "")</f>
        <v>0</v>
      </c>
      <c r="DR49" s="390" t="str">
        <f t="array" ref="DR49">IFERROR(IF(AND(INDEX($E$8:$CE$57, MATCH($C49, $C$8:$C$57, 0), (COLUMNS($DC49:DR49)-1)*5 + 1) = INDEX($E$5:$CE$5, 1, (COLUMNS($DC49:DR49)-1)*5 + 1), INDEX($E$8:$CE$57, MATCH($C49, $C$8:$C$57, 0), (COLUMNS($DC49:DR49)-1)*5 + 4) = "F"), INDEX($CZ$8:$CZ$23, COLUMNS($DC49:DR49)), "0"), "")</f>
        <v>0</v>
      </c>
      <c r="DT49" s="537" t="str">
        <f>SEMANA2[[#This Row],[COD]]</f>
        <v>COD 42</v>
      </c>
      <c r="DU49" s="390" t="str">
        <f t="array" ref="DU49">IFERROR(IF(AND(INDEX($E$8:$CE$57, MATCH($C49, $C$8:$C$57, 0), (COLUMNS($DU49:DU49)-1)*5 + 1) = INDEX($E$5:$CE$5, 1, (COLUMNS($DU49:DU49)-1)*5 + 1), INDEX($E$8:$CE$57, MATCH($C49, $C$8:$C$57, 0), (COLUMNS($DU49:DU49)-1)*5 + 4) = "SF"), INDEX($CZ$8:$CZ$23, COLUMNS($DU49:DU49)), "0"), "")</f>
        <v>0</v>
      </c>
      <c r="DV49" s="390" t="str">
        <f t="array" ref="DV49">IFERROR(IF(AND(INDEX($E$8:$CE$57, MATCH($C49, $C$8:$C$57, 0), (COLUMNS($DU49:DV49)-1)*5 + 1) = INDEX($E$5:$CE$5, 1, (COLUMNS($DU49:DV49)-1)*5 + 1), INDEX($E$8:$CE$57, MATCH($C49, $C$8:$C$57, 0), (COLUMNS($DU49:DV49)-1)*5 + 4) = "SF"), INDEX($CZ$8:$CZ$23, COLUMNS($DU49:DV49)), "0"), "")</f>
        <v>0</v>
      </c>
      <c r="DW49" s="390" t="str">
        <f t="array" ref="DW49">IFERROR(IF(AND(INDEX($E$8:$CE$57, MATCH($C49, $C$8:$C$57, 0), (COLUMNS($DU49:DW49)-1)*5 + 1) = INDEX($E$5:$CE$5, 1, (COLUMNS($DU49:DW49)-1)*5 + 1), INDEX($E$8:$CE$57, MATCH($C49, $C$8:$C$57, 0), (COLUMNS($DU49:DW49)-1)*5 + 4) = "SF"), INDEX($CZ$8:$CZ$23, COLUMNS($DU49:DW49)), "0"), "")</f>
        <v>0</v>
      </c>
      <c r="DX49" s="390" t="str">
        <f t="array" ref="DX49">IFERROR(IF(AND(INDEX($E$8:$CE$57, MATCH($C49, $C$8:$C$57, 0), (COLUMNS($DU49:DX49)-1)*5 + 1) = INDEX($E$5:$CE$5, 1, (COLUMNS($DU49:DX49)-1)*5 + 1), INDEX($E$8:$CE$57, MATCH($C49, $C$8:$C$57, 0), (COLUMNS($DU49:DX49)-1)*5 + 4) = "SF"), INDEX($CZ$8:$CZ$23, COLUMNS($DU49:DX49)), "0"), "")</f>
        <v>0</v>
      </c>
      <c r="DY49" s="390" t="str">
        <f t="array" ref="DY49">IFERROR(IF(AND(INDEX($E$8:$CE$57, MATCH($C49, $C$8:$C$57, 0), (COLUMNS($DU49:DY49)-1)*5 + 1) = INDEX($E$5:$CE$5, 1, (COLUMNS($DU49:DY49)-1)*5 + 1), INDEX($E$8:$CE$57, MATCH($C49, $C$8:$C$57, 0), (COLUMNS($DU49:DY49)-1)*5 + 4) = "SF"), INDEX($CZ$8:$CZ$23, COLUMNS($DU49:DY49)), "0"), "")</f>
        <v>0</v>
      </c>
      <c r="DZ49" s="390" t="str">
        <f t="array" ref="DZ49">IFERROR(IF(AND(INDEX($E$8:$CE$57, MATCH($C49, $C$8:$C$57, 0), (COLUMNS($DU49:DZ49)-1)*5 + 1) = INDEX($E$5:$CE$5, 1, (COLUMNS($DU49:DZ49)-1)*5 + 1), INDEX($E$8:$CE$57, MATCH($C49, $C$8:$C$57, 0), (COLUMNS($DU49:DZ49)-1)*5 + 4) = "SF"), INDEX($CZ$8:$CZ$23, COLUMNS($DU49:DZ49)), "0"), "")</f>
        <v>0</v>
      </c>
      <c r="EA49" s="390" t="str">
        <f t="array" ref="EA49">IFERROR(IF(AND(INDEX($E$8:$CE$57, MATCH($C49, $C$8:$C$57, 0), (COLUMNS($DU49:EA49)-1)*5 + 1) = INDEX($E$5:$CE$5, 1, (COLUMNS($DU49:EA49)-1)*5 + 1), INDEX($E$8:$CE$57, MATCH($C49, $C$8:$C$57, 0), (COLUMNS($DU49:EA49)-1)*5 + 4) = "SF"), INDEX($CZ$8:$CZ$23, COLUMNS($DU49:EA49)), "0"), "")</f>
        <v>0</v>
      </c>
      <c r="EB49" s="390" t="str">
        <f t="array" ref="EB49">IFERROR(IF(AND(INDEX($E$8:$CE$57, MATCH($C49, $C$8:$C$57, 0), (COLUMNS($DU49:EB49)-1)*5 + 1) = INDEX($E$5:$CE$5, 1, (COLUMNS($DU49:EB49)-1)*5 + 1), INDEX($E$8:$CE$57, MATCH($C49, $C$8:$C$57, 0), (COLUMNS($DU49:EB49)-1)*5 + 4) = "SF"), INDEX($CZ$8:$CZ$23, COLUMNS($DU49:EB49)), "0"), "")</f>
        <v>0</v>
      </c>
      <c r="EC49" s="390" t="str">
        <f t="array" ref="EC49">IFERROR(IF(AND(INDEX($E$8:$CE$57, MATCH($C49, $C$8:$C$57, 0), (COLUMNS($DU49:EC49)-1)*5 + 1) = INDEX($E$5:$CE$5, 1, (COLUMNS($DU49:EC49)-1)*5 + 1), INDEX($E$8:$CE$57, MATCH($C49, $C$8:$C$57, 0), (COLUMNS($DU49:EC49)-1)*5 + 4) = "SF"), INDEX($CZ$8:$CZ$23, COLUMNS($DU49:EC49)), "0"), "")</f>
        <v>0</v>
      </c>
      <c r="ED49" s="390" t="str">
        <f t="array" ref="ED49">IFERROR(IF(AND(INDEX($E$8:$CE$57, MATCH($C49, $C$8:$C$57, 0), (COLUMNS($DU49:ED49)-1)*5 + 1) = INDEX($E$5:$CE$5, 1, (COLUMNS($DU49:ED49)-1)*5 + 1), INDEX($E$8:$CE$57, MATCH($C49, $C$8:$C$57, 0), (COLUMNS($DU49:ED49)-1)*5 + 4) = "SF"), INDEX($CZ$8:$CZ$23, COLUMNS($DU49:ED49)), "0"), "")</f>
        <v>0</v>
      </c>
      <c r="EE49" s="390" t="str">
        <f t="array" ref="EE49">IFERROR(IF(AND(INDEX($E$8:$CE$57, MATCH($C49, $C$8:$C$57, 0), (COLUMNS($DU49:EE49)-1)*5 + 1) = INDEX($E$5:$CE$5, 1, (COLUMNS($DU49:EE49)-1)*5 + 1), INDEX($E$8:$CE$57, MATCH($C49, $C$8:$C$57, 0), (COLUMNS($DU49:EE49)-1)*5 + 4) = "SF"), INDEX($CZ$8:$CZ$23, COLUMNS($DU49:EE49)), "0"), "")</f>
        <v>0</v>
      </c>
      <c r="EF49" s="390" t="str">
        <f t="array" ref="EF49">IFERROR(IF(AND(INDEX($E$8:$CE$57, MATCH($C49, $C$8:$C$57, 0), (COLUMNS($DU49:EF49)-1)*5 + 1) = INDEX($E$5:$CE$5, 1, (COLUMNS($DU49:EF49)-1)*5 + 1), INDEX($E$8:$CE$57, MATCH($C49, $C$8:$C$57, 0), (COLUMNS($DU49:EF49)-1)*5 + 4) = "SF"), INDEX($CZ$8:$CZ$23, COLUMNS($DU49:EF49)), "0"), "")</f>
        <v>0</v>
      </c>
      <c r="EG49" s="390" t="str">
        <f t="array" ref="EG49">IFERROR(IF(AND(INDEX($E$8:$CE$57, MATCH($C49, $C$8:$C$57, 0), (COLUMNS($DU49:EG49)-1)*5 + 1) = INDEX($E$5:$CE$5, 1, (COLUMNS($DU49:EG49)-1)*5 + 1), INDEX($E$8:$CE$57, MATCH($C49, $C$8:$C$57, 0), (COLUMNS($DU49:EG49)-1)*5 + 4) = "SF"), INDEX($CZ$8:$CZ$23, COLUMNS($DU49:EG49)), "0"), "")</f>
        <v>0</v>
      </c>
      <c r="EH49" s="390" t="str">
        <f t="array" ref="EH49">IFERROR(IF(AND(INDEX($E$8:$CE$57, MATCH($C49, $C$8:$C$57, 0), (COLUMNS($DU49:EH49)-1)*5 + 1) = INDEX($E$5:$CE$5, 1, (COLUMNS($DU49:EH49)-1)*5 + 1), INDEX($E$8:$CE$57, MATCH($C49, $C$8:$C$57, 0), (COLUMNS($DU49:EH49)-1)*5 + 4) = "SF"), INDEX($CZ$8:$CZ$23, COLUMNS($DU49:EH49)), "0"), "")</f>
        <v>0</v>
      </c>
      <c r="EI49" s="390" t="str">
        <f t="array" ref="EI49">IFERROR(IF(AND(INDEX($E$8:$CE$57, MATCH($C49, $C$8:$C$57, 0), (COLUMNS($DU49:EI49)-1)*5 + 1) = INDEX($E$5:$CE$5, 1, (COLUMNS($DU49:EI49)-1)*5 + 1), INDEX($E$8:$CE$57, MATCH($C49, $C$8:$C$57, 0), (COLUMNS($DU49:EI49)-1)*5 + 4) = "SF"), INDEX($CZ$8:$CZ$23, COLUMNS($DU49:EI49)), "0"), "")</f>
        <v>0</v>
      </c>
      <c r="EJ49" s="390" t="str">
        <f t="array" ref="EJ49">IFERROR(IF(AND(INDEX($E$8:$CE$57, MATCH($C49, $C$8:$C$57, 0), (COLUMNS($DU49:EJ49)-1)*5 + 1) = INDEX($E$5:$CE$5, 1, (COLUMNS($DU49:EJ49)-1)*5 + 1), INDEX($E$8:$CE$57, MATCH($C49, $C$8:$C$57, 0), (COLUMNS($DU49:EJ49)-1)*5 + 4) = "SF"), INDEX($CZ$8:$CZ$23, COLUMNS($DU49:EJ49)), "0"), "")</f>
        <v>0</v>
      </c>
    </row>
    <row r="50" spans="1:140" ht="20.100000000000001" customHeight="1" outlineLevel="1" x14ac:dyDescent="0.35">
      <c r="A50" s="515"/>
      <c r="B50" s="444">
        <f>IF(SEMANA2[[#This Row],[COD]]&lt;&gt;"",B49+1,"")</f>
        <v>43</v>
      </c>
      <c r="C50" s="554" t="s">
        <v>114</v>
      </c>
      <c r="D50" s="410" t="str">
        <f t="array" ref="D50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NO ENVIÓ</v>
      </c>
      <c r="E50" s="411"/>
      <c r="F50" s="413"/>
      <c r="G50" s="413"/>
      <c r="H50" s="413"/>
      <c r="I50" s="534">
        <f t="shared" si="18"/>
        <v>0</v>
      </c>
      <c r="J50" s="411"/>
      <c r="K50" s="413"/>
      <c r="L50" s="413"/>
      <c r="M50" s="413"/>
      <c r="N50" s="534">
        <f t="shared" si="19"/>
        <v>0</v>
      </c>
      <c r="O50" s="411"/>
      <c r="P50" s="413"/>
      <c r="Q50" s="413"/>
      <c r="R50" s="413"/>
      <c r="S50" s="534">
        <f t="shared" si="20"/>
        <v>0</v>
      </c>
      <c r="T50" s="411"/>
      <c r="U50" s="413"/>
      <c r="V50" s="413"/>
      <c r="W50" s="413"/>
      <c r="X50" s="534">
        <f t="shared" si="21"/>
        <v>0</v>
      </c>
      <c r="Y50" s="411"/>
      <c r="Z50" s="413"/>
      <c r="AA50" s="413"/>
      <c r="AB50" s="413"/>
      <c r="AC50" s="534">
        <f t="shared" si="22"/>
        <v>0</v>
      </c>
      <c r="AD50" s="411"/>
      <c r="AE50" s="413"/>
      <c r="AF50" s="413"/>
      <c r="AG50" s="413"/>
      <c r="AH50" s="534">
        <f t="shared" si="23"/>
        <v>0</v>
      </c>
      <c r="AI50" s="411"/>
      <c r="AJ50" s="413"/>
      <c r="AK50" s="413"/>
      <c r="AL50" s="413"/>
      <c r="AM50" s="534">
        <f t="shared" si="24"/>
        <v>0</v>
      </c>
      <c r="AN50" s="411"/>
      <c r="AO50" s="413"/>
      <c r="AP50" s="413"/>
      <c r="AQ50" s="413"/>
      <c r="AR50" s="534">
        <f t="shared" si="25"/>
        <v>0</v>
      </c>
      <c r="AS50" s="411"/>
      <c r="AT50" s="413"/>
      <c r="AU50" s="413"/>
      <c r="AV50" s="413"/>
      <c r="AW50" s="534">
        <f t="shared" si="26"/>
        <v>0</v>
      </c>
      <c r="AX50" s="411"/>
      <c r="AY50" s="413"/>
      <c r="AZ50" s="413"/>
      <c r="BA50" s="413"/>
      <c r="BB50" s="534">
        <f t="shared" si="27"/>
        <v>0</v>
      </c>
      <c r="BC50" s="411"/>
      <c r="BD50" s="413"/>
      <c r="BE50" s="413"/>
      <c r="BF50" s="413"/>
      <c r="BG50" s="534">
        <f t="shared" si="28"/>
        <v>0</v>
      </c>
      <c r="BH50" s="411"/>
      <c r="BI50" s="413"/>
      <c r="BJ50" s="413"/>
      <c r="BK50" s="413"/>
      <c r="BL50" s="534">
        <f t="shared" si="29"/>
        <v>0</v>
      </c>
      <c r="BM50" s="411"/>
      <c r="BN50" s="413"/>
      <c r="BO50" s="413"/>
      <c r="BP50" s="413"/>
      <c r="BQ50" s="534">
        <f t="shared" si="30"/>
        <v>0</v>
      </c>
      <c r="BR50" s="411"/>
      <c r="BS50" s="413"/>
      <c r="BT50" s="413"/>
      <c r="BU50" s="413"/>
      <c r="BV50" s="534">
        <f t="shared" si="31"/>
        <v>0</v>
      </c>
      <c r="BW50" s="411"/>
      <c r="BX50" s="413"/>
      <c r="BY50" s="413"/>
      <c r="BZ50" s="413"/>
      <c r="CA50" s="534">
        <f t="shared" si="32"/>
        <v>0</v>
      </c>
      <c r="CB50" s="411"/>
      <c r="CC50" s="413"/>
      <c r="CD50" s="413"/>
      <c r="CE50" s="413"/>
      <c r="CF50" s="534">
        <f t="shared" si="33"/>
        <v>0</v>
      </c>
      <c r="CG50" s="162">
        <f>IF(SEMANA2[[#This Row],[1]]="",0,$B$4)</f>
        <v>0</v>
      </c>
      <c r="CH50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0</v>
      </c>
      <c r="CI50" s="185">
        <f>IF(SEMANA2[[#This Row],[Columna14]]=0,0,(CH50/CG50))</f>
        <v>0</v>
      </c>
      <c r="CJ50" s="163">
        <f>IF(SEMANA2[[#This Row],[1]]="",0,$B$4)</f>
        <v>0</v>
      </c>
      <c r="CK50" s="186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0</v>
      </c>
      <c r="CL50" s="185">
        <f>IF(SEMANA2[[#This Row],[Columna14]]=0,0,(CK50/CJ50))</f>
        <v>0</v>
      </c>
      <c r="CM50" s="162">
        <f>IF(SEMANA2[[#This Row],[1]]="",0,$B$4)</f>
        <v>0</v>
      </c>
      <c r="CN50" s="186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0</v>
      </c>
      <c r="CO50" s="185">
        <f>IF(SEMANA2[[#This Row],[Columna14]]=0,0,(CN50/CM50))</f>
        <v>0</v>
      </c>
      <c r="CP50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0</v>
      </c>
      <c r="CQ50" s="186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Row],[Columna25]],$AX$5,BA50,"SF")+COUNTIFS(SEMANA2[[#This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0</v>
      </c>
      <c r="CR50" s="185">
        <f>IFERROR(IF(SEMANA2[[#This Row],[Columna14]]=0,0,(CQ50/CP50)),0)</f>
        <v>0</v>
      </c>
      <c r="CS50" s="539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0</v>
      </c>
      <c r="CT50" s="93">
        <f>_xlfn.XLOOKUP(SEMANA2[[#This Row],[COD]],BASE01[COD],BASE01[Columna33])</f>
        <v>0</v>
      </c>
      <c r="CU50" s="536">
        <f t="shared" si="34"/>
        <v>0</v>
      </c>
      <c r="CV50" s="445" t="str">
        <f>IF(SEMANA2[[#This Row],[TIPO]]="PREMIO",$O$3,"0,00")</f>
        <v>0,00</v>
      </c>
      <c r="CW50" s="515"/>
      <c r="CY50" s="387" t="str">
        <f t="shared" si="17"/>
        <v/>
      </c>
      <c r="CZ50" s="387"/>
      <c r="DA50" s="387" t="str">
        <f t="array" ref="DA50">IF(CZ50="", "", IF((INDEX(E$8:CE$57, MATCH(CZ50, C$8:C$57, 0), ($CZ$25-1)*5 + 1) &amp; "") = (INDEX(E$5:CE$5, 1, ($CZ$25-1)*5 + 1) &amp; ""), 1, IF((INDEX(E$8:CE$57, MATCH(CZ50, C$8:C$57, 0), ($CZ$25-1)*5 + 2) &amp; "") = (INDEX(E$5:CE$5, 1, ($CZ$25-1)*5 + 1) &amp; ""), 2, IF((INDEX(E$8:CE$57, MATCH(CZ50, C$8:C$57, 0), ($CZ$25-1)*5 + 3) &amp; "") = (INDEX(E$5:CE$5, 1, ($CZ$25-1)*5 + 1) &amp; ""), 3, ""))))</f>
        <v/>
      </c>
      <c r="DB50" s="537" t="str">
        <f>SEMANA2[[#This Row],[COD]]</f>
        <v>COD 43</v>
      </c>
      <c r="DC50" s="390" t="str">
        <f t="array" ref="DC50">IFERROR(IF(AND(INDEX($E$8:$CE$57, MATCH($C50, $C$8:$C$57, 0), (COLUMNS($DC50:DC50)-1)*5 + 1) = INDEX($E$5:$CE$5, 1, (COLUMNS($DC50:DC50)-1)*5 + 1), INDEX($E$8:$CE$57, MATCH($C50, $C$8:$C$57, 0), (COLUMNS($DC50:DC50)-1)*5 + 4) = "F"), INDEX($CZ$8:$CZ$23, COLUMNS($DC50:DC50)), "0"), "")</f>
        <v>0</v>
      </c>
      <c r="DD50" s="390" t="str">
        <f t="array" ref="DD50">IFERROR(IF(AND(INDEX($E$8:$CE$57, MATCH($C50, $C$8:$C$57, 0), (COLUMNS($DC50:DD50)-1)*5 + 1) = INDEX($E$5:$CE$5, 1, (COLUMNS($DC50:DD50)-1)*5 + 1), INDEX($E$8:$CE$57, MATCH($C50, $C$8:$C$57, 0), (COLUMNS($DC50:DD50)-1)*5 + 4) = "F"), INDEX($CZ$8:$CZ$23, COLUMNS($DC50:DD50)), "0"), "")</f>
        <v>0</v>
      </c>
      <c r="DE50" s="390" t="str">
        <f t="array" ref="DE50">IFERROR(IF(AND(INDEX($E$8:$CE$57, MATCH($C50, $C$8:$C$57, 0), (COLUMNS($DC50:DE50)-1)*5 + 1) = INDEX($E$5:$CE$5, 1, (COLUMNS($DC50:DE50)-1)*5 + 1), INDEX($E$8:$CE$57, MATCH($C50, $C$8:$C$57, 0), (COLUMNS($DC50:DE50)-1)*5 + 4) = "F"), INDEX($CZ$8:$CZ$23, COLUMNS($DC50:DE50)), "0"), "")</f>
        <v>0</v>
      </c>
      <c r="DF50" s="390" t="str">
        <f t="array" ref="DF50">IFERROR(IF(AND(INDEX($E$8:$CE$57, MATCH($C50, $C$8:$C$57, 0), (COLUMNS($DC50:DF50)-1)*5 + 1) = INDEX($E$5:$CE$5, 1, (COLUMNS($DC50:DF50)-1)*5 + 1), INDEX($E$8:$CE$57, MATCH($C50, $C$8:$C$57, 0), (COLUMNS($DC50:DF50)-1)*5 + 4) = "F"), INDEX($CZ$8:$CZ$23, COLUMNS($DC50:DF50)), "0"), "")</f>
        <v>0</v>
      </c>
      <c r="DG50" s="390" t="str">
        <f t="array" ref="DG50">IFERROR(IF(AND(INDEX($E$8:$CE$57, MATCH($C50, $C$8:$C$57, 0), (COLUMNS($DC50:DG50)-1)*5 + 1) = INDEX($E$5:$CE$5, 1, (COLUMNS($DC50:DG50)-1)*5 + 1), INDEX($E$8:$CE$57, MATCH($C50, $C$8:$C$57, 0), (COLUMNS($DC50:DG50)-1)*5 + 4) = "F"), INDEX($CZ$8:$CZ$23, COLUMNS($DC50:DG50)), "0"), "")</f>
        <v>0</v>
      </c>
      <c r="DH50" s="390" t="str">
        <f t="array" ref="DH50">IFERROR(IF(AND(INDEX($E$8:$CE$57, MATCH($C50, $C$8:$C$57, 0), (COLUMNS($DC50:DH50)-1)*5 + 1) = INDEX($E$5:$CE$5, 1, (COLUMNS($DC50:DH50)-1)*5 + 1), INDEX($E$8:$CE$57, MATCH($C50, $C$8:$C$57, 0), (COLUMNS($DC50:DH50)-1)*5 + 4) = "F"), INDEX($CZ$8:$CZ$23, COLUMNS($DC50:DH50)), "0"), "")</f>
        <v>0</v>
      </c>
      <c r="DI50" s="390" t="str">
        <f t="array" ref="DI50">IFERROR(IF(AND(INDEX($E$8:$CE$57, MATCH($C50, $C$8:$C$57, 0), (COLUMNS($DC50:DI50)-1)*5 + 1) = INDEX($E$5:$CE$5, 1, (COLUMNS($DC50:DI50)-1)*5 + 1), INDEX($E$8:$CE$57, MATCH($C50, $C$8:$C$57, 0), (COLUMNS($DC50:DI50)-1)*5 + 4) = "F"), INDEX($CZ$8:$CZ$23, COLUMNS($DC50:DI50)), "0"), "")</f>
        <v>0</v>
      </c>
      <c r="DJ50" s="390" t="str">
        <f t="array" ref="DJ50">IFERROR(IF(AND(INDEX($E$8:$CE$57, MATCH($C50, $C$8:$C$57, 0), (COLUMNS($DC50:DJ50)-1)*5 + 1) = INDEX($E$5:$CE$5, 1, (COLUMNS($DC50:DJ50)-1)*5 + 1), INDEX($E$8:$CE$57, MATCH($C50, $C$8:$C$57, 0), (COLUMNS($DC50:DJ50)-1)*5 + 4) = "F"), INDEX($CZ$8:$CZ$23, COLUMNS($DC50:DJ50)), "0"), "")</f>
        <v>0</v>
      </c>
      <c r="DK50" s="390" t="str">
        <f t="array" ref="DK50">IFERROR(IF(AND(INDEX($E$8:$CE$57, MATCH($C50, $C$8:$C$57, 0), (COLUMNS($DC50:DK50)-1)*5 + 1) = INDEX($E$5:$CE$5, 1, (COLUMNS($DC50:DK50)-1)*5 + 1), INDEX($E$8:$CE$57, MATCH($C50, $C$8:$C$57, 0), (COLUMNS($DC50:DK50)-1)*5 + 4) = "F"), INDEX($CZ$8:$CZ$23, COLUMNS($DC50:DK50)), "0"), "")</f>
        <v>0</v>
      </c>
      <c r="DL50" s="390" t="str">
        <f t="array" ref="DL50">IFERROR(IF(AND(INDEX($E$8:$CE$57, MATCH($C50, $C$8:$C$57, 0), (COLUMNS($DC50:DL50)-1)*5 + 1) = INDEX($E$5:$CE$5, 1, (COLUMNS($DC50:DL50)-1)*5 + 1), INDEX($E$8:$CE$57, MATCH($C50, $C$8:$C$57, 0), (COLUMNS($DC50:DL50)-1)*5 + 4) = "F"), INDEX($CZ$8:$CZ$23, COLUMNS($DC50:DL50)), "0"), "")</f>
        <v>0</v>
      </c>
      <c r="DM50" s="390" t="str">
        <f t="array" ref="DM50">IFERROR(IF(AND(INDEX($E$8:$CE$57, MATCH($C50, $C$8:$C$57, 0), (COLUMNS($DC50:DM50)-1)*5 + 1) = INDEX($E$5:$CE$5, 1, (COLUMNS($DC50:DM50)-1)*5 + 1), INDEX($E$8:$CE$57, MATCH($C50, $C$8:$C$57, 0), (COLUMNS($DC50:DM50)-1)*5 + 4) = "F"), INDEX($CZ$8:$CZ$23, COLUMNS($DC50:DM50)), "0"), "")</f>
        <v>0</v>
      </c>
      <c r="DN50" s="390" t="str">
        <f t="array" ref="DN50">IFERROR(IF(AND(INDEX($E$8:$CE$57, MATCH($C50, $C$8:$C$57, 0), (COLUMNS($DC50:DN50)-1)*5 + 1) = INDEX($E$5:$CE$5, 1, (COLUMNS($DC50:DN50)-1)*5 + 1), INDEX($E$8:$CE$57, MATCH($C50, $C$8:$C$57, 0), (COLUMNS($DC50:DN50)-1)*5 + 4) = "F"), INDEX($CZ$8:$CZ$23, COLUMNS($DC50:DN50)), "0"), "")</f>
        <v>0</v>
      </c>
      <c r="DO50" s="390" t="str">
        <f t="array" ref="DO50">IFERROR(IF(AND(INDEX($E$8:$CE$57, MATCH($C50, $C$8:$C$57, 0), (COLUMNS($DC50:DO50)-1)*5 + 1) = INDEX($E$5:$CE$5, 1, (COLUMNS($DC50:DO50)-1)*5 + 1), INDEX($E$8:$CE$57, MATCH($C50, $C$8:$C$57, 0), (COLUMNS($DC50:DO50)-1)*5 + 4) = "F"), INDEX($CZ$8:$CZ$23, COLUMNS($DC50:DO50)), "0"), "")</f>
        <v>0</v>
      </c>
      <c r="DP50" s="390" t="str">
        <f t="array" ref="DP50">IFERROR(IF(AND(INDEX($E$8:$CE$57, MATCH($C50, $C$8:$C$57, 0), (COLUMNS($DC50:DP50)-1)*5 + 1) = INDEX($E$5:$CE$5, 1, (COLUMNS($DC50:DP50)-1)*5 + 1), INDEX($E$8:$CE$57, MATCH($C50, $C$8:$C$57, 0), (COLUMNS($DC50:DP50)-1)*5 + 4) = "F"), INDEX($CZ$8:$CZ$23, COLUMNS($DC50:DP50)), "0"), "")</f>
        <v>0</v>
      </c>
      <c r="DQ50" s="390" t="str">
        <f t="array" ref="DQ50">IFERROR(IF(AND(INDEX($E$8:$CE$57, MATCH($C50, $C$8:$C$57, 0), (COLUMNS($DC50:DQ50)-1)*5 + 1) = INDEX($E$5:$CE$5, 1, (COLUMNS($DC50:DQ50)-1)*5 + 1), INDEX($E$8:$CE$57, MATCH($C50, $C$8:$C$57, 0), (COLUMNS($DC50:DQ50)-1)*5 + 4) = "F"), INDEX($CZ$8:$CZ$23, COLUMNS($DC50:DQ50)), "0"), "")</f>
        <v>0</v>
      </c>
      <c r="DR50" s="390" t="str">
        <f t="array" ref="DR50">IFERROR(IF(AND(INDEX($E$8:$CE$57, MATCH($C50, $C$8:$C$57, 0), (COLUMNS($DC50:DR50)-1)*5 + 1) = INDEX($E$5:$CE$5, 1, (COLUMNS($DC50:DR50)-1)*5 + 1), INDEX($E$8:$CE$57, MATCH($C50, $C$8:$C$57, 0), (COLUMNS($DC50:DR50)-1)*5 + 4) = "F"), INDEX($CZ$8:$CZ$23, COLUMNS($DC50:DR50)), "0"), "")</f>
        <v>0</v>
      </c>
      <c r="DT50" s="537" t="str">
        <f>SEMANA2[[#This Row],[COD]]</f>
        <v>COD 43</v>
      </c>
      <c r="DU50" s="390" t="str">
        <f t="array" ref="DU50">IFERROR(IF(AND(INDEX($E$8:$CE$57, MATCH($C50, $C$8:$C$57, 0), (COLUMNS($DU50:DU50)-1)*5 + 1) = INDEX($E$5:$CE$5, 1, (COLUMNS($DU50:DU50)-1)*5 + 1), INDEX($E$8:$CE$57, MATCH($C50, $C$8:$C$57, 0), (COLUMNS($DU50:DU50)-1)*5 + 4) = "SF"), INDEX($CZ$8:$CZ$23, COLUMNS($DU50:DU50)), "0"), "")</f>
        <v>0</v>
      </c>
      <c r="DV50" s="390" t="str">
        <f t="array" ref="DV50">IFERROR(IF(AND(INDEX($E$8:$CE$57, MATCH($C50, $C$8:$C$57, 0), (COLUMNS($DU50:DV50)-1)*5 + 1) = INDEX($E$5:$CE$5, 1, (COLUMNS($DU50:DV50)-1)*5 + 1), INDEX($E$8:$CE$57, MATCH($C50, $C$8:$C$57, 0), (COLUMNS($DU50:DV50)-1)*5 + 4) = "SF"), INDEX($CZ$8:$CZ$23, COLUMNS($DU50:DV50)), "0"), "")</f>
        <v>0</v>
      </c>
      <c r="DW50" s="390" t="str">
        <f t="array" ref="DW50">IFERROR(IF(AND(INDEX($E$8:$CE$57, MATCH($C50, $C$8:$C$57, 0), (COLUMNS($DU50:DW50)-1)*5 + 1) = INDEX($E$5:$CE$5, 1, (COLUMNS($DU50:DW50)-1)*5 + 1), INDEX($E$8:$CE$57, MATCH($C50, $C$8:$C$57, 0), (COLUMNS($DU50:DW50)-1)*5 + 4) = "SF"), INDEX($CZ$8:$CZ$23, COLUMNS($DU50:DW50)), "0"), "")</f>
        <v>0</v>
      </c>
      <c r="DX50" s="390" t="str">
        <f t="array" ref="DX50">IFERROR(IF(AND(INDEX($E$8:$CE$57, MATCH($C50, $C$8:$C$57, 0), (COLUMNS($DU50:DX50)-1)*5 + 1) = INDEX($E$5:$CE$5, 1, (COLUMNS($DU50:DX50)-1)*5 + 1), INDEX($E$8:$CE$57, MATCH($C50, $C$8:$C$57, 0), (COLUMNS($DU50:DX50)-1)*5 + 4) = "SF"), INDEX($CZ$8:$CZ$23, COLUMNS($DU50:DX50)), "0"), "")</f>
        <v>0</v>
      </c>
      <c r="DY50" s="390" t="str">
        <f t="array" ref="DY50">IFERROR(IF(AND(INDEX($E$8:$CE$57, MATCH($C50, $C$8:$C$57, 0), (COLUMNS($DU50:DY50)-1)*5 + 1) = INDEX($E$5:$CE$5, 1, (COLUMNS($DU50:DY50)-1)*5 + 1), INDEX($E$8:$CE$57, MATCH($C50, $C$8:$C$57, 0), (COLUMNS($DU50:DY50)-1)*5 + 4) = "SF"), INDEX($CZ$8:$CZ$23, COLUMNS($DU50:DY50)), "0"), "")</f>
        <v>0</v>
      </c>
      <c r="DZ50" s="390" t="str">
        <f t="array" ref="DZ50">IFERROR(IF(AND(INDEX($E$8:$CE$57, MATCH($C50, $C$8:$C$57, 0), (COLUMNS($DU50:DZ50)-1)*5 + 1) = INDEX($E$5:$CE$5, 1, (COLUMNS($DU50:DZ50)-1)*5 + 1), INDEX($E$8:$CE$57, MATCH($C50, $C$8:$C$57, 0), (COLUMNS($DU50:DZ50)-1)*5 + 4) = "SF"), INDEX($CZ$8:$CZ$23, COLUMNS($DU50:DZ50)), "0"), "")</f>
        <v>0</v>
      </c>
      <c r="EA50" s="390" t="str">
        <f t="array" ref="EA50">IFERROR(IF(AND(INDEX($E$8:$CE$57, MATCH($C50, $C$8:$C$57, 0), (COLUMNS($DU50:EA50)-1)*5 + 1) = INDEX($E$5:$CE$5, 1, (COLUMNS($DU50:EA50)-1)*5 + 1), INDEX($E$8:$CE$57, MATCH($C50, $C$8:$C$57, 0), (COLUMNS($DU50:EA50)-1)*5 + 4) = "SF"), INDEX($CZ$8:$CZ$23, COLUMNS($DU50:EA50)), "0"), "")</f>
        <v>0</v>
      </c>
      <c r="EB50" s="390" t="str">
        <f t="array" ref="EB50">IFERROR(IF(AND(INDEX($E$8:$CE$57, MATCH($C50, $C$8:$C$57, 0), (COLUMNS($DU50:EB50)-1)*5 + 1) = INDEX($E$5:$CE$5, 1, (COLUMNS($DU50:EB50)-1)*5 + 1), INDEX($E$8:$CE$57, MATCH($C50, $C$8:$C$57, 0), (COLUMNS($DU50:EB50)-1)*5 + 4) = "SF"), INDEX($CZ$8:$CZ$23, COLUMNS($DU50:EB50)), "0"), "")</f>
        <v>0</v>
      </c>
      <c r="EC50" s="390" t="str">
        <f t="array" ref="EC50">IFERROR(IF(AND(INDEX($E$8:$CE$57, MATCH($C50, $C$8:$C$57, 0), (COLUMNS($DU50:EC50)-1)*5 + 1) = INDEX($E$5:$CE$5, 1, (COLUMNS($DU50:EC50)-1)*5 + 1), INDEX($E$8:$CE$57, MATCH($C50, $C$8:$C$57, 0), (COLUMNS($DU50:EC50)-1)*5 + 4) = "SF"), INDEX($CZ$8:$CZ$23, COLUMNS($DU50:EC50)), "0"), "")</f>
        <v>0</v>
      </c>
      <c r="ED50" s="390" t="str">
        <f t="array" ref="ED50">IFERROR(IF(AND(INDEX($E$8:$CE$57, MATCH($C50, $C$8:$C$57, 0), (COLUMNS($DU50:ED50)-1)*5 + 1) = INDEX($E$5:$CE$5, 1, (COLUMNS($DU50:ED50)-1)*5 + 1), INDEX($E$8:$CE$57, MATCH($C50, $C$8:$C$57, 0), (COLUMNS($DU50:ED50)-1)*5 + 4) = "SF"), INDEX($CZ$8:$CZ$23, COLUMNS($DU50:ED50)), "0"), "")</f>
        <v>0</v>
      </c>
      <c r="EE50" s="390" t="str">
        <f t="array" ref="EE50">IFERROR(IF(AND(INDEX($E$8:$CE$57, MATCH($C50, $C$8:$C$57, 0), (COLUMNS($DU50:EE50)-1)*5 + 1) = INDEX($E$5:$CE$5, 1, (COLUMNS($DU50:EE50)-1)*5 + 1), INDEX($E$8:$CE$57, MATCH($C50, $C$8:$C$57, 0), (COLUMNS($DU50:EE50)-1)*5 + 4) = "SF"), INDEX($CZ$8:$CZ$23, COLUMNS($DU50:EE50)), "0"), "")</f>
        <v>0</v>
      </c>
      <c r="EF50" s="390" t="str">
        <f t="array" ref="EF50">IFERROR(IF(AND(INDEX($E$8:$CE$57, MATCH($C50, $C$8:$C$57, 0), (COLUMNS($DU50:EF50)-1)*5 + 1) = INDEX($E$5:$CE$5, 1, (COLUMNS($DU50:EF50)-1)*5 + 1), INDEX($E$8:$CE$57, MATCH($C50, $C$8:$C$57, 0), (COLUMNS($DU50:EF50)-1)*5 + 4) = "SF"), INDEX($CZ$8:$CZ$23, COLUMNS($DU50:EF50)), "0"), "")</f>
        <v>0</v>
      </c>
      <c r="EG50" s="390" t="str">
        <f t="array" ref="EG50">IFERROR(IF(AND(INDEX($E$8:$CE$57, MATCH($C50, $C$8:$C$57, 0), (COLUMNS($DU50:EG50)-1)*5 + 1) = INDEX($E$5:$CE$5, 1, (COLUMNS($DU50:EG50)-1)*5 + 1), INDEX($E$8:$CE$57, MATCH($C50, $C$8:$C$57, 0), (COLUMNS($DU50:EG50)-1)*5 + 4) = "SF"), INDEX($CZ$8:$CZ$23, COLUMNS($DU50:EG50)), "0"), "")</f>
        <v>0</v>
      </c>
      <c r="EH50" s="390" t="str">
        <f t="array" ref="EH50">IFERROR(IF(AND(INDEX($E$8:$CE$57, MATCH($C50, $C$8:$C$57, 0), (COLUMNS($DU50:EH50)-1)*5 + 1) = INDEX($E$5:$CE$5, 1, (COLUMNS($DU50:EH50)-1)*5 + 1), INDEX($E$8:$CE$57, MATCH($C50, $C$8:$C$57, 0), (COLUMNS($DU50:EH50)-1)*5 + 4) = "SF"), INDEX($CZ$8:$CZ$23, COLUMNS($DU50:EH50)), "0"), "")</f>
        <v>0</v>
      </c>
      <c r="EI50" s="390" t="str">
        <f t="array" ref="EI50">IFERROR(IF(AND(INDEX($E$8:$CE$57, MATCH($C50, $C$8:$C$57, 0), (COLUMNS($DU50:EI50)-1)*5 + 1) = INDEX($E$5:$CE$5, 1, (COLUMNS($DU50:EI50)-1)*5 + 1), INDEX($E$8:$CE$57, MATCH($C50, $C$8:$C$57, 0), (COLUMNS($DU50:EI50)-1)*5 + 4) = "SF"), INDEX($CZ$8:$CZ$23, COLUMNS($DU50:EI50)), "0"), "")</f>
        <v>0</v>
      </c>
      <c r="EJ50" s="390" t="str">
        <f t="array" ref="EJ50">IFERROR(IF(AND(INDEX($E$8:$CE$57, MATCH($C50, $C$8:$C$57, 0), (COLUMNS($DU50:EJ50)-1)*5 + 1) = INDEX($E$5:$CE$5, 1, (COLUMNS($DU50:EJ50)-1)*5 + 1), INDEX($E$8:$CE$57, MATCH($C50, $C$8:$C$57, 0), (COLUMNS($DU50:EJ50)-1)*5 + 4) = "SF"), INDEX($CZ$8:$CZ$23, COLUMNS($DU50:EJ50)), "0"), "")</f>
        <v>0</v>
      </c>
    </row>
    <row r="51" spans="1:140" ht="20.100000000000001" customHeight="1" outlineLevel="1" x14ac:dyDescent="0.35">
      <c r="A51" s="515"/>
      <c r="B51" s="444">
        <f>IF(SEMANA2[[#This Row],[COD]]&lt;&gt;"",B50+1,"")</f>
        <v>44</v>
      </c>
      <c r="C51" s="554" t="s">
        <v>115</v>
      </c>
      <c r="D51" s="410" t="str">
        <f t="array" ref="D51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NO ENVIÓ</v>
      </c>
      <c r="E51" s="411"/>
      <c r="F51" s="413"/>
      <c r="G51" s="413"/>
      <c r="H51" s="413"/>
      <c r="I51" s="534">
        <f t="shared" si="18"/>
        <v>0</v>
      </c>
      <c r="J51" s="411"/>
      <c r="K51" s="413"/>
      <c r="L51" s="413"/>
      <c r="M51" s="413"/>
      <c r="N51" s="534">
        <f t="shared" si="19"/>
        <v>0</v>
      </c>
      <c r="O51" s="411"/>
      <c r="P51" s="413"/>
      <c r="Q51" s="413"/>
      <c r="R51" s="413"/>
      <c r="S51" s="534">
        <f t="shared" si="20"/>
        <v>0</v>
      </c>
      <c r="T51" s="411"/>
      <c r="U51" s="413"/>
      <c r="V51" s="413"/>
      <c r="W51" s="413"/>
      <c r="X51" s="534">
        <f t="shared" si="21"/>
        <v>0</v>
      </c>
      <c r="Y51" s="411"/>
      <c r="Z51" s="413"/>
      <c r="AA51" s="413"/>
      <c r="AB51" s="413"/>
      <c r="AC51" s="534">
        <f t="shared" si="22"/>
        <v>0</v>
      </c>
      <c r="AD51" s="411"/>
      <c r="AE51" s="413"/>
      <c r="AF51" s="413"/>
      <c r="AG51" s="413"/>
      <c r="AH51" s="534">
        <f t="shared" si="23"/>
        <v>0</v>
      </c>
      <c r="AI51" s="411"/>
      <c r="AJ51" s="413"/>
      <c r="AK51" s="413"/>
      <c r="AL51" s="413"/>
      <c r="AM51" s="534">
        <f t="shared" si="24"/>
        <v>0</v>
      </c>
      <c r="AN51" s="411"/>
      <c r="AO51" s="413"/>
      <c r="AP51" s="413"/>
      <c r="AQ51" s="413"/>
      <c r="AR51" s="534">
        <f t="shared" si="25"/>
        <v>0</v>
      </c>
      <c r="AS51" s="411"/>
      <c r="AT51" s="413"/>
      <c r="AU51" s="413"/>
      <c r="AV51" s="413"/>
      <c r="AW51" s="534">
        <f t="shared" si="26"/>
        <v>0</v>
      </c>
      <c r="AX51" s="411"/>
      <c r="AY51" s="413"/>
      <c r="AZ51" s="413"/>
      <c r="BA51" s="413"/>
      <c r="BB51" s="534">
        <f t="shared" si="27"/>
        <v>0</v>
      </c>
      <c r="BC51" s="411"/>
      <c r="BD51" s="413"/>
      <c r="BE51" s="413"/>
      <c r="BF51" s="413"/>
      <c r="BG51" s="534">
        <f t="shared" si="28"/>
        <v>0</v>
      </c>
      <c r="BH51" s="411"/>
      <c r="BI51" s="413"/>
      <c r="BJ51" s="413"/>
      <c r="BK51" s="413"/>
      <c r="BL51" s="534">
        <f t="shared" si="29"/>
        <v>0</v>
      </c>
      <c r="BM51" s="411"/>
      <c r="BN51" s="413"/>
      <c r="BO51" s="413"/>
      <c r="BP51" s="413"/>
      <c r="BQ51" s="534">
        <f t="shared" si="30"/>
        <v>0</v>
      </c>
      <c r="BR51" s="411"/>
      <c r="BS51" s="413"/>
      <c r="BT51" s="413"/>
      <c r="BU51" s="413"/>
      <c r="BV51" s="534">
        <f t="shared" si="31"/>
        <v>0</v>
      </c>
      <c r="BW51" s="411"/>
      <c r="BX51" s="413"/>
      <c r="BY51" s="413"/>
      <c r="BZ51" s="413"/>
      <c r="CA51" s="534">
        <f t="shared" si="32"/>
        <v>0</v>
      </c>
      <c r="CB51" s="411"/>
      <c r="CC51" s="413"/>
      <c r="CD51" s="413"/>
      <c r="CE51" s="413"/>
      <c r="CF51" s="534">
        <f t="shared" si="33"/>
        <v>0</v>
      </c>
      <c r="CG51" s="162">
        <f>IF(SEMANA2[[#This Row],[1]]="",0,$B$4)</f>
        <v>0</v>
      </c>
      <c r="CH51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0</v>
      </c>
      <c r="CI51" s="185">
        <f>IF(SEMANA2[[#This Row],[Columna14]]=0,0,(CH51/CG51))</f>
        <v>0</v>
      </c>
      <c r="CJ51" s="163">
        <f>IF(SEMANA2[[#This Row],[1]]="",0,$B$4)</f>
        <v>0</v>
      </c>
      <c r="CK51" s="186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0</v>
      </c>
      <c r="CL51" s="185">
        <f>IF(SEMANA2[[#This Row],[Columna14]]=0,0,(CK51/CJ51))</f>
        <v>0</v>
      </c>
      <c r="CM51" s="162">
        <f>IF(SEMANA2[[#This Row],[1]]="",0,$B$4)</f>
        <v>0</v>
      </c>
      <c r="CN51" s="186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0</v>
      </c>
      <c r="CO51" s="185">
        <f>IF(SEMANA2[[#This Row],[Columna14]]=0,0,(CN51/CM51))</f>
        <v>0</v>
      </c>
      <c r="CP51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0</v>
      </c>
      <c r="CQ51" s="186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Row],[Columna25]],$AX$5,BA51,"SF")+COUNTIFS(SEMANA2[[#This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0</v>
      </c>
      <c r="CR51" s="185">
        <f>IFERROR(IF(SEMANA2[[#This Row],[Columna14]]=0,0,(CQ51/CP51)),0)</f>
        <v>0</v>
      </c>
      <c r="CS51" s="539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0</v>
      </c>
      <c r="CT51" s="93">
        <f>_xlfn.XLOOKUP(SEMANA2[[#This Row],[COD]],BASE01[COD],BASE01[Columna33])</f>
        <v>0</v>
      </c>
      <c r="CU51" s="536">
        <f t="shared" si="34"/>
        <v>0</v>
      </c>
      <c r="CV51" s="445" t="str">
        <f>IF(SEMANA2[[#This Row],[TIPO]]="PREMIO",$O$3,"0,00")</f>
        <v>0,00</v>
      </c>
      <c r="CW51" s="515"/>
      <c r="CY51" s="387" t="str">
        <f t="shared" si="17"/>
        <v/>
      </c>
      <c r="CZ51" s="387"/>
      <c r="DA51" s="387" t="str">
        <f t="array" ref="DA51">IF(CZ51="", "", IF((INDEX(E$8:CE$57, MATCH(CZ51, C$8:C$57, 0), ($CZ$25-1)*5 + 1) &amp; "") = (INDEX(E$5:CE$5, 1, ($CZ$25-1)*5 + 1) &amp; ""), 1, IF((INDEX(E$8:CE$57, MATCH(CZ51, C$8:C$57, 0), ($CZ$25-1)*5 + 2) &amp; "") = (INDEX(E$5:CE$5, 1, ($CZ$25-1)*5 + 1) &amp; ""), 2, IF((INDEX(E$8:CE$57, MATCH(CZ51, C$8:C$57, 0), ($CZ$25-1)*5 + 3) &amp; "") = (INDEX(E$5:CE$5, 1, ($CZ$25-1)*5 + 1) &amp; ""), 3, ""))))</f>
        <v/>
      </c>
      <c r="DB51" s="537" t="str">
        <f>SEMANA2[[#This Row],[COD]]</f>
        <v>COD 44</v>
      </c>
      <c r="DC51" s="390" t="str">
        <f t="array" ref="DC51">IFERROR(IF(AND(INDEX($E$8:$CE$57, MATCH($C51, $C$8:$C$57, 0), (COLUMNS($DC51:DC51)-1)*5 + 1) = INDEX($E$5:$CE$5, 1, (COLUMNS($DC51:DC51)-1)*5 + 1), INDEX($E$8:$CE$57, MATCH($C51, $C$8:$C$57, 0), (COLUMNS($DC51:DC51)-1)*5 + 4) = "F"), INDEX($CZ$8:$CZ$23, COLUMNS($DC51:DC51)), "0"), "")</f>
        <v>0</v>
      </c>
      <c r="DD51" s="390" t="str">
        <f t="array" ref="DD51">IFERROR(IF(AND(INDEX($E$8:$CE$57, MATCH($C51, $C$8:$C$57, 0), (COLUMNS($DC51:DD51)-1)*5 + 1) = INDEX($E$5:$CE$5, 1, (COLUMNS($DC51:DD51)-1)*5 + 1), INDEX($E$8:$CE$57, MATCH($C51, $C$8:$C$57, 0), (COLUMNS($DC51:DD51)-1)*5 + 4) = "F"), INDEX($CZ$8:$CZ$23, COLUMNS($DC51:DD51)), "0"), "")</f>
        <v>0</v>
      </c>
      <c r="DE51" s="390" t="str">
        <f t="array" ref="DE51">IFERROR(IF(AND(INDEX($E$8:$CE$57, MATCH($C51, $C$8:$C$57, 0), (COLUMNS($DC51:DE51)-1)*5 + 1) = INDEX($E$5:$CE$5, 1, (COLUMNS($DC51:DE51)-1)*5 + 1), INDEX($E$8:$CE$57, MATCH($C51, $C$8:$C$57, 0), (COLUMNS($DC51:DE51)-1)*5 + 4) = "F"), INDEX($CZ$8:$CZ$23, COLUMNS($DC51:DE51)), "0"), "")</f>
        <v>0</v>
      </c>
      <c r="DF51" s="390" t="str">
        <f t="array" ref="DF51">IFERROR(IF(AND(INDEX($E$8:$CE$57, MATCH($C51, $C$8:$C$57, 0), (COLUMNS($DC51:DF51)-1)*5 + 1) = INDEX($E$5:$CE$5, 1, (COLUMNS($DC51:DF51)-1)*5 + 1), INDEX($E$8:$CE$57, MATCH($C51, $C$8:$C$57, 0), (COLUMNS($DC51:DF51)-1)*5 + 4) = "F"), INDEX($CZ$8:$CZ$23, COLUMNS($DC51:DF51)), "0"), "")</f>
        <v>0</v>
      </c>
      <c r="DG51" s="390" t="str">
        <f t="array" ref="DG51">IFERROR(IF(AND(INDEX($E$8:$CE$57, MATCH($C51, $C$8:$C$57, 0), (COLUMNS($DC51:DG51)-1)*5 + 1) = INDEX($E$5:$CE$5, 1, (COLUMNS($DC51:DG51)-1)*5 + 1), INDEX($E$8:$CE$57, MATCH($C51, $C$8:$C$57, 0), (COLUMNS($DC51:DG51)-1)*5 + 4) = "F"), INDEX($CZ$8:$CZ$23, COLUMNS($DC51:DG51)), "0"), "")</f>
        <v>0</v>
      </c>
      <c r="DH51" s="390" t="str">
        <f t="array" ref="DH51">IFERROR(IF(AND(INDEX($E$8:$CE$57, MATCH($C51, $C$8:$C$57, 0), (COLUMNS($DC51:DH51)-1)*5 + 1) = INDEX($E$5:$CE$5, 1, (COLUMNS($DC51:DH51)-1)*5 + 1), INDEX($E$8:$CE$57, MATCH($C51, $C$8:$C$57, 0), (COLUMNS($DC51:DH51)-1)*5 + 4) = "F"), INDEX($CZ$8:$CZ$23, COLUMNS($DC51:DH51)), "0"), "")</f>
        <v>0</v>
      </c>
      <c r="DI51" s="390" t="str">
        <f t="array" ref="DI51">IFERROR(IF(AND(INDEX($E$8:$CE$57, MATCH($C51, $C$8:$C$57, 0), (COLUMNS($DC51:DI51)-1)*5 + 1) = INDEX($E$5:$CE$5, 1, (COLUMNS($DC51:DI51)-1)*5 + 1), INDEX($E$8:$CE$57, MATCH($C51, $C$8:$C$57, 0), (COLUMNS($DC51:DI51)-1)*5 + 4) = "F"), INDEX($CZ$8:$CZ$23, COLUMNS($DC51:DI51)), "0"), "")</f>
        <v>0</v>
      </c>
      <c r="DJ51" s="390" t="str">
        <f t="array" ref="DJ51">IFERROR(IF(AND(INDEX($E$8:$CE$57, MATCH($C51, $C$8:$C$57, 0), (COLUMNS($DC51:DJ51)-1)*5 + 1) = INDEX($E$5:$CE$5, 1, (COLUMNS($DC51:DJ51)-1)*5 + 1), INDEX($E$8:$CE$57, MATCH($C51, $C$8:$C$57, 0), (COLUMNS($DC51:DJ51)-1)*5 + 4) = "F"), INDEX($CZ$8:$CZ$23, COLUMNS($DC51:DJ51)), "0"), "")</f>
        <v>0</v>
      </c>
      <c r="DK51" s="390" t="str">
        <f t="array" ref="DK51">IFERROR(IF(AND(INDEX($E$8:$CE$57, MATCH($C51, $C$8:$C$57, 0), (COLUMNS($DC51:DK51)-1)*5 + 1) = INDEX($E$5:$CE$5, 1, (COLUMNS($DC51:DK51)-1)*5 + 1), INDEX($E$8:$CE$57, MATCH($C51, $C$8:$C$57, 0), (COLUMNS($DC51:DK51)-1)*5 + 4) = "F"), INDEX($CZ$8:$CZ$23, COLUMNS($DC51:DK51)), "0"), "")</f>
        <v>0</v>
      </c>
      <c r="DL51" s="390" t="str">
        <f t="array" ref="DL51">IFERROR(IF(AND(INDEX($E$8:$CE$57, MATCH($C51, $C$8:$C$57, 0), (COLUMNS($DC51:DL51)-1)*5 + 1) = INDEX($E$5:$CE$5, 1, (COLUMNS($DC51:DL51)-1)*5 + 1), INDEX($E$8:$CE$57, MATCH($C51, $C$8:$C$57, 0), (COLUMNS($DC51:DL51)-1)*5 + 4) = "F"), INDEX($CZ$8:$CZ$23, COLUMNS($DC51:DL51)), "0"), "")</f>
        <v>0</v>
      </c>
      <c r="DM51" s="390" t="str">
        <f t="array" ref="DM51">IFERROR(IF(AND(INDEX($E$8:$CE$57, MATCH($C51, $C$8:$C$57, 0), (COLUMNS($DC51:DM51)-1)*5 + 1) = INDEX($E$5:$CE$5, 1, (COLUMNS($DC51:DM51)-1)*5 + 1), INDEX($E$8:$CE$57, MATCH($C51, $C$8:$C$57, 0), (COLUMNS($DC51:DM51)-1)*5 + 4) = "F"), INDEX($CZ$8:$CZ$23, COLUMNS($DC51:DM51)), "0"), "")</f>
        <v>0</v>
      </c>
      <c r="DN51" s="390" t="str">
        <f t="array" ref="DN51">IFERROR(IF(AND(INDEX($E$8:$CE$57, MATCH($C51, $C$8:$C$57, 0), (COLUMNS($DC51:DN51)-1)*5 + 1) = INDEX($E$5:$CE$5, 1, (COLUMNS($DC51:DN51)-1)*5 + 1), INDEX($E$8:$CE$57, MATCH($C51, $C$8:$C$57, 0), (COLUMNS($DC51:DN51)-1)*5 + 4) = "F"), INDEX($CZ$8:$CZ$23, COLUMNS($DC51:DN51)), "0"), "")</f>
        <v>0</v>
      </c>
      <c r="DO51" s="390" t="str">
        <f t="array" ref="DO51">IFERROR(IF(AND(INDEX($E$8:$CE$57, MATCH($C51, $C$8:$C$57, 0), (COLUMNS($DC51:DO51)-1)*5 + 1) = INDEX($E$5:$CE$5, 1, (COLUMNS($DC51:DO51)-1)*5 + 1), INDEX($E$8:$CE$57, MATCH($C51, $C$8:$C$57, 0), (COLUMNS($DC51:DO51)-1)*5 + 4) = "F"), INDEX($CZ$8:$CZ$23, COLUMNS($DC51:DO51)), "0"), "")</f>
        <v>0</v>
      </c>
      <c r="DP51" s="390" t="str">
        <f t="array" ref="DP51">IFERROR(IF(AND(INDEX($E$8:$CE$57, MATCH($C51, $C$8:$C$57, 0), (COLUMNS($DC51:DP51)-1)*5 + 1) = INDEX($E$5:$CE$5, 1, (COLUMNS($DC51:DP51)-1)*5 + 1), INDEX($E$8:$CE$57, MATCH($C51, $C$8:$C$57, 0), (COLUMNS($DC51:DP51)-1)*5 + 4) = "F"), INDEX($CZ$8:$CZ$23, COLUMNS($DC51:DP51)), "0"), "")</f>
        <v>0</v>
      </c>
      <c r="DQ51" s="390" t="str">
        <f t="array" ref="DQ51">IFERROR(IF(AND(INDEX($E$8:$CE$57, MATCH($C51, $C$8:$C$57, 0), (COLUMNS($DC51:DQ51)-1)*5 + 1) = INDEX($E$5:$CE$5, 1, (COLUMNS($DC51:DQ51)-1)*5 + 1), INDEX($E$8:$CE$57, MATCH($C51, $C$8:$C$57, 0), (COLUMNS($DC51:DQ51)-1)*5 + 4) = "F"), INDEX($CZ$8:$CZ$23, COLUMNS($DC51:DQ51)), "0"), "")</f>
        <v>0</v>
      </c>
      <c r="DR51" s="390" t="str">
        <f t="array" ref="DR51">IFERROR(IF(AND(INDEX($E$8:$CE$57, MATCH($C51, $C$8:$C$57, 0), (COLUMNS($DC51:DR51)-1)*5 + 1) = INDEX($E$5:$CE$5, 1, (COLUMNS($DC51:DR51)-1)*5 + 1), INDEX($E$8:$CE$57, MATCH($C51, $C$8:$C$57, 0), (COLUMNS($DC51:DR51)-1)*5 + 4) = "F"), INDEX($CZ$8:$CZ$23, COLUMNS($DC51:DR51)), "0"), "")</f>
        <v>0</v>
      </c>
      <c r="DT51" s="537" t="str">
        <f>SEMANA2[[#This Row],[COD]]</f>
        <v>COD 44</v>
      </c>
      <c r="DU51" s="390" t="str">
        <f t="array" ref="DU51">IFERROR(IF(AND(INDEX($E$8:$CE$57, MATCH($C51, $C$8:$C$57, 0), (COLUMNS($DU51:DU51)-1)*5 + 1) = INDEX($E$5:$CE$5, 1, (COLUMNS($DU51:DU51)-1)*5 + 1), INDEX($E$8:$CE$57, MATCH($C51, $C$8:$C$57, 0), (COLUMNS($DU51:DU51)-1)*5 + 4) = "SF"), INDEX($CZ$8:$CZ$23, COLUMNS($DU51:DU51)), "0"), "")</f>
        <v>0</v>
      </c>
      <c r="DV51" s="390" t="str">
        <f t="array" ref="DV51">IFERROR(IF(AND(INDEX($E$8:$CE$57, MATCH($C51, $C$8:$C$57, 0), (COLUMNS($DU51:DV51)-1)*5 + 1) = INDEX($E$5:$CE$5, 1, (COLUMNS($DU51:DV51)-1)*5 + 1), INDEX($E$8:$CE$57, MATCH($C51, $C$8:$C$57, 0), (COLUMNS($DU51:DV51)-1)*5 + 4) = "SF"), INDEX($CZ$8:$CZ$23, COLUMNS($DU51:DV51)), "0"), "")</f>
        <v>0</v>
      </c>
      <c r="DW51" s="390" t="str">
        <f t="array" ref="DW51">IFERROR(IF(AND(INDEX($E$8:$CE$57, MATCH($C51, $C$8:$C$57, 0), (COLUMNS($DU51:DW51)-1)*5 + 1) = INDEX($E$5:$CE$5, 1, (COLUMNS($DU51:DW51)-1)*5 + 1), INDEX($E$8:$CE$57, MATCH($C51, $C$8:$C$57, 0), (COLUMNS($DU51:DW51)-1)*5 + 4) = "SF"), INDEX($CZ$8:$CZ$23, COLUMNS($DU51:DW51)), "0"), "")</f>
        <v>0</v>
      </c>
      <c r="DX51" s="390" t="str">
        <f t="array" ref="DX51">IFERROR(IF(AND(INDEX($E$8:$CE$57, MATCH($C51, $C$8:$C$57, 0), (COLUMNS($DU51:DX51)-1)*5 + 1) = INDEX($E$5:$CE$5, 1, (COLUMNS($DU51:DX51)-1)*5 + 1), INDEX($E$8:$CE$57, MATCH($C51, $C$8:$C$57, 0), (COLUMNS($DU51:DX51)-1)*5 + 4) = "SF"), INDEX($CZ$8:$CZ$23, COLUMNS($DU51:DX51)), "0"), "")</f>
        <v>0</v>
      </c>
      <c r="DY51" s="390" t="str">
        <f t="array" ref="DY51">IFERROR(IF(AND(INDEX($E$8:$CE$57, MATCH($C51, $C$8:$C$57, 0), (COLUMNS($DU51:DY51)-1)*5 + 1) = INDEX($E$5:$CE$5, 1, (COLUMNS($DU51:DY51)-1)*5 + 1), INDEX($E$8:$CE$57, MATCH($C51, $C$8:$C$57, 0), (COLUMNS($DU51:DY51)-1)*5 + 4) = "SF"), INDEX($CZ$8:$CZ$23, COLUMNS($DU51:DY51)), "0"), "")</f>
        <v>0</v>
      </c>
      <c r="DZ51" s="390" t="str">
        <f t="array" ref="DZ51">IFERROR(IF(AND(INDEX($E$8:$CE$57, MATCH($C51, $C$8:$C$57, 0), (COLUMNS($DU51:DZ51)-1)*5 + 1) = INDEX($E$5:$CE$5, 1, (COLUMNS($DU51:DZ51)-1)*5 + 1), INDEX($E$8:$CE$57, MATCH($C51, $C$8:$C$57, 0), (COLUMNS($DU51:DZ51)-1)*5 + 4) = "SF"), INDEX($CZ$8:$CZ$23, COLUMNS($DU51:DZ51)), "0"), "")</f>
        <v>0</v>
      </c>
      <c r="EA51" s="390" t="str">
        <f t="array" ref="EA51">IFERROR(IF(AND(INDEX($E$8:$CE$57, MATCH($C51, $C$8:$C$57, 0), (COLUMNS($DU51:EA51)-1)*5 + 1) = INDEX($E$5:$CE$5, 1, (COLUMNS($DU51:EA51)-1)*5 + 1), INDEX($E$8:$CE$57, MATCH($C51, $C$8:$C$57, 0), (COLUMNS($DU51:EA51)-1)*5 + 4) = "SF"), INDEX($CZ$8:$CZ$23, COLUMNS($DU51:EA51)), "0"), "")</f>
        <v>0</v>
      </c>
      <c r="EB51" s="390" t="str">
        <f t="array" ref="EB51">IFERROR(IF(AND(INDEX($E$8:$CE$57, MATCH($C51, $C$8:$C$57, 0), (COLUMNS($DU51:EB51)-1)*5 + 1) = INDEX($E$5:$CE$5, 1, (COLUMNS($DU51:EB51)-1)*5 + 1), INDEX($E$8:$CE$57, MATCH($C51, $C$8:$C$57, 0), (COLUMNS($DU51:EB51)-1)*5 + 4) = "SF"), INDEX($CZ$8:$CZ$23, COLUMNS($DU51:EB51)), "0"), "")</f>
        <v>0</v>
      </c>
      <c r="EC51" s="390" t="str">
        <f t="array" ref="EC51">IFERROR(IF(AND(INDEX($E$8:$CE$57, MATCH($C51, $C$8:$C$57, 0), (COLUMNS($DU51:EC51)-1)*5 + 1) = INDEX($E$5:$CE$5, 1, (COLUMNS($DU51:EC51)-1)*5 + 1), INDEX($E$8:$CE$57, MATCH($C51, $C$8:$C$57, 0), (COLUMNS($DU51:EC51)-1)*5 + 4) = "SF"), INDEX($CZ$8:$CZ$23, COLUMNS($DU51:EC51)), "0"), "")</f>
        <v>0</v>
      </c>
      <c r="ED51" s="390" t="str">
        <f t="array" ref="ED51">IFERROR(IF(AND(INDEX($E$8:$CE$57, MATCH($C51, $C$8:$C$57, 0), (COLUMNS($DU51:ED51)-1)*5 + 1) = INDEX($E$5:$CE$5, 1, (COLUMNS($DU51:ED51)-1)*5 + 1), INDEX($E$8:$CE$57, MATCH($C51, $C$8:$C$57, 0), (COLUMNS($DU51:ED51)-1)*5 + 4) = "SF"), INDEX($CZ$8:$CZ$23, COLUMNS($DU51:ED51)), "0"), "")</f>
        <v>0</v>
      </c>
      <c r="EE51" s="390" t="str">
        <f t="array" ref="EE51">IFERROR(IF(AND(INDEX($E$8:$CE$57, MATCH($C51, $C$8:$C$57, 0), (COLUMNS($DU51:EE51)-1)*5 + 1) = INDEX($E$5:$CE$5, 1, (COLUMNS($DU51:EE51)-1)*5 + 1), INDEX($E$8:$CE$57, MATCH($C51, $C$8:$C$57, 0), (COLUMNS($DU51:EE51)-1)*5 + 4) = "SF"), INDEX($CZ$8:$CZ$23, COLUMNS($DU51:EE51)), "0"), "")</f>
        <v>0</v>
      </c>
      <c r="EF51" s="390" t="str">
        <f t="array" ref="EF51">IFERROR(IF(AND(INDEX($E$8:$CE$57, MATCH($C51, $C$8:$C$57, 0), (COLUMNS($DU51:EF51)-1)*5 + 1) = INDEX($E$5:$CE$5, 1, (COLUMNS($DU51:EF51)-1)*5 + 1), INDEX($E$8:$CE$57, MATCH($C51, $C$8:$C$57, 0), (COLUMNS($DU51:EF51)-1)*5 + 4) = "SF"), INDEX($CZ$8:$CZ$23, COLUMNS($DU51:EF51)), "0"), "")</f>
        <v>0</v>
      </c>
      <c r="EG51" s="390" t="str">
        <f t="array" ref="EG51">IFERROR(IF(AND(INDEX($E$8:$CE$57, MATCH($C51, $C$8:$C$57, 0), (COLUMNS($DU51:EG51)-1)*5 + 1) = INDEX($E$5:$CE$5, 1, (COLUMNS($DU51:EG51)-1)*5 + 1), INDEX($E$8:$CE$57, MATCH($C51, $C$8:$C$57, 0), (COLUMNS($DU51:EG51)-1)*5 + 4) = "SF"), INDEX($CZ$8:$CZ$23, COLUMNS($DU51:EG51)), "0"), "")</f>
        <v>0</v>
      </c>
      <c r="EH51" s="390" t="str">
        <f t="array" ref="EH51">IFERROR(IF(AND(INDEX($E$8:$CE$57, MATCH($C51, $C$8:$C$57, 0), (COLUMNS($DU51:EH51)-1)*5 + 1) = INDEX($E$5:$CE$5, 1, (COLUMNS($DU51:EH51)-1)*5 + 1), INDEX($E$8:$CE$57, MATCH($C51, $C$8:$C$57, 0), (COLUMNS($DU51:EH51)-1)*5 + 4) = "SF"), INDEX($CZ$8:$CZ$23, COLUMNS($DU51:EH51)), "0"), "")</f>
        <v>0</v>
      </c>
      <c r="EI51" s="390" t="str">
        <f t="array" ref="EI51">IFERROR(IF(AND(INDEX($E$8:$CE$57, MATCH($C51, $C$8:$C$57, 0), (COLUMNS($DU51:EI51)-1)*5 + 1) = INDEX($E$5:$CE$5, 1, (COLUMNS($DU51:EI51)-1)*5 + 1), INDEX($E$8:$CE$57, MATCH($C51, $C$8:$C$57, 0), (COLUMNS($DU51:EI51)-1)*5 + 4) = "SF"), INDEX($CZ$8:$CZ$23, COLUMNS($DU51:EI51)), "0"), "")</f>
        <v>0</v>
      </c>
      <c r="EJ51" s="390" t="str">
        <f t="array" ref="EJ51">IFERROR(IF(AND(INDEX($E$8:$CE$57, MATCH($C51, $C$8:$C$57, 0), (COLUMNS($DU51:EJ51)-1)*5 + 1) = INDEX($E$5:$CE$5, 1, (COLUMNS($DU51:EJ51)-1)*5 + 1), INDEX($E$8:$CE$57, MATCH($C51, $C$8:$C$57, 0), (COLUMNS($DU51:EJ51)-1)*5 + 4) = "SF"), INDEX($CZ$8:$CZ$23, COLUMNS($DU51:EJ51)), "0"), "")</f>
        <v>0</v>
      </c>
    </row>
    <row r="52" spans="1:140" ht="20.100000000000001" customHeight="1" outlineLevel="1" x14ac:dyDescent="0.35">
      <c r="A52" s="515"/>
      <c r="B52" s="444">
        <f>IF(SEMANA2[[#This Row],[COD]]&lt;&gt;"",B51+1,"")</f>
        <v>45</v>
      </c>
      <c r="C52" s="554" t="s">
        <v>116</v>
      </c>
      <c r="D52" s="410" t="str">
        <f t="array" ref="D52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PREMIO</v>
      </c>
      <c r="E52" s="411"/>
      <c r="F52" s="413"/>
      <c r="G52" s="413"/>
      <c r="H52" s="413"/>
      <c r="I52" s="534">
        <f t="shared" si="18"/>
        <v>0</v>
      </c>
      <c r="J52" s="411"/>
      <c r="K52" s="413"/>
      <c r="L52" s="413"/>
      <c r="M52" s="413"/>
      <c r="N52" s="534">
        <f t="shared" si="19"/>
        <v>0</v>
      </c>
      <c r="O52" s="411"/>
      <c r="P52" s="413"/>
      <c r="Q52" s="413"/>
      <c r="R52" s="413"/>
      <c r="S52" s="534">
        <f t="shared" si="20"/>
        <v>0</v>
      </c>
      <c r="T52" s="411"/>
      <c r="U52" s="413"/>
      <c r="V52" s="413"/>
      <c r="W52" s="413"/>
      <c r="X52" s="534">
        <f t="shared" si="21"/>
        <v>0</v>
      </c>
      <c r="Y52" s="411"/>
      <c r="Z52" s="413"/>
      <c r="AA52" s="413"/>
      <c r="AB52" s="413"/>
      <c r="AC52" s="534">
        <f t="shared" si="22"/>
        <v>0</v>
      </c>
      <c r="AD52" s="411"/>
      <c r="AE52" s="413"/>
      <c r="AF52" s="413"/>
      <c r="AG52" s="413"/>
      <c r="AH52" s="534">
        <f t="shared" si="23"/>
        <v>0</v>
      </c>
      <c r="AI52" s="411"/>
      <c r="AJ52" s="413"/>
      <c r="AK52" s="413"/>
      <c r="AL52" s="413"/>
      <c r="AM52" s="534">
        <f t="shared" si="24"/>
        <v>0</v>
      </c>
      <c r="AN52" s="411"/>
      <c r="AO52" s="413"/>
      <c r="AP52" s="413"/>
      <c r="AQ52" s="413"/>
      <c r="AR52" s="534">
        <f t="shared" si="25"/>
        <v>0</v>
      </c>
      <c r="AS52" s="411"/>
      <c r="AT52" s="413"/>
      <c r="AU52" s="413"/>
      <c r="AV52" s="413"/>
      <c r="AW52" s="534">
        <f t="shared" si="26"/>
        <v>0</v>
      </c>
      <c r="AX52" s="411"/>
      <c r="AY52" s="413"/>
      <c r="AZ52" s="413"/>
      <c r="BA52" s="413"/>
      <c r="BB52" s="534">
        <f t="shared" si="27"/>
        <v>0</v>
      </c>
      <c r="BC52" s="411"/>
      <c r="BD52" s="413"/>
      <c r="BE52" s="413"/>
      <c r="BF52" s="413"/>
      <c r="BG52" s="534">
        <f t="shared" si="28"/>
        <v>0</v>
      </c>
      <c r="BH52" s="411"/>
      <c r="BI52" s="413"/>
      <c r="BJ52" s="413"/>
      <c r="BK52" s="413"/>
      <c r="BL52" s="534">
        <f t="shared" si="29"/>
        <v>0</v>
      </c>
      <c r="BM52" s="411"/>
      <c r="BN52" s="413"/>
      <c r="BO52" s="413"/>
      <c r="BP52" s="413"/>
      <c r="BQ52" s="534">
        <f t="shared" si="30"/>
        <v>0</v>
      </c>
      <c r="BR52" s="411"/>
      <c r="BS52" s="413"/>
      <c r="BT52" s="413"/>
      <c r="BU52" s="413"/>
      <c r="BV52" s="534">
        <f t="shared" si="31"/>
        <v>0</v>
      </c>
      <c r="BW52" s="411"/>
      <c r="BX52" s="413"/>
      <c r="BY52" s="413"/>
      <c r="BZ52" s="413"/>
      <c r="CA52" s="534">
        <f t="shared" si="32"/>
        <v>0</v>
      </c>
      <c r="CB52" s="411"/>
      <c r="CC52" s="413"/>
      <c r="CD52" s="413"/>
      <c r="CE52" s="413"/>
      <c r="CF52" s="534">
        <f t="shared" si="33"/>
        <v>0</v>
      </c>
      <c r="CG52" s="162">
        <f>IF(SEMANA2[[#This Row],[1]]="",0,$B$4)</f>
        <v>0</v>
      </c>
      <c r="CH52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0</v>
      </c>
      <c r="CI52" s="185">
        <f>IF(SEMANA2[[#This Row],[Columna14]]=0,0,(CH52/CG52))</f>
        <v>0</v>
      </c>
      <c r="CJ52" s="163">
        <f>IF(SEMANA2[[#This Row],[1]]="",0,$B$4)</f>
        <v>0</v>
      </c>
      <c r="CK52" s="186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0</v>
      </c>
      <c r="CL52" s="185">
        <f>IF(SEMANA2[[#This Row],[Columna14]]=0,0,(CK52/CJ52))</f>
        <v>0</v>
      </c>
      <c r="CM52" s="162">
        <f>IF(SEMANA2[[#This Row],[1]]="",0,$B$4)</f>
        <v>0</v>
      </c>
      <c r="CN52" s="186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0</v>
      </c>
      <c r="CO52" s="185">
        <f>IF(SEMANA2[[#This Row],[Columna14]]=0,0,(CN52/CM52))</f>
        <v>0</v>
      </c>
      <c r="CP52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0</v>
      </c>
      <c r="CQ52" s="186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Row],[Columna25]],$AX$5,BA52,"SF")+COUNTIFS(SEMANA2[[#This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0</v>
      </c>
      <c r="CR52" s="185">
        <f>IFERROR(IF(SEMANA2[[#This Row],[Columna14]]=0,0,(CQ52/CP52)),0)</f>
        <v>0</v>
      </c>
      <c r="CS52" s="539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0</v>
      </c>
      <c r="CT52" s="93">
        <f>_xlfn.XLOOKUP(SEMANA2[[#This Row],[COD]],BASE01[COD],BASE01[Columna33])</f>
        <v>0</v>
      </c>
      <c r="CU52" s="536">
        <f t="shared" si="34"/>
        <v>0</v>
      </c>
      <c r="CV52" s="445">
        <f>IF(SEMANA2[[#This Row],[TIPO]]="PREMIO",$O$3,"0,00")</f>
        <v>1000</v>
      </c>
      <c r="CW52" s="515"/>
      <c r="CY52" s="387" t="str">
        <f t="shared" si="17"/>
        <v/>
      </c>
      <c r="CZ52" s="387"/>
      <c r="DA52" s="387" t="str">
        <f t="array" ref="DA52">IF(CZ52="", "", IF((INDEX(E$8:CE$57, MATCH(CZ52, C$8:C$57, 0), ($CZ$25-1)*5 + 1) &amp; "") = (INDEX(E$5:CE$5, 1, ($CZ$25-1)*5 + 1) &amp; ""), 1, IF((INDEX(E$8:CE$57, MATCH(CZ52, C$8:C$57, 0), ($CZ$25-1)*5 + 2) &amp; "") = (INDEX(E$5:CE$5, 1, ($CZ$25-1)*5 + 1) &amp; ""), 2, IF((INDEX(E$8:CE$57, MATCH(CZ52, C$8:C$57, 0), ($CZ$25-1)*5 + 3) &amp; "") = (INDEX(E$5:CE$5, 1, ($CZ$25-1)*5 + 1) &amp; ""), 3, ""))))</f>
        <v/>
      </c>
      <c r="DB52" s="537" t="str">
        <f>SEMANA2[[#This Row],[COD]]</f>
        <v>COD 45</v>
      </c>
      <c r="DC52" s="390" t="str">
        <f t="array" ref="DC52">IFERROR(IF(AND(INDEX($E$8:$CE$57, MATCH($C52, $C$8:$C$57, 0), (COLUMNS($DC52:DC52)-1)*5 + 1) = INDEX($E$5:$CE$5, 1, (COLUMNS($DC52:DC52)-1)*5 + 1), INDEX($E$8:$CE$57, MATCH($C52, $C$8:$C$57, 0), (COLUMNS($DC52:DC52)-1)*5 + 4) = "F"), INDEX($CZ$8:$CZ$23, COLUMNS($DC52:DC52)), "0"), "")</f>
        <v>0</v>
      </c>
      <c r="DD52" s="390" t="str">
        <f t="array" ref="DD52">IFERROR(IF(AND(INDEX($E$8:$CE$57, MATCH($C52, $C$8:$C$57, 0), (COLUMNS($DC52:DD52)-1)*5 + 1) = INDEX($E$5:$CE$5, 1, (COLUMNS($DC52:DD52)-1)*5 + 1), INDEX($E$8:$CE$57, MATCH($C52, $C$8:$C$57, 0), (COLUMNS($DC52:DD52)-1)*5 + 4) = "F"), INDEX($CZ$8:$CZ$23, COLUMNS($DC52:DD52)), "0"), "")</f>
        <v>0</v>
      </c>
      <c r="DE52" s="390" t="str">
        <f t="array" ref="DE52">IFERROR(IF(AND(INDEX($E$8:$CE$57, MATCH($C52, $C$8:$C$57, 0), (COLUMNS($DC52:DE52)-1)*5 + 1) = INDEX($E$5:$CE$5, 1, (COLUMNS($DC52:DE52)-1)*5 + 1), INDEX($E$8:$CE$57, MATCH($C52, $C$8:$C$57, 0), (COLUMNS($DC52:DE52)-1)*5 + 4) = "F"), INDEX($CZ$8:$CZ$23, COLUMNS($DC52:DE52)), "0"), "")</f>
        <v>0</v>
      </c>
      <c r="DF52" s="390" t="str">
        <f t="array" ref="DF52">IFERROR(IF(AND(INDEX($E$8:$CE$57, MATCH($C52, $C$8:$C$57, 0), (COLUMNS($DC52:DF52)-1)*5 + 1) = INDEX($E$5:$CE$5, 1, (COLUMNS($DC52:DF52)-1)*5 + 1), INDEX($E$8:$CE$57, MATCH($C52, $C$8:$C$57, 0), (COLUMNS($DC52:DF52)-1)*5 + 4) = "F"), INDEX($CZ$8:$CZ$23, COLUMNS($DC52:DF52)), "0"), "")</f>
        <v>0</v>
      </c>
      <c r="DG52" s="390" t="str">
        <f t="array" ref="DG52">IFERROR(IF(AND(INDEX($E$8:$CE$57, MATCH($C52, $C$8:$C$57, 0), (COLUMNS($DC52:DG52)-1)*5 + 1) = INDEX($E$5:$CE$5, 1, (COLUMNS($DC52:DG52)-1)*5 + 1), INDEX($E$8:$CE$57, MATCH($C52, $C$8:$C$57, 0), (COLUMNS($DC52:DG52)-1)*5 + 4) = "F"), INDEX($CZ$8:$CZ$23, COLUMNS($DC52:DG52)), "0"), "")</f>
        <v>0</v>
      </c>
      <c r="DH52" s="390" t="str">
        <f t="array" ref="DH52">IFERROR(IF(AND(INDEX($E$8:$CE$57, MATCH($C52, $C$8:$C$57, 0), (COLUMNS($DC52:DH52)-1)*5 + 1) = INDEX($E$5:$CE$5, 1, (COLUMNS($DC52:DH52)-1)*5 + 1), INDEX($E$8:$CE$57, MATCH($C52, $C$8:$C$57, 0), (COLUMNS($DC52:DH52)-1)*5 + 4) = "F"), INDEX($CZ$8:$CZ$23, COLUMNS($DC52:DH52)), "0"), "")</f>
        <v>0</v>
      </c>
      <c r="DI52" s="390" t="str">
        <f t="array" ref="DI52">IFERROR(IF(AND(INDEX($E$8:$CE$57, MATCH($C52, $C$8:$C$57, 0), (COLUMNS($DC52:DI52)-1)*5 + 1) = INDEX($E$5:$CE$5, 1, (COLUMNS($DC52:DI52)-1)*5 + 1), INDEX($E$8:$CE$57, MATCH($C52, $C$8:$C$57, 0), (COLUMNS($DC52:DI52)-1)*5 + 4) = "F"), INDEX($CZ$8:$CZ$23, COLUMNS($DC52:DI52)), "0"), "")</f>
        <v>0</v>
      </c>
      <c r="DJ52" s="390" t="str">
        <f t="array" ref="DJ52">IFERROR(IF(AND(INDEX($E$8:$CE$57, MATCH($C52, $C$8:$C$57, 0), (COLUMNS($DC52:DJ52)-1)*5 + 1) = INDEX($E$5:$CE$5, 1, (COLUMNS($DC52:DJ52)-1)*5 + 1), INDEX($E$8:$CE$57, MATCH($C52, $C$8:$C$57, 0), (COLUMNS($DC52:DJ52)-1)*5 + 4) = "F"), INDEX($CZ$8:$CZ$23, COLUMNS($DC52:DJ52)), "0"), "")</f>
        <v>0</v>
      </c>
      <c r="DK52" s="390" t="str">
        <f t="array" ref="DK52">IFERROR(IF(AND(INDEX($E$8:$CE$57, MATCH($C52, $C$8:$C$57, 0), (COLUMNS($DC52:DK52)-1)*5 + 1) = INDEX($E$5:$CE$5, 1, (COLUMNS($DC52:DK52)-1)*5 + 1), INDEX($E$8:$CE$57, MATCH($C52, $C$8:$C$57, 0), (COLUMNS($DC52:DK52)-1)*5 + 4) = "F"), INDEX($CZ$8:$CZ$23, COLUMNS($DC52:DK52)), "0"), "")</f>
        <v>0</v>
      </c>
      <c r="DL52" s="390" t="str">
        <f t="array" ref="DL52">IFERROR(IF(AND(INDEX($E$8:$CE$57, MATCH($C52, $C$8:$C$57, 0), (COLUMNS($DC52:DL52)-1)*5 + 1) = INDEX($E$5:$CE$5, 1, (COLUMNS($DC52:DL52)-1)*5 + 1), INDEX($E$8:$CE$57, MATCH($C52, $C$8:$C$57, 0), (COLUMNS($DC52:DL52)-1)*5 + 4) = "F"), INDEX($CZ$8:$CZ$23, COLUMNS($DC52:DL52)), "0"), "")</f>
        <v>0</v>
      </c>
      <c r="DM52" s="390" t="str">
        <f t="array" ref="DM52">IFERROR(IF(AND(INDEX($E$8:$CE$57, MATCH($C52, $C$8:$C$57, 0), (COLUMNS($DC52:DM52)-1)*5 + 1) = INDEX($E$5:$CE$5, 1, (COLUMNS($DC52:DM52)-1)*5 + 1), INDEX($E$8:$CE$57, MATCH($C52, $C$8:$C$57, 0), (COLUMNS($DC52:DM52)-1)*5 + 4) = "F"), INDEX($CZ$8:$CZ$23, COLUMNS($DC52:DM52)), "0"), "")</f>
        <v>0</v>
      </c>
      <c r="DN52" s="390" t="str">
        <f t="array" ref="DN52">IFERROR(IF(AND(INDEX($E$8:$CE$57, MATCH($C52, $C$8:$C$57, 0), (COLUMNS($DC52:DN52)-1)*5 + 1) = INDEX($E$5:$CE$5, 1, (COLUMNS($DC52:DN52)-1)*5 + 1), INDEX($E$8:$CE$57, MATCH($C52, $C$8:$C$57, 0), (COLUMNS($DC52:DN52)-1)*5 + 4) = "F"), INDEX($CZ$8:$CZ$23, COLUMNS($DC52:DN52)), "0"), "")</f>
        <v>0</v>
      </c>
      <c r="DO52" s="390" t="str">
        <f t="array" ref="DO52">IFERROR(IF(AND(INDEX($E$8:$CE$57, MATCH($C52, $C$8:$C$57, 0), (COLUMNS($DC52:DO52)-1)*5 + 1) = INDEX($E$5:$CE$5, 1, (COLUMNS($DC52:DO52)-1)*5 + 1), INDEX($E$8:$CE$57, MATCH($C52, $C$8:$C$57, 0), (COLUMNS($DC52:DO52)-1)*5 + 4) = "F"), INDEX($CZ$8:$CZ$23, COLUMNS($DC52:DO52)), "0"), "")</f>
        <v>0</v>
      </c>
      <c r="DP52" s="390" t="str">
        <f t="array" ref="DP52">IFERROR(IF(AND(INDEX($E$8:$CE$57, MATCH($C52, $C$8:$C$57, 0), (COLUMNS($DC52:DP52)-1)*5 + 1) = INDEX($E$5:$CE$5, 1, (COLUMNS($DC52:DP52)-1)*5 + 1), INDEX($E$8:$CE$57, MATCH($C52, $C$8:$C$57, 0), (COLUMNS($DC52:DP52)-1)*5 + 4) = "F"), INDEX($CZ$8:$CZ$23, COLUMNS($DC52:DP52)), "0"), "")</f>
        <v>0</v>
      </c>
      <c r="DQ52" s="390" t="str">
        <f t="array" ref="DQ52">IFERROR(IF(AND(INDEX($E$8:$CE$57, MATCH($C52, $C$8:$C$57, 0), (COLUMNS($DC52:DQ52)-1)*5 + 1) = INDEX($E$5:$CE$5, 1, (COLUMNS($DC52:DQ52)-1)*5 + 1), INDEX($E$8:$CE$57, MATCH($C52, $C$8:$C$57, 0), (COLUMNS($DC52:DQ52)-1)*5 + 4) = "F"), INDEX($CZ$8:$CZ$23, COLUMNS($DC52:DQ52)), "0"), "")</f>
        <v>0</v>
      </c>
      <c r="DR52" s="390" t="str">
        <f t="array" ref="DR52">IFERROR(IF(AND(INDEX($E$8:$CE$57, MATCH($C52, $C$8:$C$57, 0), (COLUMNS($DC52:DR52)-1)*5 + 1) = INDEX($E$5:$CE$5, 1, (COLUMNS($DC52:DR52)-1)*5 + 1), INDEX($E$8:$CE$57, MATCH($C52, $C$8:$C$57, 0), (COLUMNS($DC52:DR52)-1)*5 + 4) = "F"), INDEX($CZ$8:$CZ$23, COLUMNS($DC52:DR52)), "0"), "")</f>
        <v>0</v>
      </c>
      <c r="DT52" s="537" t="str">
        <f>SEMANA2[[#This Row],[COD]]</f>
        <v>COD 45</v>
      </c>
      <c r="DU52" s="390" t="str">
        <f t="array" ref="DU52">IFERROR(IF(AND(INDEX($E$8:$CE$57, MATCH($C52, $C$8:$C$57, 0), (COLUMNS($DU52:DU52)-1)*5 + 1) = INDEX($E$5:$CE$5, 1, (COLUMNS($DU52:DU52)-1)*5 + 1), INDEX($E$8:$CE$57, MATCH($C52, $C$8:$C$57, 0), (COLUMNS($DU52:DU52)-1)*5 + 4) = "SF"), INDEX($CZ$8:$CZ$23, COLUMNS($DU52:DU52)), "0"), "")</f>
        <v>0</v>
      </c>
      <c r="DV52" s="390" t="str">
        <f t="array" ref="DV52">IFERROR(IF(AND(INDEX($E$8:$CE$57, MATCH($C52, $C$8:$C$57, 0), (COLUMNS($DU52:DV52)-1)*5 + 1) = INDEX($E$5:$CE$5, 1, (COLUMNS($DU52:DV52)-1)*5 + 1), INDEX($E$8:$CE$57, MATCH($C52, $C$8:$C$57, 0), (COLUMNS($DU52:DV52)-1)*5 + 4) = "SF"), INDEX($CZ$8:$CZ$23, COLUMNS($DU52:DV52)), "0"), "")</f>
        <v>0</v>
      </c>
      <c r="DW52" s="390" t="str">
        <f t="array" ref="DW52">IFERROR(IF(AND(INDEX($E$8:$CE$57, MATCH($C52, $C$8:$C$57, 0), (COLUMNS($DU52:DW52)-1)*5 + 1) = INDEX($E$5:$CE$5, 1, (COLUMNS($DU52:DW52)-1)*5 + 1), INDEX($E$8:$CE$57, MATCH($C52, $C$8:$C$57, 0), (COLUMNS($DU52:DW52)-1)*5 + 4) = "SF"), INDEX($CZ$8:$CZ$23, COLUMNS($DU52:DW52)), "0"), "")</f>
        <v>0</v>
      </c>
      <c r="DX52" s="390" t="str">
        <f t="array" ref="DX52">IFERROR(IF(AND(INDEX($E$8:$CE$57, MATCH($C52, $C$8:$C$57, 0), (COLUMNS($DU52:DX52)-1)*5 + 1) = INDEX($E$5:$CE$5, 1, (COLUMNS($DU52:DX52)-1)*5 + 1), INDEX($E$8:$CE$57, MATCH($C52, $C$8:$C$57, 0), (COLUMNS($DU52:DX52)-1)*5 + 4) = "SF"), INDEX($CZ$8:$CZ$23, COLUMNS($DU52:DX52)), "0"), "")</f>
        <v>0</v>
      </c>
      <c r="DY52" s="390" t="str">
        <f t="array" ref="DY52">IFERROR(IF(AND(INDEX($E$8:$CE$57, MATCH($C52, $C$8:$C$57, 0), (COLUMNS($DU52:DY52)-1)*5 + 1) = INDEX($E$5:$CE$5, 1, (COLUMNS($DU52:DY52)-1)*5 + 1), INDEX($E$8:$CE$57, MATCH($C52, $C$8:$C$57, 0), (COLUMNS($DU52:DY52)-1)*5 + 4) = "SF"), INDEX($CZ$8:$CZ$23, COLUMNS($DU52:DY52)), "0"), "")</f>
        <v>0</v>
      </c>
      <c r="DZ52" s="390" t="str">
        <f t="array" ref="DZ52">IFERROR(IF(AND(INDEX($E$8:$CE$57, MATCH($C52, $C$8:$C$57, 0), (COLUMNS($DU52:DZ52)-1)*5 + 1) = INDEX($E$5:$CE$5, 1, (COLUMNS($DU52:DZ52)-1)*5 + 1), INDEX($E$8:$CE$57, MATCH($C52, $C$8:$C$57, 0), (COLUMNS($DU52:DZ52)-1)*5 + 4) = "SF"), INDEX($CZ$8:$CZ$23, COLUMNS($DU52:DZ52)), "0"), "")</f>
        <v>0</v>
      </c>
      <c r="EA52" s="390" t="str">
        <f t="array" ref="EA52">IFERROR(IF(AND(INDEX($E$8:$CE$57, MATCH($C52, $C$8:$C$57, 0), (COLUMNS($DU52:EA52)-1)*5 + 1) = INDEX($E$5:$CE$5, 1, (COLUMNS($DU52:EA52)-1)*5 + 1), INDEX($E$8:$CE$57, MATCH($C52, $C$8:$C$57, 0), (COLUMNS($DU52:EA52)-1)*5 + 4) = "SF"), INDEX($CZ$8:$CZ$23, COLUMNS($DU52:EA52)), "0"), "")</f>
        <v>0</v>
      </c>
      <c r="EB52" s="390" t="str">
        <f t="array" ref="EB52">IFERROR(IF(AND(INDEX($E$8:$CE$57, MATCH($C52, $C$8:$C$57, 0), (COLUMNS($DU52:EB52)-1)*5 + 1) = INDEX($E$5:$CE$5, 1, (COLUMNS($DU52:EB52)-1)*5 + 1), INDEX($E$8:$CE$57, MATCH($C52, $C$8:$C$57, 0), (COLUMNS($DU52:EB52)-1)*5 + 4) = "SF"), INDEX($CZ$8:$CZ$23, COLUMNS($DU52:EB52)), "0"), "")</f>
        <v>0</v>
      </c>
      <c r="EC52" s="390" t="str">
        <f t="array" ref="EC52">IFERROR(IF(AND(INDEX($E$8:$CE$57, MATCH($C52, $C$8:$C$57, 0), (COLUMNS($DU52:EC52)-1)*5 + 1) = INDEX($E$5:$CE$5, 1, (COLUMNS($DU52:EC52)-1)*5 + 1), INDEX($E$8:$CE$57, MATCH($C52, $C$8:$C$57, 0), (COLUMNS($DU52:EC52)-1)*5 + 4) = "SF"), INDEX($CZ$8:$CZ$23, COLUMNS($DU52:EC52)), "0"), "")</f>
        <v>0</v>
      </c>
      <c r="ED52" s="390" t="str">
        <f t="array" ref="ED52">IFERROR(IF(AND(INDEX($E$8:$CE$57, MATCH($C52, $C$8:$C$57, 0), (COLUMNS($DU52:ED52)-1)*5 + 1) = INDEX($E$5:$CE$5, 1, (COLUMNS($DU52:ED52)-1)*5 + 1), INDEX($E$8:$CE$57, MATCH($C52, $C$8:$C$57, 0), (COLUMNS($DU52:ED52)-1)*5 + 4) = "SF"), INDEX($CZ$8:$CZ$23, COLUMNS($DU52:ED52)), "0"), "")</f>
        <v>0</v>
      </c>
      <c r="EE52" s="390" t="str">
        <f t="array" ref="EE52">IFERROR(IF(AND(INDEX($E$8:$CE$57, MATCH($C52, $C$8:$C$57, 0), (COLUMNS($DU52:EE52)-1)*5 + 1) = INDEX($E$5:$CE$5, 1, (COLUMNS($DU52:EE52)-1)*5 + 1), INDEX($E$8:$CE$57, MATCH($C52, $C$8:$C$57, 0), (COLUMNS($DU52:EE52)-1)*5 + 4) = "SF"), INDEX($CZ$8:$CZ$23, COLUMNS($DU52:EE52)), "0"), "")</f>
        <v>0</v>
      </c>
      <c r="EF52" s="390" t="str">
        <f t="array" ref="EF52">IFERROR(IF(AND(INDEX($E$8:$CE$57, MATCH($C52, $C$8:$C$57, 0), (COLUMNS($DU52:EF52)-1)*5 + 1) = INDEX($E$5:$CE$5, 1, (COLUMNS($DU52:EF52)-1)*5 + 1), INDEX($E$8:$CE$57, MATCH($C52, $C$8:$C$57, 0), (COLUMNS($DU52:EF52)-1)*5 + 4) = "SF"), INDEX($CZ$8:$CZ$23, COLUMNS($DU52:EF52)), "0"), "")</f>
        <v>0</v>
      </c>
      <c r="EG52" s="390" t="str">
        <f t="array" ref="EG52">IFERROR(IF(AND(INDEX($E$8:$CE$57, MATCH($C52, $C$8:$C$57, 0), (COLUMNS($DU52:EG52)-1)*5 + 1) = INDEX($E$5:$CE$5, 1, (COLUMNS($DU52:EG52)-1)*5 + 1), INDEX($E$8:$CE$57, MATCH($C52, $C$8:$C$57, 0), (COLUMNS($DU52:EG52)-1)*5 + 4) = "SF"), INDEX($CZ$8:$CZ$23, COLUMNS($DU52:EG52)), "0"), "")</f>
        <v>0</v>
      </c>
      <c r="EH52" s="390" t="str">
        <f t="array" ref="EH52">IFERROR(IF(AND(INDEX($E$8:$CE$57, MATCH($C52, $C$8:$C$57, 0), (COLUMNS($DU52:EH52)-1)*5 + 1) = INDEX($E$5:$CE$5, 1, (COLUMNS($DU52:EH52)-1)*5 + 1), INDEX($E$8:$CE$57, MATCH($C52, $C$8:$C$57, 0), (COLUMNS($DU52:EH52)-1)*5 + 4) = "SF"), INDEX($CZ$8:$CZ$23, COLUMNS($DU52:EH52)), "0"), "")</f>
        <v>0</v>
      </c>
      <c r="EI52" s="390" t="str">
        <f t="array" ref="EI52">IFERROR(IF(AND(INDEX($E$8:$CE$57, MATCH($C52, $C$8:$C$57, 0), (COLUMNS($DU52:EI52)-1)*5 + 1) = INDEX($E$5:$CE$5, 1, (COLUMNS($DU52:EI52)-1)*5 + 1), INDEX($E$8:$CE$57, MATCH($C52, $C$8:$C$57, 0), (COLUMNS($DU52:EI52)-1)*5 + 4) = "SF"), INDEX($CZ$8:$CZ$23, COLUMNS($DU52:EI52)), "0"), "")</f>
        <v>0</v>
      </c>
      <c r="EJ52" s="390" t="str">
        <f t="array" ref="EJ52">IFERROR(IF(AND(INDEX($E$8:$CE$57, MATCH($C52, $C$8:$C$57, 0), (COLUMNS($DU52:EJ52)-1)*5 + 1) = INDEX($E$5:$CE$5, 1, (COLUMNS($DU52:EJ52)-1)*5 + 1), INDEX($E$8:$CE$57, MATCH($C52, $C$8:$C$57, 0), (COLUMNS($DU52:EJ52)-1)*5 + 4) = "SF"), INDEX($CZ$8:$CZ$23, COLUMNS($DU52:EJ52)), "0"), "")</f>
        <v>0</v>
      </c>
    </row>
    <row r="53" spans="1:140" ht="20.100000000000001" customHeight="1" outlineLevel="1" x14ac:dyDescent="0.35">
      <c r="A53" s="515"/>
      <c r="B53" s="444">
        <f>IF(SEMANA2[[#This Row],[COD]]&lt;&gt;"",B52+1,"")</f>
        <v>46</v>
      </c>
      <c r="C53" s="554" t="s">
        <v>118</v>
      </c>
      <c r="D53" s="410" t="str">
        <f t="array" ref="D53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NO ENVIÓ</v>
      </c>
      <c r="E53" s="411"/>
      <c r="F53" s="413"/>
      <c r="G53" s="413"/>
      <c r="H53" s="413"/>
      <c r="I53" s="534">
        <f t="shared" si="18"/>
        <v>0</v>
      </c>
      <c r="J53" s="411"/>
      <c r="K53" s="413"/>
      <c r="L53" s="413"/>
      <c r="M53" s="413"/>
      <c r="N53" s="534">
        <f t="shared" si="19"/>
        <v>0</v>
      </c>
      <c r="O53" s="411"/>
      <c r="P53" s="413"/>
      <c r="Q53" s="413"/>
      <c r="R53" s="413"/>
      <c r="S53" s="534">
        <f t="shared" si="20"/>
        <v>0</v>
      </c>
      <c r="T53" s="411"/>
      <c r="U53" s="413"/>
      <c r="V53" s="413"/>
      <c r="W53" s="413"/>
      <c r="X53" s="534">
        <f t="shared" si="21"/>
        <v>0</v>
      </c>
      <c r="Y53" s="411"/>
      <c r="Z53" s="413"/>
      <c r="AA53" s="413"/>
      <c r="AB53" s="413"/>
      <c r="AC53" s="534">
        <f t="shared" si="22"/>
        <v>0</v>
      </c>
      <c r="AD53" s="411"/>
      <c r="AE53" s="413"/>
      <c r="AF53" s="413"/>
      <c r="AG53" s="413"/>
      <c r="AH53" s="534">
        <f t="shared" si="23"/>
        <v>0</v>
      </c>
      <c r="AI53" s="411"/>
      <c r="AJ53" s="413"/>
      <c r="AK53" s="413"/>
      <c r="AL53" s="413"/>
      <c r="AM53" s="534">
        <f t="shared" si="24"/>
        <v>0</v>
      </c>
      <c r="AN53" s="411"/>
      <c r="AO53" s="413"/>
      <c r="AP53" s="413"/>
      <c r="AQ53" s="413"/>
      <c r="AR53" s="534">
        <f t="shared" si="25"/>
        <v>0</v>
      </c>
      <c r="AS53" s="411"/>
      <c r="AT53" s="413"/>
      <c r="AU53" s="413"/>
      <c r="AV53" s="413"/>
      <c r="AW53" s="534">
        <f t="shared" si="26"/>
        <v>0</v>
      </c>
      <c r="AX53" s="411"/>
      <c r="AY53" s="413"/>
      <c r="AZ53" s="413"/>
      <c r="BA53" s="413"/>
      <c r="BB53" s="534">
        <f t="shared" si="27"/>
        <v>0</v>
      </c>
      <c r="BC53" s="411"/>
      <c r="BD53" s="413"/>
      <c r="BE53" s="413"/>
      <c r="BF53" s="413"/>
      <c r="BG53" s="534">
        <f t="shared" si="28"/>
        <v>0</v>
      </c>
      <c r="BH53" s="411"/>
      <c r="BI53" s="413"/>
      <c r="BJ53" s="413"/>
      <c r="BK53" s="413"/>
      <c r="BL53" s="534">
        <f t="shared" si="29"/>
        <v>0</v>
      </c>
      <c r="BM53" s="411"/>
      <c r="BN53" s="413"/>
      <c r="BO53" s="413"/>
      <c r="BP53" s="413"/>
      <c r="BQ53" s="534">
        <f t="shared" si="30"/>
        <v>0</v>
      </c>
      <c r="BR53" s="411"/>
      <c r="BS53" s="413"/>
      <c r="BT53" s="413"/>
      <c r="BU53" s="413"/>
      <c r="BV53" s="534">
        <f t="shared" si="31"/>
        <v>0</v>
      </c>
      <c r="BW53" s="411"/>
      <c r="BX53" s="413"/>
      <c r="BY53" s="413"/>
      <c r="BZ53" s="413"/>
      <c r="CA53" s="534">
        <f t="shared" si="32"/>
        <v>0</v>
      </c>
      <c r="CB53" s="411"/>
      <c r="CC53" s="413"/>
      <c r="CD53" s="413"/>
      <c r="CE53" s="413"/>
      <c r="CF53" s="534">
        <f t="shared" si="33"/>
        <v>0</v>
      </c>
      <c r="CG53" s="162">
        <f>IF(SEMANA2[[#This Row],[1]]="",0,$B$4)</f>
        <v>0</v>
      </c>
      <c r="CH53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0</v>
      </c>
      <c r="CI53" s="185">
        <f>IF(SEMANA2[[#This Row],[Columna14]]=0,0,(CH53/CG53))</f>
        <v>0</v>
      </c>
      <c r="CJ53" s="163">
        <f>IF(SEMANA2[[#This Row],[1]]="",0,$B$4)</f>
        <v>0</v>
      </c>
      <c r="CK53" s="186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0</v>
      </c>
      <c r="CL53" s="185">
        <f>IF(SEMANA2[[#This Row],[Columna14]]=0,0,(CK53/CJ53))</f>
        <v>0</v>
      </c>
      <c r="CM53" s="162">
        <f>IF(SEMANA2[[#This Row],[1]]="",0,$B$4)</f>
        <v>0</v>
      </c>
      <c r="CN53" s="186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0</v>
      </c>
      <c r="CO53" s="185">
        <f>IF(SEMANA2[[#This Row],[Columna14]]=0,0,(CN53/CM53))</f>
        <v>0</v>
      </c>
      <c r="CP53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0</v>
      </c>
      <c r="CQ53" s="186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Row],[Columna25]],$AX$5,BA53,"SF")+COUNTIFS(SEMANA2[[#This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0</v>
      </c>
      <c r="CR53" s="185">
        <f>IFERROR(IF(SEMANA2[[#This Row],[Columna14]]=0,0,(CQ53/CP53)),0)</f>
        <v>0</v>
      </c>
      <c r="CS53" s="539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0</v>
      </c>
      <c r="CT53" s="93">
        <f>_xlfn.XLOOKUP(SEMANA2[[#This Row],[COD]],BASE01[COD],BASE01[Columna33])</f>
        <v>0</v>
      </c>
      <c r="CU53" s="536">
        <f t="shared" si="34"/>
        <v>0</v>
      </c>
      <c r="CV53" s="445" t="str">
        <f>IF(SEMANA2[[#This Row],[TIPO]]="PREMIO",$O$3,"0,00")</f>
        <v>0,00</v>
      </c>
      <c r="CW53" s="515"/>
      <c r="CY53" s="387" t="str">
        <f t="shared" si="17"/>
        <v/>
      </c>
      <c r="CZ53" s="387"/>
      <c r="DA53" s="387" t="str">
        <f t="array" ref="DA53">IF(CZ53="", "", IF((INDEX(E$8:CE$57, MATCH(CZ53, C$8:C$57, 0), ($CZ$25-1)*5 + 1) &amp; "") = (INDEX(E$5:CE$5, 1, ($CZ$25-1)*5 + 1) &amp; ""), 1, IF((INDEX(E$8:CE$57, MATCH(CZ53, C$8:C$57, 0), ($CZ$25-1)*5 + 2) &amp; "") = (INDEX(E$5:CE$5, 1, ($CZ$25-1)*5 + 1) &amp; ""), 2, IF((INDEX(E$8:CE$57, MATCH(CZ53, C$8:C$57, 0), ($CZ$25-1)*5 + 3) &amp; "") = (INDEX(E$5:CE$5, 1, ($CZ$25-1)*5 + 1) &amp; ""), 3, ""))))</f>
        <v/>
      </c>
      <c r="DB53" s="537" t="str">
        <f>SEMANA2[[#This Row],[COD]]</f>
        <v>COD 46</v>
      </c>
      <c r="DC53" s="390" t="str">
        <f t="array" ref="DC53">IFERROR(IF(AND(INDEX($E$8:$CE$57, MATCH($C53, $C$8:$C$57, 0), (COLUMNS($DC53:DC53)-1)*5 + 1) = INDEX($E$5:$CE$5, 1, (COLUMNS($DC53:DC53)-1)*5 + 1), INDEX($E$8:$CE$57, MATCH($C53, $C$8:$C$57, 0), (COLUMNS($DC53:DC53)-1)*5 + 4) = "F"), INDEX($CZ$8:$CZ$23, COLUMNS($DC53:DC53)), "0"), "")</f>
        <v>0</v>
      </c>
      <c r="DD53" s="390" t="str">
        <f t="array" ref="DD53">IFERROR(IF(AND(INDEX($E$8:$CE$57, MATCH($C53, $C$8:$C$57, 0), (COLUMNS($DC53:DD53)-1)*5 + 1) = INDEX($E$5:$CE$5, 1, (COLUMNS($DC53:DD53)-1)*5 + 1), INDEX($E$8:$CE$57, MATCH($C53, $C$8:$C$57, 0), (COLUMNS($DC53:DD53)-1)*5 + 4) = "F"), INDEX($CZ$8:$CZ$23, COLUMNS($DC53:DD53)), "0"), "")</f>
        <v>0</v>
      </c>
      <c r="DE53" s="390" t="str">
        <f t="array" ref="DE53">IFERROR(IF(AND(INDEX($E$8:$CE$57, MATCH($C53, $C$8:$C$57, 0), (COLUMNS($DC53:DE53)-1)*5 + 1) = INDEX($E$5:$CE$5, 1, (COLUMNS($DC53:DE53)-1)*5 + 1), INDEX($E$8:$CE$57, MATCH($C53, $C$8:$C$57, 0), (COLUMNS($DC53:DE53)-1)*5 + 4) = "F"), INDEX($CZ$8:$CZ$23, COLUMNS($DC53:DE53)), "0"), "")</f>
        <v>0</v>
      </c>
      <c r="DF53" s="390" t="str">
        <f t="array" ref="DF53">IFERROR(IF(AND(INDEX($E$8:$CE$57, MATCH($C53, $C$8:$C$57, 0), (COLUMNS($DC53:DF53)-1)*5 + 1) = INDEX($E$5:$CE$5, 1, (COLUMNS($DC53:DF53)-1)*5 + 1), INDEX($E$8:$CE$57, MATCH($C53, $C$8:$C$57, 0), (COLUMNS($DC53:DF53)-1)*5 + 4) = "F"), INDEX($CZ$8:$CZ$23, COLUMNS($DC53:DF53)), "0"), "")</f>
        <v>0</v>
      </c>
      <c r="DG53" s="390" t="str">
        <f t="array" ref="DG53">IFERROR(IF(AND(INDEX($E$8:$CE$57, MATCH($C53, $C$8:$C$57, 0), (COLUMNS($DC53:DG53)-1)*5 + 1) = INDEX($E$5:$CE$5, 1, (COLUMNS($DC53:DG53)-1)*5 + 1), INDEX($E$8:$CE$57, MATCH($C53, $C$8:$C$57, 0), (COLUMNS($DC53:DG53)-1)*5 + 4) = "F"), INDEX($CZ$8:$CZ$23, COLUMNS($DC53:DG53)), "0"), "")</f>
        <v>0</v>
      </c>
      <c r="DH53" s="390" t="str">
        <f t="array" ref="DH53">IFERROR(IF(AND(INDEX($E$8:$CE$57, MATCH($C53, $C$8:$C$57, 0), (COLUMNS($DC53:DH53)-1)*5 + 1) = INDEX($E$5:$CE$5, 1, (COLUMNS($DC53:DH53)-1)*5 + 1), INDEX($E$8:$CE$57, MATCH($C53, $C$8:$C$57, 0), (COLUMNS($DC53:DH53)-1)*5 + 4) = "F"), INDEX($CZ$8:$CZ$23, COLUMNS($DC53:DH53)), "0"), "")</f>
        <v>0</v>
      </c>
      <c r="DI53" s="390" t="str">
        <f t="array" ref="DI53">IFERROR(IF(AND(INDEX($E$8:$CE$57, MATCH($C53, $C$8:$C$57, 0), (COLUMNS($DC53:DI53)-1)*5 + 1) = INDEX($E$5:$CE$5, 1, (COLUMNS($DC53:DI53)-1)*5 + 1), INDEX($E$8:$CE$57, MATCH($C53, $C$8:$C$57, 0), (COLUMNS($DC53:DI53)-1)*5 + 4) = "F"), INDEX($CZ$8:$CZ$23, COLUMNS($DC53:DI53)), "0"), "")</f>
        <v>0</v>
      </c>
      <c r="DJ53" s="390" t="str">
        <f t="array" ref="DJ53">IFERROR(IF(AND(INDEX($E$8:$CE$57, MATCH($C53, $C$8:$C$57, 0), (COLUMNS($DC53:DJ53)-1)*5 + 1) = INDEX($E$5:$CE$5, 1, (COLUMNS($DC53:DJ53)-1)*5 + 1), INDEX($E$8:$CE$57, MATCH($C53, $C$8:$C$57, 0), (COLUMNS($DC53:DJ53)-1)*5 + 4) = "F"), INDEX($CZ$8:$CZ$23, COLUMNS($DC53:DJ53)), "0"), "")</f>
        <v>0</v>
      </c>
      <c r="DK53" s="390" t="str">
        <f t="array" ref="DK53">IFERROR(IF(AND(INDEX($E$8:$CE$57, MATCH($C53, $C$8:$C$57, 0), (COLUMNS($DC53:DK53)-1)*5 + 1) = INDEX($E$5:$CE$5, 1, (COLUMNS($DC53:DK53)-1)*5 + 1), INDEX($E$8:$CE$57, MATCH($C53, $C$8:$C$57, 0), (COLUMNS($DC53:DK53)-1)*5 + 4) = "F"), INDEX($CZ$8:$CZ$23, COLUMNS($DC53:DK53)), "0"), "")</f>
        <v>0</v>
      </c>
      <c r="DL53" s="390" t="str">
        <f t="array" ref="DL53">IFERROR(IF(AND(INDEX($E$8:$CE$57, MATCH($C53, $C$8:$C$57, 0), (COLUMNS($DC53:DL53)-1)*5 + 1) = INDEX($E$5:$CE$5, 1, (COLUMNS($DC53:DL53)-1)*5 + 1), INDEX($E$8:$CE$57, MATCH($C53, $C$8:$C$57, 0), (COLUMNS($DC53:DL53)-1)*5 + 4) = "F"), INDEX($CZ$8:$CZ$23, COLUMNS($DC53:DL53)), "0"), "")</f>
        <v>0</v>
      </c>
      <c r="DM53" s="390" t="str">
        <f t="array" ref="DM53">IFERROR(IF(AND(INDEX($E$8:$CE$57, MATCH($C53, $C$8:$C$57, 0), (COLUMNS($DC53:DM53)-1)*5 + 1) = INDEX($E$5:$CE$5, 1, (COLUMNS($DC53:DM53)-1)*5 + 1), INDEX($E$8:$CE$57, MATCH($C53, $C$8:$C$57, 0), (COLUMNS($DC53:DM53)-1)*5 + 4) = "F"), INDEX($CZ$8:$CZ$23, COLUMNS($DC53:DM53)), "0"), "")</f>
        <v>0</v>
      </c>
      <c r="DN53" s="390" t="str">
        <f t="array" ref="DN53">IFERROR(IF(AND(INDEX($E$8:$CE$57, MATCH($C53, $C$8:$C$57, 0), (COLUMNS($DC53:DN53)-1)*5 + 1) = INDEX($E$5:$CE$5, 1, (COLUMNS($DC53:DN53)-1)*5 + 1), INDEX($E$8:$CE$57, MATCH($C53, $C$8:$C$57, 0), (COLUMNS($DC53:DN53)-1)*5 + 4) = "F"), INDEX($CZ$8:$CZ$23, COLUMNS($DC53:DN53)), "0"), "")</f>
        <v>0</v>
      </c>
      <c r="DO53" s="390" t="str">
        <f t="array" ref="DO53">IFERROR(IF(AND(INDEX($E$8:$CE$57, MATCH($C53, $C$8:$C$57, 0), (COLUMNS($DC53:DO53)-1)*5 + 1) = INDEX($E$5:$CE$5, 1, (COLUMNS($DC53:DO53)-1)*5 + 1), INDEX($E$8:$CE$57, MATCH($C53, $C$8:$C$57, 0), (COLUMNS($DC53:DO53)-1)*5 + 4) = "F"), INDEX($CZ$8:$CZ$23, COLUMNS($DC53:DO53)), "0"), "")</f>
        <v>0</v>
      </c>
      <c r="DP53" s="390" t="str">
        <f t="array" ref="DP53">IFERROR(IF(AND(INDEX($E$8:$CE$57, MATCH($C53, $C$8:$C$57, 0), (COLUMNS($DC53:DP53)-1)*5 + 1) = INDEX($E$5:$CE$5, 1, (COLUMNS($DC53:DP53)-1)*5 + 1), INDEX($E$8:$CE$57, MATCH($C53, $C$8:$C$57, 0), (COLUMNS($DC53:DP53)-1)*5 + 4) = "F"), INDEX($CZ$8:$CZ$23, COLUMNS($DC53:DP53)), "0"), "")</f>
        <v>0</v>
      </c>
      <c r="DQ53" s="390" t="str">
        <f t="array" ref="DQ53">IFERROR(IF(AND(INDEX($E$8:$CE$57, MATCH($C53, $C$8:$C$57, 0), (COLUMNS($DC53:DQ53)-1)*5 + 1) = INDEX($E$5:$CE$5, 1, (COLUMNS($DC53:DQ53)-1)*5 + 1), INDEX($E$8:$CE$57, MATCH($C53, $C$8:$C$57, 0), (COLUMNS($DC53:DQ53)-1)*5 + 4) = "F"), INDEX($CZ$8:$CZ$23, COLUMNS($DC53:DQ53)), "0"), "")</f>
        <v>0</v>
      </c>
      <c r="DR53" s="390" t="str">
        <f t="array" ref="DR53">IFERROR(IF(AND(INDEX($E$8:$CE$57, MATCH($C53, $C$8:$C$57, 0), (COLUMNS($DC53:DR53)-1)*5 + 1) = INDEX($E$5:$CE$5, 1, (COLUMNS($DC53:DR53)-1)*5 + 1), INDEX($E$8:$CE$57, MATCH($C53, $C$8:$C$57, 0), (COLUMNS($DC53:DR53)-1)*5 + 4) = "F"), INDEX($CZ$8:$CZ$23, COLUMNS($DC53:DR53)), "0"), "")</f>
        <v>0</v>
      </c>
      <c r="DT53" s="537" t="str">
        <f>SEMANA2[[#This Row],[COD]]</f>
        <v>COD 46</v>
      </c>
      <c r="DU53" s="390" t="str">
        <f t="array" ref="DU53">IFERROR(IF(AND(INDEX($E$8:$CE$57, MATCH($C53, $C$8:$C$57, 0), (COLUMNS($DU53:DU53)-1)*5 + 1) = INDEX($E$5:$CE$5, 1, (COLUMNS($DU53:DU53)-1)*5 + 1), INDEX($E$8:$CE$57, MATCH($C53, $C$8:$C$57, 0), (COLUMNS($DU53:DU53)-1)*5 + 4) = "SF"), INDEX($CZ$8:$CZ$23, COLUMNS($DU53:DU53)), "0"), "")</f>
        <v>0</v>
      </c>
      <c r="DV53" s="390" t="str">
        <f t="array" ref="DV53">IFERROR(IF(AND(INDEX($E$8:$CE$57, MATCH($C53, $C$8:$C$57, 0), (COLUMNS($DU53:DV53)-1)*5 + 1) = INDEX($E$5:$CE$5, 1, (COLUMNS($DU53:DV53)-1)*5 + 1), INDEX($E$8:$CE$57, MATCH($C53, $C$8:$C$57, 0), (COLUMNS($DU53:DV53)-1)*5 + 4) = "SF"), INDEX($CZ$8:$CZ$23, COLUMNS($DU53:DV53)), "0"), "")</f>
        <v>0</v>
      </c>
      <c r="DW53" s="390" t="str">
        <f t="array" ref="DW53">IFERROR(IF(AND(INDEX($E$8:$CE$57, MATCH($C53, $C$8:$C$57, 0), (COLUMNS($DU53:DW53)-1)*5 + 1) = INDEX($E$5:$CE$5, 1, (COLUMNS($DU53:DW53)-1)*5 + 1), INDEX($E$8:$CE$57, MATCH($C53, $C$8:$C$57, 0), (COLUMNS($DU53:DW53)-1)*5 + 4) = "SF"), INDEX($CZ$8:$CZ$23, COLUMNS($DU53:DW53)), "0"), "")</f>
        <v>0</v>
      </c>
      <c r="DX53" s="390" t="str">
        <f t="array" ref="DX53">IFERROR(IF(AND(INDEX($E$8:$CE$57, MATCH($C53, $C$8:$C$57, 0), (COLUMNS($DU53:DX53)-1)*5 + 1) = INDEX($E$5:$CE$5, 1, (COLUMNS($DU53:DX53)-1)*5 + 1), INDEX($E$8:$CE$57, MATCH($C53, $C$8:$C$57, 0), (COLUMNS($DU53:DX53)-1)*5 + 4) = "SF"), INDEX($CZ$8:$CZ$23, COLUMNS($DU53:DX53)), "0"), "")</f>
        <v>0</v>
      </c>
      <c r="DY53" s="390" t="str">
        <f t="array" ref="DY53">IFERROR(IF(AND(INDEX($E$8:$CE$57, MATCH($C53, $C$8:$C$57, 0), (COLUMNS($DU53:DY53)-1)*5 + 1) = INDEX($E$5:$CE$5, 1, (COLUMNS($DU53:DY53)-1)*5 + 1), INDEX($E$8:$CE$57, MATCH($C53, $C$8:$C$57, 0), (COLUMNS($DU53:DY53)-1)*5 + 4) = "SF"), INDEX($CZ$8:$CZ$23, COLUMNS($DU53:DY53)), "0"), "")</f>
        <v>0</v>
      </c>
      <c r="DZ53" s="390" t="str">
        <f t="array" ref="DZ53">IFERROR(IF(AND(INDEX($E$8:$CE$57, MATCH($C53, $C$8:$C$57, 0), (COLUMNS($DU53:DZ53)-1)*5 + 1) = INDEX($E$5:$CE$5, 1, (COLUMNS($DU53:DZ53)-1)*5 + 1), INDEX($E$8:$CE$57, MATCH($C53, $C$8:$C$57, 0), (COLUMNS($DU53:DZ53)-1)*5 + 4) = "SF"), INDEX($CZ$8:$CZ$23, COLUMNS($DU53:DZ53)), "0"), "")</f>
        <v>0</v>
      </c>
      <c r="EA53" s="390" t="str">
        <f t="array" ref="EA53">IFERROR(IF(AND(INDEX($E$8:$CE$57, MATCH($C53, $C$8:$C$57, 0), (COLUMNS($DU53:EA53)-1)*5 + 1) = INDEX($E$5:$CE$5, 1, (COLUMNS($DU53:EA53)-1)*5 + 1), INDEX($E$8:$CE$57, MATCH($C53, $C$8:$C$57, 0), (COLUMNS($DU53:EA53)-1)*5 + 4) = "SF"), INDEX($CZ$8:$CZ$23, COLUMNS($DU53:EA53)), "0"), "")</f>
        <v>0</v>
      </c>
      <c r="EB53" s="390" t="str">
        <f t="array" ref="EB53">IFERROR(IF(AND(INDEX($E$8:$CE$57, MATCH($C53, $C$8:$C$57, 0), (COLUMNS($DU53:EB53)-1)*5 + 1) = INDEX($E$5:$CE$5, 1, (COLUMNS($DU53:EB53)-1)*5 + 1), INDEX($E$8:$CE$57, MATCH($C53, $C$8:$C$57, 0), (COLUMNS($DU53:EB53)-1)*5 + 4) = "SF"), INDEX($CZ$8:$CZ$23, COLUMNS($DU53:EB53)), "0"), "")</f>
        <v>0</v>
      </c>
      <c r="EC53" s="390" t="str">
        <f t="array" ref="EC53">IFERROR(IF(AND(INDEX($E$8:$CE$57, MATCH($C53, $C$8:$C$57, 0), (COLUMNS($DU53:EC53)-1)*5 + 1) = INDEX($E$5:$CE$5, 1, (COLUMNS($DU53:EC53)-1)*5 + 1), INDEX($E$8:$CE$57, MATCH($C53, $C$8:$C$57, 0), (COLUMNS($DU53:EC53)-1)*5 + 4) = "SF"), INDEX($CZ$8:$CZ$23, COLUMNS($DU53:EC53)), "0"), "")</f>
        <v>0</v>
      </c>
      <c r="ED53" s="390" t="str">
        <f t="array" ref="ED53">IFERROR(IF(AND(INDEX($E$8:$CE$57, MATCH($C53, $C$8:$C$57, 0), (COLUMNS($DU53:ED53)-1)*5 + 1) = INDEX($E$5:$CE$5, 1, (COLUMNS($DU53:ED53)-1)*5 + 1), INDEX($E$8:$CE$57, MATCH($C53, $C$8:$C$57, 0), (COLUMNS($DU53:ED53)-1)*5 + 4) = "SF"), INDEX($CZ$8:$CZ$23, COLUMNS($DU53:ED53)), "0"), "")</f>
        <v>0</v>
      </c>
      <c r="EE53" s="390" t="str">
        <f t="array" ref="EE53">IFERROR(IF(AND(INDEX($E$8:$CE$57, MATCH($C53, $C$8:$C$57, 0), (COLUMNS($DU53:EE53)-1)*5 + 1) = INDEX($E$5:$CE$5, 1, (COLUMNS($DU53:EE53)-1)*5 + 1), INDEX($E$8:$CE$57, MATCH($C53, $C$8:$C$57, 0), (COLUMNS($DU53:EE53)-1)*5 + 4) = "SF"), INDEX($CZ$8:$CZ$23, COLUMNS($DU53:EE53)), "0"), "")</f>
        <v>0</v>
      </c>
      <c r="EF53" s="390" t="str">
        <f t="array" ref="EF53">IFERROR(IF(AND(INDEX($E$8:$CE$57, MATCH($C53, $C$8:$C$57, 0), (COLUMNS($DU53:EF53)-1)*5 + 1) = INDEX($E$5:$CE$5, 1, (COLUMNS($DU53:EF53)-1)*5 + 1), INDEX($E$8:$CE$57, MATCH($C53, $C$8:$C$57, 0), (COLUMNS($DU53:EF53)-1)*5 + 4) = "SF"), INDEX($CZ$8:$CZ$23, COLUMNS($DU53:EF53)), "0"), "")</f>
        <v>0</v>
      </c>
      <c r="EG53" s="390" t="str">
        <f t="array" ref="EG53">IFERROR(IF(AND(INDEX($E$8:$CE$57, MATCH($C53, $C$8:$C$57, 0), (COLUMNS($DU53:EG53)-1)*5 + 1) = INDEX($E$5:$CE$5, 1, (COLUMNS($DU53:EG53)-1)*5 + 1), INDEX($E$8:$CE$57, MATCH($C53, $C$8:$C$57, 0), (COLUMNS($DU53:EG53)-1)*5 + 4) = "SF"), INDEX($CZ$8:$CZ$23, COLUMNS($DU53:EG53)), "0"), "")</f>
        <v>0</v>
      </c>
      <c r="EH53" s="390" t="str">
        <f t="array" ref="EH53">IFERROR(IF(AND(INDEX($E$8:$CE$57, MATCH($C53, $C$8:$C$57, 0), (COLUMNS($DU53:EH53)-1)*5 + 1) = INDEX($E$5:$CE$5, 1, (COLUMNS($DU53:EH53)-1)*5 + 1), INDEX($E$8:$CE$57, MATCH($C53, $C$8:$C$57, 0), (COLUMNS($DU53:EH53)-1)*5 + 4) = "SF"), INDEX($CZ$8:$CZ$23, COLUMNS($DU53:EH53)), "0"), "")</f>
        <v>0</v>
      </c>
      <c r="EI53" s="390" t="str">
        <f t="array" ref="EI53">IFERROR(IF(AND(INDEX($E$8:$CE$57, MATCH($C53, $C$8:$C$57, 0), (COLUMNS($DU53:EI53)-1)*5 + 1) = INDEX($E$5:$CE$5, 1, (COLUMNS($DU53:EI53)-1)*5 + 1), INDEX($E$8:$CE$57, MATCH($C53, $C$8:$C$57, 0), (COLUMNS($DU53:EI53)-1)*5 + 4) = "SF"), INDEX($CZ$8:$CZ$23, COLUMNS($DU53:EI53)), "0"), "")</f>
        <v>0</v>
      </c>
      <c r="EJ53" s="390" t="str">
        <f t="array" ref="EJ53">IFERROR(IF(AND(INDEX($E$8:$CE$57, MATCH($C53, $C$8:$C$57, 0), (COLUMNS($DU53:EJ53)-1)*5 + 1) = INDEX($E$5:$CE$5, 1, (COLUMNS($DU53:EJ53)-1)*5 + 1), INDEX($E$8:$CE$57, MATCH($C53, $C$8:$C$57, 0), (COLUMNS($DU53:EJ53)-1)*5 + 4) = "SF"), INDEX($CZ$8:$CZ$23, COLUMNS($DU53:EJ53)), "0"), "")</f>
        <v>0</v>
      </c>
    </row>
    <row r="54" spans="1:140" ht="20.100000000000001" customHeight="1" outlineLevel="1" x14ac:dyDescent="0.35">
      <c r="A54" s="515"/>
      <c r="B54" s="444">
        <f>IF(SEMANA2[[#This Row],[COD]]&lt;&gt;"",B53+1,"")</f>
        <v>47</v>
      </c>
      <c r="C54" s="554" t="s">
        <v>119</v>
      </c>
      <c r="D54" s="410" t="str">
        <f t="array" ref="D54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NO ENVIÓ</v>
      </c>
      <c r="E54" s="411"/>
      <c r="F54" s="413"/>
      <c r="G54" s="413"/>
      <c r="H54" s="413"/>
      <c r="I54" s="534">
        <f t="shared" si="18"/>
        <v>0</v>
      </c>
      <c r="J54" s="411"/>
      <c r="K54" s="413"/>
      <c r="L54" s="413"/>
      <c r="M54" s="413"/>
      <c r="N54" s="534">
        <f t="shared" si="19"/>
        <v>0</v>
      </c>
      <c r="O54" s="411"/>
      <c r="P54" s="413"/>
      <c r="Q54" s="413"/>
      <c r="R54" s="413"/>
      <c r="S54" s="534">
        <f t="shared" si="20"/>
        <v>0</v>
      </c>
      <c r="T54" s="411"/>
      <c r="U54" s="413"/>
      <c r="V54" s="413"/>
      <c r="W54" s="413"/>
      <c r="X54" s="534">
        <f t="shared" si="21"/>
        <v>0</v>
      </c>
      <c r="Y54" s="411"/>
      <c r="Z54" s="413"/>
      <c r="AA54" s="413"/>
      <c r="AB54" s="413"/>
      <c r="AC54" s="534">
        <f t="shared" si="22"/>
        <v>0</v>
      </c>
      <c r="AD54" s="411"/>
      <c r="AE54" s="413"/>
      <c r="AF54" s="413"/>
      <c r="AG54" s="413"/>
      <c r="AH54" s="534">
        <f t="shared" si="23"/>
        <v>0</v>
      </c>
      <c r="AI54" s="411"/>
      <c r="AJ54" s="413"/>
      <c r="AK54" s="413"/>
      <c r="AL54" s="413"/>
      <c r="AM54" s="534">
        <f t="shared" si="24"/>
        <v>0</v>
      </c>
      <c r="AN54" s="411"/>
      <c r="AO54" s="413"/>
      <c r="AP54" s="413"/>
      <c r="AQ54" s="413"/>
      <c r="AR54" s="534">
        <f t="shared" si="25"/>
        <v>0</v>
      </c>
      <c r="AS54" s="411"/>
      <c r="AT54" s="413"/>
      <c r="AU54" s="413"/>
      <c r="AV54" s="413"/>
      <c r="AW54" s="534">
        <f t="shared" si="26"/>
        <v>0</v>
      </c>
      <c r="AX54" s="411"/>
      <c r="AY54" s="413"/>
      <c r="AZ54" s="413"/>
      <c r="BA54" s="413"/>
      <c r="BB54" s="534">
        <f t="shared" si="27"/>
        <v>0</v>
      </c>
      <c r="BC54" s="411"/>
      <c r="BD54" s="413"/>
      <c r="BE54" s="413"/>
      <c r="BF54" s="413"/>
      <c r="BG54" s="534">
        <f t="shared" si="28"/>
        <v>0</v>
      </c>
      <c r="BH54" s="411"/>
      <c r="BI54" s="413"/>
      <c r="BJ54" s="413"/>
      <c r="BK54" s="413"/>
      <c r="BL54" s="534">
        <f t="shared" si="29"/>
        <v>0</v>
      </c>
      <c r="BM54" s="411"/>
      <c r="BN54" s="413"/>
      <c r="BO54" s="413"/>
      <c r="BP54" s="413"/>
      <c r="BQ54" s="534">
        <f t="shared" si="30"/>
        <v>0</v>
      </c>
      <c r="BR54" s="411"/>
      <c r="BS54" s="413"/>
      <c r="BT54" s="413"/>
      <c r="BU54" s="413"/>
      <c r="BV54" s="534">
        <f t="shared" si="31"/>
        <v>0</v>
      </c>
      <c r="BW54" s="411"/>
      <c r="BX54" s="413"/>
      <c r="BY54" s="413"/>
      <c r="BZ54" s="413"/>
      <c r="CA54" s="534">
        <f t="shared" si="32"/>
        <v>0</v>
      </c>
      <c r="CB54" s="411"/>
      <c r="CC54" s="413"/>
      <c r="CD54" s="413"/>
      <c r="CE54" s="413"/>
      <c r="CF54" s="534">
        <f t="shared" si="33"/>
        <v>0</v>
      </c>
      <c r="CG54" s="162">
        <f>IF(SEMANA2[[#This Row],[1]]="",0,$B$4)</f>
        <v>0</v>
      </c>
      <c r="CH54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0</v>
      </c>
      <c r="CI54" s="185">
        <f>IF(SEMANA2[[#This Row],[Columna14]]=0,0,(CH54/CG54))</f>
        <v>0</v>
      </c>
      <c r="CJ54" s="163">
        <f>IF(SEMANA2[[#This Row],[1]]="",0,$B$4)</f>
        <v>0</v>
      </c>
      <c r="CK54" s="186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0</v>
      </c>
      <c r="CL54" s="185">
        <f>IF(SEMANA2[[#This Row],[Columna14]]=0,0,(CK54/CJ54))</f>
        <v>0</v>
      </c>
      <c r="CM54" s="162">
        <f>IF(SEMANA2[[#This Row],[1]]="",0,$B$4)</f>
        <v>0</v>
      </c>
      <c r="CN54" s="186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0</v>
      </c>
      <c r="CO54" s="185">
        <f>IF(SEMANA2[[#This Row],[Columna14]]=0,0,(CN54/CM54))</f>
        <v>0</v>
      </c>
      <c r="CP54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0</v>
      </c>
      <c r="CQ54" s="186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Row],[Columna25]],$AX$5,BA54,"SF")+COUNTIFS(SEMANA2[[#This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0</v>
      </c>
      <c r="CR54" s="185">
        <f>IFERROR(IF(SEMANA2[[#This Row],[Columna14]]=0,0,(CQ54/CP54)),0)</f>
        <v>0</v>
      </c>
      <c r="CS54" s="539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0</v>
      </c>
      <c r="CT54" s="93">
        <f>_xlfn.XLOOKUP(SEMANA2[[#This Row],[COD]],BASE01[COD],BASE01[Columna33])</f>
        <v>0</v>
      </c>
      <c r="CU54" s="536">
        <f t="shared" si="34"/>
        <v>0</v>
      </c>
      <c r="CV54" s="445" t="str">
        <f>IF(SEMANA2[[#This Row],[TIPO]]="PREMIO",$O$3,"0,00")</f>
        <v>0,00</v>
      </c>
      <c r="CW54" s="515"/>
      <c r="CY54" s="387" t="str">
        <f t="shared" si="17"/>
        <v/>
      </c>
      <c r="CZ54" s="387"/>
      <c r="DA54" s="387" t="str">
        <f t="array" ref="DA54">IF(CZ54="", "", IF((INDEX(E$8:CE$57, MATCH(CZ54, C$8:C$57, 0), ($CZ$25-1)*5 + 1) &amp; "") = (INDEX(E$5:CE$5, 1, ($CZ$25-1)*5 + 1) &amp; ""), 1, IF((INDEX(E$8:CE$57, MATCH(CZ54, C$8:C$57, 0), ($CZ$25-1)*5 + 2) &amp; "") = (INDEX(E$5:CE$5, 1, ($CZ$25-1)*5 + 1) &amp; ""), 2, IF((INDEX(E$8:CE$57, MATCH(CZ54, C$8:C$57, 0), ($CZ$25-1)*5 + 3) &amp; "") = (INDEX(E$5:CE$5, 1, ($CZ$25-1)*5 + 1) &amp; ""), 3, ""))))</f>
        <v/>
      </c>
      <c r="DB54" s="537" t="str">
        <f>SEMANA2[[#This Row],[COD]]</f>
        <v>COD 47</v>
      </c>
      <c r="DC54" s="390" t="str">
        <f t="array" ref="DC54">IFERROR(IF(AND(INDEX($E$8:$CE$57, MATCH($C54, $C$8:$C$57, 0), (COLUMNS($DC54:DC54)-1)*5 + 1) = INDEX($E$5:$CE$5, 1, (COLUMNS($DC54:DC54)-1)*5 + 1), INDEX($E$8:$CE$57, MATCH($C54, $C$8:$C$57, 0), (COLUMNS($DC54:DC54)-1)*5 + 4) = "F"), INDEX($CZ$8:$CZ$23, COLUMNS($DC54:DC54)), "0"), "")</f>
        <v>0</v>
      </c>
      <c r="DD54" s="390" t="str">
        <f t="array" ref="DD54">IFERROR(IF(AND(INDEX($E$8:$CE$57, MATCH($C54, $C$8:$C$57, 0), (COLUMNS($DC54:DD54)-1)*5 + 1) = INDEX($E$5:$CE$5, 1, (COLUMNS($DC54:DD54)-1)*5 + 1), INDEX($E$8:$CE$57, MATCH($C54, $C$8:$C$57, 0), (COLUMNS($DC54:DD54)-1)*5 + 4) = "F"), INDEX($CZ$8:$CZ$23, COLUMNS($DC54:DD54)), "0"), "")</f>
        <v>0</v>
      </c>
      <c r="DE54" s="390" t="str">
        <f t="array" ref="DE54">IFERROR(IF(AND(INDEX($E$8:$CE$57, MATCH($C54, $C$8:$C$57, 0), (COLUMNS($DC54:DE54)-1)*5 + 1) = INDEX($E$5:$CE$5, 1, (COLUMNS($DC54:DE54)-1)*5 + 1), INDEX($E$8:$CE$57, MATCH($C54, $C$8:$C$57, 0), (COLUMNS($DC54:DE54)-1)*5 + 4) = "F"), INDEX($CZ$8:$CZ$23, COLUMNS($DC54:DE54)), "0"), "")</f>
        <v>0</v>
      </c>
      <c r="DF54" s="390" t="str">
        <f t="array" ref="DF54">IFERROR(IF(AND(INDEX($E$8:$CE$57, MATCH($C54, $C$8:$C$57, 0), (COLUMNS($DC54:DF54)-1)*5 + 1) = INDEX($E$5:$CE$5, 1, (COLUMNS($DC54:DF54)-1)*5 + 1), INDEX($E$8:$CE$57, MATCH($C54, $C$8:$C$57, 0), (COLUMNS($DC54:DF54)-1)*5 + 4) = "F"), INDEX($CZ$8:$CZ$23, COLUMNS($DC54:DF54)), "0"), "")</f>
        <v>0</v>
      </c>
      <c r="DG54" s="390" t="str">
        <f t="array" ref="DG54">IFERROR(IF(AND(INDEX($E$8:$CE$57, MATCH($C54, $C$8:$C$57, 0), (COLUMNS($DC54:DG54)-1)*5 + 1) = INDEX($E$5:$CE$5, 1, (COLUMNS($DC54:DG54)-1)*5 + 1), INDEX($E$8:$CE$57, MATCH($C54, $C$8:$C$57, 0), (COLUMNS($DC54:DG54)-1)*5 + 4) = "F"), INDEX($CZ$8:$CZ$23, COLUMNS($DC54:DG54)), "0"), "")</f>
        <v>0</v>
      </c>
      <c r="DH54" s="390" t="str">
        <f t="array" ref="DH54">IFERROR(IF(AND(INDEX($E$8:$CE$57, MATCH($C54, $C$8:$C$57, 0), (COLUMNS($DC54:DH54)-1)*5 + 1) = INDEX($E$5:$CE$5, 1, (COLUMNS($DC54:DH54)-1)*5 + 1), INDEX($E$8:$CE$57, MATCH($C54, $C$8:$C$57, 0), (COLUMNS($DC54:DH54)-1)*5 + 4) = "F"), INDEX($CZ$8:$CZ$23, COLUMNS($DC54:DH54)), "0"), "")</f>
        <v>0</v>
      </c>
      <c r="DI54" s="390" t="str">
        <f t="array" ref="DI54">IFERROR(IF(AND(INDEX($E$8:$CE$57, MATCH($C54, $C$8:$C$57, 0), (COLUMNS($DC54:DI54)-1)*5 + 1) = INDEX($E$5:$CE$5, 1, (COLUMNS($DC54:DI54)-1)*5 + 1), INDEX($E$8:$CE$57, MATCH($C54, $C$8:$C$57, 0), (COLUMNS($DC54:DI54)-1)*5 + 4) = "F"), INDEX($CZ$8:$CZ$23, COLUMNS($DC54:DI54)), "0"), "")</f>
        <v>0</v>
      </c>
      <c r="DJ54" s="390" t="str">
        <f t="array" ref="DJ54">IFERROR(IF(AND(INDEX($E$8:$CE$57, MATCH($C54, $C$8:$C$57, 0), (COLUMNS($DC54:DJ54)-1)*5 + 1) = INDEX($E$5:$CE$5, 1, (COLUMNS($DC54:DJ54)-1)*5 + 1), INDEX($E$8:$CE$57, MATCH($C54, $C$8:$C$57, 0), (COLUMNS($DC54:DJ54)-1)*5 + 4) = "F"), INDEX($CZ$8:$CZ$23, COLUMNS($DC54:DJ54)), "0"), "")</f>
        <v>0</v>
      </c>
      <c r="DK54" s="390" t="str">
        <f t="array" ref="DK54">IFERROR(IF(AND(INDEX($E$8:$CE$57, MATCH($C54, $C$8:$C$57, 0), (COLUMNS($DC54:DK54)-1)*5 + 1) = INDEX($E$5:$CE$5, 1, (COLUMNS($DC54:DK54)-1)*5 + 1), INDEX($E$8:$CE$57, MATCH($C54, $C$8:$C$57, 0), (COLUMNS($DC54:DK54)-1)*5 + 4) = "F"), INDEX($CZ$8:$CZ$23, COLUMNS($DC54:DK54)), "0"), "")</f>
        <v>0</v>
      </c>
      <c r="DL54" s="390" t="str">
        <f t="array" ref="DL54">IFERROR(IF(AND(INDEX($E$8:$CE$57, MATCH($C54, $C$8:$C$57, 0), (COLUMNS($DC54:DL54)-1)*5 + 1) = INDEX($E$5:$CE$5, 1, (COLUMNS($DC54:DL54)-1)*5 + 1), INDEX($E$8:$CE$57, MATCH($C54, $C$8:$C$57, 0), (COLUMNS($DC54:DL54)-1)*5 + 4) = "F"), INDEX($CZ$8:$CZ$23, COLUMNS($DC54:DL54)), "0"), "")</f>
        <v>0</v>
      </c>
      <c r="DM54" s="390" t="str">
        <f t="array" ref="DM54">IFERROR(IF(AND(INDEX($E$8:$CE$57, MATCH($C54, $C$8:$C$57, 0), (COLUMNS($DC54:DM54)-1)*5 + 1) = INDEX($E$5:$CE$5, 1, (COLUMNS($DC54:DM54)-1)*5 + 1), INDEX($E$8:$CE$57, MATCH($C54, $C$8:$C$57, 0), (COLUMNS($DC54:DM54)-1)*5 + 4) = "F"), INDEX($CZ$8:$CZ$23, COLUMNS($DC54:DM54)), "0"), "")</f>
        <v>0</v>
      </c>
      <c r="DN54" s="390" t="str">
        <f t="array" ref="DN54">IFERROR(IF(AND(INDEX($E$8:$CE$57, MATCH($C54, $C$8:$C$57, 0), (COLUMNS($DC54:DN54)-1)*5 + 1) = INDEX($E$5:$CE$5, 1, (COLUMNS($DC54:DN54)-1)*5 + 1), INDEX($E$8:$CE$57, MATCH($C54, $C$8:$C$57, 0), (COLUMNS($DC54:DN54)-1)*5 + 4) = "F"), INDEX($CZ$8:$CZ$23, COLUMNS($DC54:DN54)), "0"), "")</f>
        <v>0</v>
      </c>
      <c r="DO54" s="390" t="str">
        <f t="array" ref="DO54">IFERROR(IF(AND(INDEX($E$8:$CE$57, MATCH($C54, $C$8:$C$57, 0), (COLUMNS($DC54:DO54)-1)*5 + 1) = INDEX($E$5:$CE$5, 1, (COLUMNS($DC54:DO54)-1)*5 + 1), INDEX($E$8:$CE$57, MATCH($C54, $C$8:$C$57, 0), (COLUMNS($DC54:DO54)-1)*5 + 4) = "F"), INDEX($CZ$8:$CZ$23, COLUMNS($DC54:DO54)), "0"), "")</f>
        <v>0</v>
      </c>
      <c r="DP54" s="390" t="str">
        <f t="array" ref="DP54">IFERROR(IF(AND(INDEX($E$8:$CE$57, MATCH($C54, $C$8:$C$57, 0), (COLUMNS($DC54:DP54)-1)*5 + 1) = INDEX($E$5:$CE$5, 1, (COLUMNS($DC54:DP54)-1)*5 + 1), INDEX($E$8:$CE$57, MATCH($C54, $C$8:$C$57, 0), (COLUMNS($DC54:DP54)-1)*5 + 4) = "F"), INDEX($CZ$8:$CZ$23, COLUMNS($DC54:DP54)), "0"), "")</f>
        <v>0</v>
      </c>
      <c r="DQ54" s="390" t="str">
        <f t="array" ref="DQ54">IFERROR(IF(AND(INDEX($E$8:$CE$57, MATCH($C54, $C$8:$C$57, 0), (COLUMNS($DC54:DQ54)-1)*5 + 1) = INDEX($E$5:$CE$5, 1, (COLUMNS($DC54:DQ54)-1)*5 + 1), INDEX($E$8:$CE$57, MATCH($C54, $C$8:$C$57, 0), (COLUMNS($DC54:DQ54)-1)*5 + 4) = "F"), INDEX($CZ$8:$CZ$23, COLUMNS($DC54:DQ54)), "0"), "")</f>
        <v>0</v>
      </c>
      <c r="DR54" s="390" t="str">
        <f t="array" ref="DR54">IFERROR(IF(AND(INDEX($E$8:$CE$57, MATCH($C54, $C$8:$C$57, 0), (COLUMNS($DC54:DR54)-1)*5 + 1) = INDEX($E$5:$CE$5, 1, (COLUMNS($DC54:DR54)-1)*5 + 1), INDEX($E$8:$CE$57, MATCH($C54, $C$8:$C$57, 0), (COLUMNS($DC54:DR54)-1)*5 + 4) = "F"), INDEX($CZ$8:$CZ$23, COLUMNS($DC54:DR54)), "0"), "")</f>
        <v>0</v>
      </c>
      <c r="DT54" s="537" t="str">
        <f>SEMANA2[[#This Row],[COD]]</f>
        <v>COD 47</v>
      </c>
      <c r="DU54" s="390" t="str">
        <f t="array" ref="DU54">IFERROR(IF(AND(INDEX($E$8:$CE$57, MATCH($C54, $C$8:$C$57, 0), (COLUMNS($DU54:DU54)-1)*5 + 1) = INDEX($E$5:$CE$5, 1, (COLUMNS($DU54:DU54)-1)*5 + 1), INDEX($E$8:$CE$57, MATCH($C54, $C$8:$C$57, 0), (COLUMNS($DU54:DU54)-1)*5 + 4) = "SF"), INDEX($CZ$8:$CZ$23, COLUMNS($DU54:DU54)), "0"), "")</f>
        <v>0</v>
      </c>
      <c r="DV54" s="390" t="str">
        <f t="array" ref="DV54">IFERROR(IF(AND(INDEX($E$8:$CE$57, MATCH($C54, $C$8:$C$57, 0), (COLUMNS($DU54:DV54)-1)*5 + 1) = INDEX($E$5:$CE$5, 1, (COLUMNS($DU54:DV54)-1)*5 + 1), INDEX($E$8:$CE$57, MATCH($C54, $C$8:$C$57, 0), (COLUMNS($DU54:DV54)-1)*5 + 4) = "SF"), INDEX($CZ$8:$CZ$23, COLUMNS($DU54:DV54)), "0"), "")</f>
        <v>0</v>
      </c>
      <c r="DW54" s="390" t="str">
        <f t="array" ref="DW54">IFERROR(IF(AND(INDEX($E$8:$CE$57, MATCH($C54, $C$8:$C$57, 0), (COLUMNS($DU54:DW54)-1)*5 + 1) = INDEX($E$5:$CE$5, 1, (COLUMNS($DU54:DW54)-1)*5 + 1), INDEX($E$8:$CE$57, MATCH($C54, $C$8:$C$57, 0), (COLUMNS($DU54:DW54)-1)*5 + 4) = "SF"), INDEX($CZ$8:$CZ$23, COLUMNS($DU54:DW54)), "0"), "")</f>
        <v>0</v>
      </c>
      <c r="DX54" s="390" t="str">
        <f t="array" ref="DX54">IFERROR(IF(AND(INDEX($E$8:$CE$57, MATCH($C54, $C$8:$C$57, 0), (COLUMNS($DU54:DX54)-1)*5 + 1) = INDEX($E$5:$CE$5, 1, (COLUMNS($DU54:DX54)-1)*5 + 1), INDEX($E$8:$CE$57, MATCH($C54, $C$8:$C$57, 0), (COLUMNS($DU54:DX54)-1)*5 + 4) = "SF"), INDEX($CZ$8:$CZ$23, COLUMNS($DU54:DX54)), "0"), "")</f>
        <v>0</v>
      </c>
      <c r="DY54" s="390" t="str">
        <f t="array" ref="DY54">IFERROR(IF(AND(INDEX($E$8:$CE$57, MATCH($C54, $C$8:$C$57, 0), (COLUMNS($DU54:DY54)-1)*5 + 1) = INDEX($E$5:$CE$5, 1, (COLUMNS($DU54:DY54)-1)*5 + 1), INDEX($E$8:$CE$57, MATCH($C54, $C$8:$C$57, 0), (COLUMNS($DU54:DY54)-1)*5 + 4) = "SF"), INDEX($CZ$8:$CZ$23, COLUMNS($DU54:DY54)), "0"), "")</f>
        <v>0</v>
      </c>
      <c r="DZ54" s="390" t="str">
        <f t="array" ref="DZ54">IFERROR(IF(AND(INDEX($E$8:$CE$57, MATCH($C54, $C$8:$C$57, 0), (COLUMNS($DU54:DZ54)-1)*5 + 1) = INDEX($E$5:$CE$5, 1, (COLUMNS($DU54:DZ54)-1)*5 + 1), INDEX($E$8:$CE$57, MATCH($C54, $C$8:$C$57, 0), (COLUMNS($DU54:DZ54)-1)*5 + 4) = "SF"), INDEX($CZ$8:$CZ$23, COLUMNS($DU54:DZ54)), "0"), "")</f>
        <v>0</v>
      </c>
      <c r="EA54" s="390" t="str">
        <f t="array" ref="EA54">IFERROR(IF(AND(INDEX($E$8:$CE$57, MATCH($C54, $C$8:$C$57, 0), (COLUMNS($DU54:EA54)-1)*5 + 1) = INDEX($E$5:$CE$5, 1, (COLUMNS($DU54:EA54)-1)*5 + 1), INDEX($E$8:$CE$57, MATCH($C54, $C$8:$C$57, 0), (COLUMNS($DU54:EA54)-1)*5 + 4) = "SF"), INDEX($CZ$8:$CZ$23, COLUMNS($DU54:EA54)), "0"), "")</f>
        <v>0</v>
      </c>
      <c r="EB54" s="390" t="str">
        <f t="array" ref="EB54">IFERROR(IF(AND(INDEX($E$8:$CE$57, MATCH($C54, $C$8:$C$57, 0), (COLUMNS($DU54:EB54)-1)*5 + 1) = INDEX($E$5:$CE$5, 1, (COLUMNS($DU54:EB54)-1)*5 + 1), INDEX($E$8:$CE$57, MATCH($C54, $C$8:$C$57, 0), (COLUMNS($DU54:EB54)-1)*5 + 4) = "SF"), INDEX($CZ$8:$CZ$23, COLUMNS($DU54:EB54)), "0"), "")</f>
        <v>0</v>
      </c>
      <c r="EC54" s="390" t="str">
        <f t="array" ref="EC54">IFERROR(IF(AND(INDEX($E$8:$CE$57, MATCH($C54, $C$8:$C$57, 0), (COLUMNS($DU54:EC54)-1)*5 + 1) = INDEX($E$5:$CE$5, 1, (COLUMNS($DU54:EC54)-1)*5 + 1), INDEX($E$8:$CE$57, MATCH($C54, $C$8:$C$57, 0), (COLUMNS($DU54:EC54)-1)*5 + 4) = "SF"), INDEX($CZ$8:$CZ$23, COLUMNS($DU54:EC54)), "0"), "")</f>
        <v>0</v>
      </c>
      <c r="ED54" s="390" t="str">
        <f t="array" ref="ED54">IFERROR(IF(AND(INDEX($E$8:$CE$57, MATCH($C54, $C$8:$C$57, 0), (COLUMNS($DU54:ED54)-1)*5 + 1) = INDEX($E$5:$CE$5, 1, (COLUMNS($DU54:ED54)-1)*5 + 1), INDEX($E$8:$CE$57, MATCH($C54, $C$8:$C$57, 0), (COLUMNS($DU54:ED54)-1)*5 + 4) = "SF"), INDEX($CZ$8:$CZ$23, COLUMNS($DU54:ED54)), "0"), "")</f>
        <v>0</v>
      </c>
      <c r="EE54" s="390" t="str">
        <f t="array" ref="EE54">IFERROR(IF(AND(INDEX($E$8:$CE$57, MATCH($C54, $C$8:$C$57, 0), (COLUMNS($DU54:EE54)-1)*5 + 1) = INDEX($E$5:$CE$5, 1, (COLUMNS($DU54:EE54)-1)*5 + 1), INDEX($E$8:$CE$57, MATCH($C54, $C$8:$C$57, 0), (COLUMNS($DU54:EE54)-1)*5 + 4) = "SF"), INDEX($CZ$8:$CZ$23, COLUMNS($DU54:EE54)), "0"), "")</f>
        <v>0</v>
      </c>
      <c r="EF54" s="390" t="str">
        <f t="array" ref="EF54">IFERROR(IF(AND(INDEX($E$8:$CE$57, MATCH($C54, $C$8:$C$57, 0), (COLUMNS($DU54:EF54)-1)*5 + 1) = INDEX($E$5:$CE$5, 1, (COLUMNS($DU54:EF54)-1)*5 + 1), INDEX($E$8:$CE$57, MATCH($C54, $C$8:$C$57, 0), (COLUMNS($DU54:EF54)-1)*5 + 4) = "SF"), INDEX($CZ$8:$CZ$23, COLUMNS($DU54:EF54)), "0"), "")</f>
        <v>0</v>
      </c>
      <c r="EG54" s="390" t="str">
        <f t="array" ref="EG54">IFERROR(IF(AND(INDEX($E$8:$CE$57, MATCH($C54, $C$8:$C$57, 0), (COLUMNS($DU54:EG54)-1)*5 + 1) = INDEX($E$5:$CE$5, 1, (COLUMNS($DU54:EG54)-1)*5 + 1), INDEX($E$8:$CE$57, MATCH($C54, $C$8:$C$57, 0), (COLUMNS($DU54:EG54)-1)*5 + 4) = "SF"), INDEX($CZ$8:$CZ$23, COLUMNS($DU54:EG54)), "0"), "")</f>
        <v>0</v>
      </c>
      <c r="EH54" s="390" t="str">
        <f t="array" ref="EH54">IFERROR(IF(AND(INDEX($E$8:$CE$57, MATCH($C54, $C$8:$C$57, 0), (COLUMNS($DU54:EH54)-1)*5 + 1) = INDEX($E$5:$CE$5, 1, (COLUMNS($DU54:EH54)-1)*5 + 1), INDEX($E$8:$CE$57, MATCH($C54, $C$8:$C$57, 0), (COLUMNS($DU54:EH54)-1)*5 + 4) = "SF"), INDEX($CZ$8:$CZ$23, COLUMNS($DU54:EH54)), "0"), "")</f>
        <v>0</v>
      </c>
      <c r="EI54" s="390" t="str">
        <f t="array" ref="EI54">IFERROR(IF(AND(INDEX($E$8:$CE$57, MATCH($C54, $C$8:$C$57, 0), (COLUMNS($DU54:EI54)-1)*5 + 1) = INDEX($E$5:$CE$5, 1, (COLUMNS($DU54:EI54)-1)*5 + 1), INDEX($E$8:$CE$57, MATCH($C54, $C$8:$C$57, 0), (COLUMNS($DU54:EI54)-1)*5 + 4) = "SF"), INDEX($CZ$8:$CZ$23, COLUMNS($DU54:EI54)), "0"), "")</f>
        <v>0</v>
      </c>
      <c r="EJ54" s="390" t="str">
        <f t="array" ref="EJ54">IFERROR(IF(AND(INDEX($E$8:$CE$57, MATCH($C54, $C$8:$C$57, 0), (COLUMNS($DU54:EJ54)-1)*5 + 1) = INDEX($E$5:$CE$5, 1, (COLUMNS($DU54:EJ54)-1)*5 + 1), INDEX($E$8:$CE$57, MATCH($C54, $C$8:$C$57, 0), (COLUMNS($DU54:EJ54)-1)*5 + 4) = "SF"), INDEX($CZ$8:$CZ$23, COLUMNS($DU54:EJ54)), "0"), "")</f>
        <v>0</v>
      </c>
    </row>
    <row r="55" spans="1:140" ht="20.100000000000001" customHeight="1" outlineLevel="1" x14ac:dyDescent="0.35">
      <c r="A55" s="515"/>
      <c r="B55" s="444">
        <f>IF(SEMANA2[[#This Row],[COD]]&lt;&gt;"",B54+1,"")</f>
        <v>48</v>
      </c>
      <c r="C55" s="554" t="s">
        <v>120</v>
      </c>
      <c r="D55" s="410" t="str">
        <f t="array" ref="D55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NO ENVIÓ</v>
      </c>
      <c r="E55" s="411"/>
      <c r="F55" s="413"/>
      <c r="G55" s="413"/>
      <c r="H55" s="413"/>
      <c r="I55" s="534">
        <f t="shared" si="18"/>
        <v>0</v>
      </c>
      <c r="J55" s="411"/>
      <c r="K55" s="413"/>
      <c r="L55" s="413"/>
      <c r="M55" s="413"/>
      <c r="N55" s="534">
        <f t="shared" si="19"/>
        <v>0</v>
      </c>
      <c r="O55" s="411"/>
      <c r="P55" s="413"/>
      <c r="Q55" s="413"/>
      <c r="R55" s="413"/>
      <c r="S55" s="534">
        <f t="shared" si="20"/>
        <v>0</v>
      </c>
      <c r="T55" s="411"/>
      <c r="U55" s="413"/>
      <c r="V55" s="413"/>
      <c r="W55" s="413"/>
      <c r="X55" s="534">
        <f t="shared" si="21"/>
        <v>0</v>
      </c>
      <c r="Y55" s="411"/>
      <c r="Z55" s="413"/>
      <c r="AA55" s="413"/>
      <c r="AB55" s="413"/>
      <c r="AC55" s="534">
        <f t="shared" si="22"/>
        <v>0</v>
      </c>
      <c r="AD55" s="411"/>
      <c r="AE55" s="413"/>
      <c r="AF55" s="413"/>
      <c r="AG55" s="413"/>
      <c r="AH55" s="534">
        <f t="shared" si="23"/>
        <v>0</v>
      </c>
      <c r="AI55" s="411"/>
      <c r="AJ55" s="413"/>
      <c r="AK55" s="413"/>
      <c r="AL55" s="413"/>
      <c r="AM55" s="534">
        <f t="shared" si="24"/>
        <v>0</v>
      </c>
      <c r="AN55" s="411"/>
      <c r="AO55" s="413"/>
      <c r="AP55" s="413"/>
      <c r="AQ55" s="413"/>
      <c r="AR55" s="534">
        <f t="shared" si="25"/>
        <v>0</v>
      </c>
      <c r="AS55" s="411"/>
      <c r="AT55" s="413"/>
      <c r="AU55" s="413"/>
      <c r="AV55" s="413"/>
      <c r="AW55" s="534">
        <f t="shared" si="26"/>
        <v>0</v>
      </c>
      <c r="AX55" s="411"/>
      <c r="AY55" s="413"/>
      <c r="AZ55" s="413"/>
      <c r="BA55" s="413"/>
      <c r="BB55" s="534">
        <f t="shared" si="27"/>
        <v>0</v>
      </c>
      <c r="BC55" s="411"/>
      <c r="BD55" s="413"/>
      <c r="BE55" s="413"/>
      <c r="BF55" s="413"/>
      <c r="BG55" s="534">
        <f t="shared" si="28"/>
        <v>0</v>
      </c>
      <c r="BH55" s="411"/>
      <c r="BI55" s="413"/>
      <c r="BJ55" s="413"/>
      <c r="BK55" s="413"/>
      <c r="BL55" s="534">
        <f t="shared" si="29"/>
        <v>0</v>
      </c>
      <c r="BM55" s="411"/>
      <c r="BN55" s="413"/>
      <c r="BO55" s="413"/>
      <c r="BP55" s="413"/>
      <c r="BQ55" s="534">
        <f t="shared" si="30"/>
        <v>0</v>
      </c>
      <c r="BR55" s="411"/>
      <c r="BS55" s="413"/>
      <c r="BT55" s="413"/>
      <c r="BU55" s="413"/>
      <c r="BV55" s="534">
        <f t="shared" si="31"/>
        <v>0</v>
      </c>
      <c r="BW55" s="411"/>
      <c r="BX55" s="413"/>
      <c r="BY55" s="413"/>
      <c r="BZ55" s="413"/>
      <c r="CA55" s="534">
        <f t="shared" si="32"/>
        <v>0</v>
      </c>
      <c r="CB55" s="411"/>
      <c r="CC55" s="413"/>
      <c r="CD55" s="413"/>
      <c r="CE55" s="413"/>
      <c r="CF55" s="534">
        <f t="shared" si="33"/>
        <v>0</v>
      </c>
      <c r="CG55" s="162">
        <f>IF(SEMANA2[[#This Row],[1]]="",0,$B$4)</f>
        <v>0</v>
      </c>
      <c r="CH55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0</v>
      </c>
      <c r="CI55" s="185">
        <f>IF(SEMANA2[[#This Row],[Columna14]]=0,0,(CH55/CG55))</f>
        <v>0</v>
      </c>
      <c r="CJ55" s="163">
        <f>IF(SEMANA2[[#This Row],[1]]="",0,$B$4)</f>
        <v>0</v>
      </c>
      <c r="CK55" s="186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0</v>
      </c>
      <c r="CL55" s="185">
        <f>IF(SEMANA2[[#This Row],[Columna14]]=0,0,(CK55/CJ55))</f>
        <v>0</v>
      </c>
      <c r="CM55" s="162">
        <f>IF(SEMANA2[[#This Row],[1]]="",0,$B$4)</f>
        <v>0</v>
      </c>
      <c r="CN55" s="186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0</v>
      </c>
      <c r="CO55" s="185">
        <f>IF(SEMANA2[[#This Row],[Columna14]]=0,0,(CN55/CM55))</f>
        <v>0</v>
      </c>
      <c r="CP55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0</v>
      </c>
      <c r="CQ55" s="186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Row],[Columna25]],$AX$5,BA55,"SF")+COUNTIFS(SEMANA2[[#This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0</v>
      </c>
      <c r="CR55" s="185">
        <f>IFERROR(IF(SEMANA2[[#This Row],[Columna14]]=0,0,(CQ55/CP55)),0)</f>
        <v>0</v>
      </c>
      <c r="CS55" s="539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0</v>
      </c>
      <c r="CT55" s="93">
        <f>_xlfn.XLOOKUP(SEMANA2[[#This Row],[COD]],BASE01[COD],BASE01[Columna33])</f>
        <v>0</v>
      </c>
      <c r="CU55" s="536">
        <f t="shared" si="34"/>
        <v>0</v>
      </c>
      <c r="CV55" s="445" t="str">
        <f>IF(SEMANA2[[#This Row],[TIPO]]="PREMIO",$O$3,"0,00")</f>
        <v>0,00</v>
      </c>
      <c r="CW55" s="515"/>
      <c r="CY55" s="387" t="str">
        <f t="shared" si="17"/>
        <v/>
      </c>
      <c r="CZ55" s="387"/>
      <c r="DA55" s="387" t="str">
        <f t="array" ref="DA55">IF(CZ55="", "", IF((INDEX(E$8:CE$57, MATCH(CZ55, C$8:C$57, 0), ($CZ$25-1)*5 + 1) &amp; "") = (INDEX(E$5:CE$5, 1, ($CZ$25-1)*5 + 1) &amp; ""), 1, IF((INDEX(E$8:CE$57, MATCH(CZ55, C$8:C$57, 0), ($CZ$25-1)*5 + 2) &amp; "") = (INDEX(E$5:CE$5, 1, ($CZ$25-1)*5 + 1) &amp; ""), 2, IF((INDEX(E$8:CE$57, MATCH(CZ55, C$8:C$57, 0), ($CZ$25-1)*5 + 3) &amp; "") = (INDEX(E$5:CE$5, 1, ($CZ$25-1)*5 + 1) &amp; ""), 3, ""))))</f>
        <v/>
      </c>
      <c r="DB55" s="537" t="str">
        <f>SEMANA2[[#This Row],[COD]]</f>
        <v>COD 48</v>
      </c>
      <c r="DC55" s="390" t="str">
        <f t="array" ref="DC55">IFERROR(IF(AND(INDEX($E$8:$CE$57, MATCH($C55, $C$8:$C$57, 0), (COLUMNS($DC55:DC55)-1)*5 + 1) = INDEX($E$5:$CE$5, 1, (COLUMNS($DC55:DC55)-1)*5 + 1), INDEX($E$8:$CE$57, MATCH($C55, $C$8:$C$57, 0), (COLUMNS($DC55:DC55)-1)*5 + 4) = "F"), INDEX($CZ$8:$CZ$23, COLUMNS($DC55:DC55)), "0"), "")</f>
        <v>0</v>
      </c>
      <c r="DD55" s="390" t="str">
        <f t="array" ref="DD55">IFERROR(IF(AND(INDEX($E$8:$CE$57, MATCH($C55, $C$8:$C$57, 0), (COLUMNS($DC55:DD55)-1)*5 + 1) = INDEX($E$5:$CE$5, 1, (COLUMNS($DC55:DD55)-1)*5 + 1), INDEX($E$8:$CE$57, MATCH($C55, $C$8:$C$57, 0), (COLUMNS($DC55:DD55)-1)*5 + 4) = "F"), INDEX($CZ$8:$CZ$23, COLUMNS($DC55:DD55)), "0"), "")</f>
        <v>0</v>
      </c>
      <c r="DE55" s="390" t="str">
        <f t="array" ref="DE55">IFERROR(IF(AND(INDEX($E$8:$CE$57, MATCH($C55, $C$8:$C$57, 0), (COLUMNS($DC55:DE55)-1)*5 + 1) = INDEX($E$5:$CE$5, 1, (COLUMNS($DC55:DE55)-1)*5 + 1), INDEX($E$8:$CE$57, MATCH($C55, $C$8:$C$57, 0), (COLUMNS($DC55:DE55)-1)*5 + 4) = "F"), INDEX($CZ$8:$CZ$23, COLUMNS($DC55:DE55)), "0"), "")</f>
        <v>0</v>
      </c>
      <c r="DF55" s="390" t="str">
        <f t="array" ref="DF55">IFERROR(IF(AND(INDEX($E$8:$CE$57, MATCH($C55, $C$8:$C$57, 0), (COLUMNS($DC55:DF55)-1)*5 + 1) = INDEX($E$5:$CE$5, 1, (COLUMNS($DC55:DF55)-1)*5 + 1), INDEX($E$8:$CE$57, MATCH($C55, $C$8:$C$57, 0), (COLUMNS($DC55:DF55)-1)*5 + 4) = "F"), INDEX($CZ$8:$CZ$23, COLUMNS($DC55:DF55)), "0"), "")</f>
        <v>0</v>
      </c>
      <c r="DG55" s="390" t="str">
        <f t="array" ref="DG55">IFERROR(IF(AND(INDEX($E$8:$CE$57, MATCH($C55, $C$8:$C$57, 0), (COLUMNS($DC55:DG55)-1)*5 + 1) = INDEX($E$5:$CE$5, 1, (COLUMNS($DC55:DG55)-1)*5 + 1), INDEX($E$8:$CE$57, MATCH($C55, $C$8:$C$57, 0), (COLUMNS($DC55:DG55)-1)*5 + 4) = "F"), INDEX($CZ$8:$CZ$23, COLUMNS($DC55:DG55)), "0"), "")</f>
        <v>0</v>
      </c>
      <c r="DH55" s="390" t="str">
        <f t="array" ref="DH55">IFERROR(IF(AND(INDEX($E$8:$CE$57, MATCH($C55, $C$8:$C$57, 0), (COLUMNS($DC55:DH55)-1)*5 + 1) = INDEX($E$5:$CE$5, 1, (COLUMNS($DC55:DH55)-1)*5 + 1), INDEX($E$8:$CE$57, MATCH($C55, $C$8:$C$57, 0), (COLUMNS($DC55:DH55)-1)*5 + 4) = "F"), INDEX($CZ$8:$CZ$23, COLUMNS($DC55:DH55)), "0"), "")</f>
        <v>0</v>
      </c>
      <c r="DI55" s="390" t="str">
        <f t="array" ref="DI55">IFERROR(IF(AND(INDEX($E$8:$CE$57, MATCH($C55, $C$8:$C$57, 0), (COLUMNS($DC55:DI55)-1)*5 + 1) = INDEX($E$5:$CE$5, 1, (COLUMNS($DC55:DI55)-1)*5 + 1), INDEX($E$8:$CE$57, MATCH($C55, $C$8:$C$57, 0), (COLUMNS($DC55:DI55)-1)*5 + 4) = "F"), INDEX($CZ$8:$CZ$23, COLUMNS($DC55:DI55)), "0"), "")</f>
        <v>0</v>
      </c>
      <c r="DJ55" s="390" t="str">
        <f t="array" ref="DJ55">IFERROR(IF(AND(INDEX($E$8:$CE$57, MATCH($C55, $C$8:$C$57, 0), (COLUMNS($DC55:DJ55)-1)*5 + 1) = INDEX($E$5:$CE$5, 1, (COLUMNS($DC55:DJ55)-1)*5 + 1), INDEX($E$8:$CE$57, MATCH($C55, $C$8:$C$57, 0), (COLUMNS($DC55:DJ55)-1)*5 + 4) = "F"), INDEX($CZ$8:$CZ$23, COLUMNS($DC55:DJ55)), "0"), "")</f>
        <v>0</v>
      </c>
      <c r="DK55" s="390" t="str">
        <f t="array" ref="DK55">IFERROR(IF(AND(INDEX($E$8:$CE$57, MATCH($C55, $C$8:$C$57, 0), (COLUMNS($DC55:DK55)-1)*5 + 1) = INDEX($E$5:$CE$5, 1, (COLUMNS($DC55:DK55)-1)*5 + 1), INDEX($E$8:$CE$57, MATCH($C55, $C$8:$C$57, 0), (COLUMNS($DC55:DK55)-1)*5 + 4) = "F"), INDEX($CZ$8:$CZ$23, COLUMNS($DC55:DK55)), "0"), "")</f>
        <v>0</v>
      </c>
      <c r="DL55" s="390" t="str">
        <f t="array" ref="DL55">IFERROR(IF(AND(INDEX($E$8:$CE$57, MATCH($C55, $C$8:$C$57, 0), (COLUMNS($DC55:DL55)-1)*5 + 1) = INDEX($E$5:$CE$5, 1, (COLUMNS($DC55:DL55)-1)*5 + 1), INDEX($E$8:$CE$57, MATCH($C55, $C$8:$C$57, 0), (COLUMNS($DC55:DL55)-1)*5 + 4) = "F"), INDEX($CZ$8:$CZ$23, COLUMNS($DC55:DL55)), "0"), "")</f>
        <v>0</v>
      </c>
      <c r="DM55" s="390" t="str">
        <f t="array" ref="DM55">IFERROR(IF(AND(INDEX($E$8:$CE$57, MATCH($C55, $C$8:$C$57, 0), (COLUMNS($DC55:DM55)-1)*5 + 1) = INDEX($E$5:$CE$5, 1, (COLUMNS($DC55:DM55)-1)*5 + 1), INDEX($E$8:$CE$57, MATCH($C55, $C$8:$C$57, 0), (COLUMNS($DC55:DM55)-1)*5 + 4) = "F"), INDEX($CZ$8:$CZ$23, COLUMNS($DC55:DM55)), "0"), "")</f>
        <v>0</v>
      </c>
      <c r="DN55" s="390" t="str">
        <f t="array" ref="DN55">IFERROR(IF(AND(INDEX($E$8:$CE$57, MATCH($C55, $C$8:$C$57, 0), (COLUMNS($DC55:DN55)-1)*5 + 1) = INDEX($E$5:$CE$5, 1, (COLUMNS($DC55:DN55)-1)*5 + 1), INDEX($E$8:$CE$57, MATCH($C55, $C$8:$C$57, 0), (COLUMNS($DC55:DN55)-1)*5 + 4) = "F"), INDEX($CZ$8:$CZ$23, COLUMNS($DC55:DN55)), "0"), "")</f>
        <v>0</v>
      </c>
      <c r="DO55" s="390" t="str">
        <f t="array" ref="DO55">IFERROR(IF(AND(INDEX($E$8:$CE$57, MATCH($C55, $C$8:$C$57, 0), (COLUMNS($DC55:DO55)-1)*5 + 1) = INDEX($E$5:$CE$5, 1, (COLUMNS($DC55:DO55)-1)*5 + 1), INDEX($E$8:$CE$57, MATCH($C55, $C$8:$C$57, 0), (COLUMNS($DC55:DO55)-1)*5 + 4) = "F"), INDEX($CZ$8:$CZ$23, COLUMNS($DC55:DO55)), "0"), "")</f>
        <v>0</v>
      </c>
      <c r="DP55" s="390" t="str">
        <f t="array" ref="DP55">IFERROR(IF(AND(INDEX($E$8:$CE$57, MATCH($C55, $C$8:$C$57, 0), (COLUMNS($DC55:DP55)-1)*5 + 1) = INDEX($E$5:$CE$5, 1, (COLUMNS($DC55:DP55)-1)*5 + 1), INDEX($E$8:$CE$57, MATCH($C55, $C$8:$C$57, 0), (COLUMNS($DC55:DP55)-1)*5 + 4) = "F"), INDEX($CZ$8:$CZ$23, COLUMNS($DC55:DP55)), "0"), "")</f>
        <v>0</v>
      </c>
      <c r="DQ55" s="390" t="str">
        <f t="array" ref="DQ55">IFERROR(IF(AND(INDEX($E$8:$CE$57, MATCH($C55, $C$8:$C$57, 0), (COLUMNS($DC55:DQ55)-1)*5 + 1) = INDEX($E$5:$CE$5, 1, (COLUMNS($DC55:DQ55)-1)*5 + 1), INDEX($E$8:$CE$57, MATCH($C55, $C$8:$C$57, 0), (COLUMNS($DC55:DQ55)-1)*5 + 4) = "F"), INDEX($CZ$8:$CZ$23, COLUMNS($DC55:DQ55)), "0"), "")</f>
        <v>0</v>
      </c>
      <c r="DR55" s="390" t="str">
        <f t="array" ref="DR55">IFERROR(IF(AND(INDEX($E$8:$CE$57, MATCH($C55, $C$8:$C$57, 0), (COLUMNS($DC55:DR55)-1)*5 + 1) = INDEX($E$5:$CE$5, 1, (COLUMNS($DC55:DR55)-1)*5 + 1), INDEX($E$8:$CE$57, MATCH($C55, $C$8:$C$57, 0), (COLUMNS($DC55:DR55)-1)*5 + 4) = "F"), INDEX($CZ$8:$CZ$23, COLUMNS($DC55:DR55)), "0"), "")</f>
        <v>0</v>
      </c>
      <c r="DT55" s="537" t="str">
        <f>SEMANA2[[#This Row],[COD]]</f>
        <v>COD 48</v>
      </c>
      <c r="DU55" s="390" t="str">
        <f t="array" ref="DU55">IFERROR(IF(AND(INDEX($E$8:$CE$57, MATCH($C55, $C$8:$C$57, 0), (COLUMNS($DU55:DU55)-1)*5 + 1) = INDEX($E$5:$CE$5, 1, (COLUMNS($DU55:DU55)-1)*5 + 1), INDEX($E$8:$CE$57, MATCH($C55, $C$8:$C$57, 0), (COLUMNS($DU55:DU55)-1)*5 + 4) = "SF"), INDEX($CZ$8:$CZ$23, COLUMNS($DU55:DU55)), "0"), "")</f>
        <v>0</v>
      </c>
      <c r="DV55" s="390" t="str">
        <f t="array" ref="DV55">IFERROR(IF(AND(INDEX($E$8:$CE$57, MATCH($C55, $C$8:$C$57, 0), (COLUMNS($DU55:DV55)-1)*5 + 1) = INDEX($E$5:$CE$5, 1, (COLUMNS($DU55:DV55)-1)*5 + 1), INDEX($E$8:$CE$57, MATCH($C55, $C$8:$C$57, 0), (COLUMNS($DU55:DV55)-1)*5 + 4) = "SF"), INDEX($CZ$8:$CZ$23, COLUMNS($DU55:DV55)), "0"), "")</f>
        <v>0</v>
      </c>
      <c r="DW55" s="390" t="str">
        <f t="array" ref="DW55">IFERROR(IF(AND(INDEX($E$8:$CE$57, MATCH($C55, $C$8:$C$57, 0), (COLUMNS($DU55:DW55)-1)*5 + 1) = INDEX($E$5:$CE$5, 1, (COLUMNS($DU55:DW55)-1)*5 + 1), INDEX($E$8:$CE$57, MATCH($C55, $C$8:$C$57, 0), (COLUMNS($DU55:DW55)-1)*5 + 4) = "SF"), INDEX($CZ$8:$CZ$23, COLUMNS($DU55:DW55)), "0"), "")</f>
        <v>0</v>
      </c>
      <c r="DX55" s="390" t="str">
        <f t="array" ref="DX55">IFERROR(IF(AND(INDEX($E$8:$CE$57, MATCH($C55, $C$8:$C$57, 0), (COLUMNS($DU55:DX55)-1)*5 + 1) = INDEX($E$5:$CE$5, 1, (COLUMNS($DU55:DX55)-1)*5 + 1), INDEX($E$8:$CE$57, MATCH($C55, $C$8:$C$57, 0), (COLUMNS($DU55:DX55)-1)*5 + 4) = "SF"), INDEX($CZ$8:$CZ$23, COLUMNS($DU55:DX55)), "0"), "")</f>
        <v>0</v>
      </c>
      <c r="DY55" s="390" t="str">
        <f t="array" ref="DY55">IFERROR(IF(AND(INDEX($E$8:$CE$57, MATCH($C55, $C$8:$C$57, 0), (COLUMNS($DU55:DY55)-1)*5 + 1) = INDEX($E$5:$CE$5, 1, (COLUMNS($DU55:DY55)-1)*5 + 1), INDEX($E$8:$CE$57, MATCH($C55, $C$8:$C$57, 0), (COLUMNS($DU55:DY55)-1)*5 + 4) = "SF"), INDEX($CZ$8:$CZ$23, COLUMNS($DU55:DY55)), "0"), "")</f>
        <v>0</v>
      </c>
      <c r="DZ55" s="390" t="str">
        <f t="array" ref="DZ55">IFERROR(IF(AND(INDEX($E$8:$CE$57, MATCH($C55, $C$8:$C$57, 0), (COLUMNS($DU55:DZ55)-1)*5 + 1) = INDEX($E$5:$CE$5, 1, (COLUMNS($DU55:DZ55)-1)*5 + 1), INDEX($E$8:$CE$57, MATCH($C55, $C$8:$C$57, 0), (COLUMNS($DU55:DZ55)-1)*5 + 4) = "SF"), INDEX($CZ$8:$CZ$23, COLUMNS($DU55:DZ55)), "0"), "")</f>
        <v>0</v>
      </c>
      <c r="EA55" s="390" t="str">
        <f t="array" ref="EA55">IFERROR(IF(AND(INDEX($E$8:$CE$57, MATCH($C55, $C$8:$C$57, 0), (COLUMNS($DU55:EA55)-1)*5 + 1) = INDEX($E$5:$CE$5, 1, (COLUMNS($DU55:EA55)-1)*5 + 1), INDEX($E$8:$CE$57, MATCH($C55, $C$8:$C$57, 0), (COLUMNS($DU55:EA55)-1)*5 + 4) = "SF"), INDEX($CZ$8:$CZ$23, COLUMNS($DU55:EA55)), "0"), "")</f>
        <v>0</v>
      </c>
      <c r="EB55" s="390" t="str">
        <f t="array" ref="EB55">IFERROR(IF(AND(INDEX($E$8:$CE$57, MATCH($C55, $C$8:$C$57, 0), (COLUMNS($DU55:EB55)-1)*5 + 1) = INDEX($E$5:$CE$5, 1, (COLUMNS($DU55:EB55)-1)*5 + 1), INDEX($E$8:$CE$57, MATCH($C55, $C$8:$C$57, 0), (COLUMNS($DU55:EB55)-1)*5 + 4) = "SF"), INDEX($CZ$8:$CZ$23, COLUMNS($DU55:EB55)), "0"), "")</f>
        <v>0</v>
      </c>
      <c r="EC55" s="390" t="str">
        <f t="array" ref="EC55">IFERROR(IF(AND(INDEX($E$8:$CE$57, MATCH($C55, $C$8:$C$57, 0), (COLUMNS($DU55:EC55)-1)*5 + 1) = INDEX($E$5:$CE$5, 1, (COLUMNS($DU55:EC55)-1)*5 + 1), INDEX($E$8:$CE$57, MATCH($C55, $C$8:$C$57, 0), (COLUMNS($DU55:EC55)-1)*5 + 4) = "SF"), INDEX($CZ$8:$CZ$23, COLUMNS($DU55:EC55)), "0"), "")</f>
        <v>0</v>
      </c>
      <c r="ED55" s="390" t="str">
        <f t="array" ref="ED55">IFERROR(IF(AND(INDEX($E$8:$CE$57, MATCH($C55, $C$8:$C$57, 0), (COLUMNS($DU55:ED55)-1)*5 + 1) = INDEX($E$5:$CE$5, 1, (COLUMNS($DU55:ED55)-1)*5 + 1), INDEX($E$8:$CE$57, MATCH($C55, $C$8:$C$57, 0), (COLUMNS($DU55:ED55)-1)*5 + 4) = "SF"), INDEX($CZ$8:$CZ$23, COLUMNS($DU55:ED55)), "0"), "")</f>
        <v>0</v>
      </c>
      <c r="EE55" s="390" t="str">
        <f t="array" ref="EE55">IFERROR(IF(AND(INDEX($E$8:$CE$57, MATCH($C55, $C$8:$C$57, 0), (COLUMNS($DU55:EE55)-1)*5 + 1) = INDEX($E$5:$CE$5, 1, (COLUMNS($DU55:EE55)-1)*5 + 1), INDEX($E$8:$CE$57, MATCH($C55, $C$8:$C$57, 0), (COLUMNS($DU55:EE55)-1)*5 + 4) = "SF"), INDEX($CZ$8:$CZ$23, COLUMNS($DU55:EE55)), "0"), "")</f>
        <v>0</v>
      </c>
      <c r="EF55" s="390" t="str">
        <f t="array" ref="EF55">IFERROR(IF(AND(INDEX($E$8:$CE$57, MATCH($C55, $C$8:$C$57, 0), (COLUMNS($DU55:EF55)-1)*5 + 1) = INDEX($E$5:$CE$5, 1, (COLUMNS($DU55:EF55)-1)*5 + 1), INDEX($E$8:$CE$57, MATCH($C55, $C$8:$C$57, 0), (COLUMNS($DU55:EF55)-1)*5 + 4) = "SF"), INDEX($CZ$8:$CZ$23, COLUMNS($DU55:EF55)), "0"), "")</f>
        <v>0</v>
      </c>
      <c r="EG55" s="390" t="str">
        <f t="array" ref="EG55">IFERROR(IF(AND(INDEX($E$8:$CE$57, MATCH($C55, $C$8:$C$57, 0), (COLUMNS($DU55:EG55)-1)*5 + 1) = INDEX($E$5:$CE$5, 1, (COLUMNS($DU55:EG55)-1)*5 + 1), INDEX($E$8:$CE$57, MATCH($C55, $C$8:$C$57, 0), (COLUMNS($DU55:EG55)-1)*5 + 4) = "SF"), INDEX($CZ$8:$CZ$23, COLUMNS($DU55:EG55)), "0"), "")</f>
        <v>0</v>
      </c>
      <c r="EH55" s="390" t="str">
        <f t="array" ref="EH55">IFERROR(IF(AND(INDEX($E$8:$CE$57, MATCH($C55, $C$8:$C$57, 0), (COLUMNS($DU55:EH55)-1)*5 + 1) = INDEX($E$5:$CE$5, 1, (COLUMNS($DU55:EH55)-1)*5 + 1), INDEX($E$8:$CE$57, MATCH($C55, $C$8:$C$57, 0), (COLUMNS($DU55:EH55)-1)*5 + 4) = "SF"), INDEX($CZ$8:$CZ$23, COLUMNS($DU55:EH55)), "0"), "")</f>
        <v>0</v>
      </c>
      <c r="EI55" s="390" t="str">
        <f t="array" ref="EI55">IFERROR(IF(AND(INDEX($E$8:$CE$57, MATCH($C55, $C$8:$C$57, 0), (COLUMNS($DU55:EI55)-1)*5 + 1) = INDEX($E$5:$CE$5, 1, (COLUMNS($DU55:EI55)-1)*5 + 1), INDEX($E$8:$CE$57, MATCH($C55, $C$8:$C$57, 0), (COLUMNS($DU55:EI55)-1)*5 + 4) = "SF"), INDEX($CZ$8:$CZ$23, COLUMNS($DU55:EI55)), "0"), "")</f>
        <v>0</v>
      </c>
      <c r="EJ55" s="390" t="str">
        <f t="array" ref="EJ55">IFERROR(IF(AND(INDEX($E$8:$CE$57, MATCH($C55, $C$8:$C$57, 0), (COLUMNS($DU55:EJ55)-1)*5 + 1) = INDEX($E$5:$CE$5, 1, (COLUMNS($DU55:EJ55)-1)*5 + 1), INDEX($E$8:$CE$57, MATCH($C55, $C$8:$C$57, 0), (COLUMNS($DU55:EJ55)-1)*5 + 4) = "SF"), INDEX($CZ$8:$CZ$23, COLUMNS($DU55:EJ55)), "0"), "")</f>
        <v>0</v>
      </c>
    </row>
    <row r="56" spans="1:140" ht="20.100000000000001" customHeight="1" outlineLevel="1" x14ac:dyDescent="0.35">
      <c r="A56" s="515"/>
      <c r="B56" s="444">
        <f>IF(SEMANA2[[#This Row],[COD]]&lt;&gt;"",B55+1,"")</f>
        <v>49</v>
      </c>
      <c r="C56" s="554" t="s">
        <v>121</v>
      </c>
      <c r="D56" s="410" t="str">
        <f t="array" ref="D56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NO ENVIÓ</v>
      </c>
      <c r="E56" s="411"/>
      <c r="F56" s="413"/>
      <c r="G56" s="413"/>
      <c r="H56" s="413"/>
      <c r="I56" s="534">
        <f t="shared" si="18"/>
        <v>0</v>
      </c>
      <c r="J56" s="411"/>
      <c r="K56" s="413"/>
      <c r="L56" s="413"/>
      <c r="M56" s="413"/>
      <c r="N56" s="534">
        <f t="shared" si="19"/>
        <v>0</v>
      </c>
      <c r="O56" s="411"/>
      <c r="P56" s="413"/>
      <c r="Q56" s="413"/>
      <c r="R56" s="413"/>
      <c r="S56" s="534">
        <f t="shared" si="20"/>
        <v>0</v>
      </c>
      <c r="T56" s="411"/>
      <c r="U56" s="413"/>
      <c r="V56" s="413"/>
      <c r="W56" s="413"/>
      <c r="X56" s="534">
        <f t="shared" si="21"/>
        <v>0</v>
      </c>
      <c r="Y56" s="411"/>
      <c r="Z56" s="413"/>
      <c r="AA56" s="413"/>
      <c r="AB56" s="413"/>
      <c r="AC56" s="534">
        <f t="shared" si="22"/>
        <v>0</v>
      </c>
      <c r="AD56" s="411"/>
      <c r="AE56" s="413"/>
      <c r="AF56" s="413"/>
      <c r="AG56" s="413"/>
      <c r="AH56" s="534">
        <f t="shared" si="23"/>
        <v>0</v>
      </c>
      <c r="AI56" s="411"/>
      <c r="AJ56" s="413"/>
      <c r="AK56" s="413"/>
      <c r="AL56" s="413"/>
      <c r="AM56" s="534">
        <f t="shared" si="24"/>
        <v>0</v>
      </c>
      <c r="AN56" s="411"/>
      <c r="AO56" s="413"/>
      <c r="AP56" s="413"/>
      <c r="AQ56" s="413"/>
      <c r="AR56" s="534">
        <f t="shared" si="25"/>
        <v>0</v>
      </c>
      <c r="AS56" s="411"/>
      <c r="AT56" s="413"/>
      <c r="AU56" s="413"/>
      <c r="AV56" s="413"/>
      <c r="AW56" s="534">
        <f t="shared" si="26"/>
        <v>0</v>
      </c>
      <c r="AX56" s="411"/>
      <c r="AY56" s="413"/>
      <c r="AZ56" s="413"/>
      <c r="BA56" s="413"/>
      <c r="BB56" s="534">
        <f t="shared" si="27"/>
        <v>0</v>
      </c>
      <c r="BC56" s="411"/>
      <c r="BD56" s="413"/>
      <c r="BE56" s="413"/>
      <c r="BF56" s="413"/>
      <c r="BG56" s="534">
        <f t="shared" si="28"/>
        <v>0</v>
      </c>
      <c r="BH56" s="411"/>
      <c r="BI56" s="413"/>
      <c r="BJ56" s="413"/>
      <c r="BK56" s="413"/>
      <c r="BL56" s="534">
        <f t="shared" si="29"/>
        <v>0</v>
      </c>
      <c r="BM56" s="411"/>
      <c r="BN56" s="413"/>
      <c r="BO56" s="413"/>
      <c r="BP56" s="413"/>
      <c r="BQ56" s="534">
        <f t="shared" si="30"/>
        <v>0</v>
      </c>
      <c r="BR56" s="411"/>
      <c r="BS56" s="413"/>
      <c r="BT56" s="413"/>
      <c r="BU56" s="413"/>
      <c r="BV56" s="534">
        <f t="shared" si="31"/>
        <v>0</v>
      </c>
      <c r="BW56" s="411"/>
      <c r="BX56" s="413"/>
      <c r="BY56" s="413"/>
      <c r="BZ56" s="413"/>
      <c r="CA56" s="534">
        <f t="shared" si="32"/>
        <v>0</v>
      </c>
      <c r="CB56" s="411"/>
      <c r="CC56" s="413"/>
      <c r="CD56" s="413"/>
      <c r="CE56" s="413"/>
      <c r="CF56" s="534">
        <f t="shared" si="33"/>
        <v>0</v>
      </c>
      <c r="CG56" s="162">
        <f>IF(SEMANA2[[#This Row],[1]]="",0,$B$4)</f>
        <v>0</v>
      </c>
      <c r="CH56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0</v>
      </c>
      <c r="CI56" s="185">
        <f>IF(SEMANA2[[#This Row],[Columna14]]=0,0,(CH56/CG56))</f>
        <v>0</v>
      </c>
      <c r="CJ56" s="163">
        <f>IF(SEMANA2[[#This Row],[1]]="",0,$B$4)</f>
        <v>0</v>
      </c>
      <c r="CK56" s="186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0</v>
      </c>
      <c r="CL56" s="185">
        <f>IF(SEMANA2[[#This Row],[Columna14]]=0,0,(CK56/CJ56))</f>
        <v>0</v>
      </c>
      <c r="CM56" s="162">
        <f>IF(SEMANA2[[#This Row],[1]]="",0,$B$4)</f>
        <v>0</v>
      </c>
      <c r="CN56" s="186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0</v>
      </c>
      <c r="CO56" s="185">
        <f>IF(SEMANA2[[#This Row],[Columna14]]=0,0,(CN56/CM56))</f>
        <v>0</v>
      </c>
      <c r="CP56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0</v>
      </c>
      <c r="CQ56" s="186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Row],[Columna25]],$AX$5,BA56,"SF")+COUNTIFS(SEMANA2[[#This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0</v>
      </c>
      <c r="CR56" s="185">
        <f>IFERROR(IF(SEMANA2[[#This Row],[Columna14]]=0,0,(CQ56/CP56)),0)</f>
        <v>0</v>
      </c>
      <c r="CS56" s="539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0</v>
      </c>
      <c r="CT56" s="93">
        <f>_xlfn.XLOOKUP(SEMANA2[[#This Row],[COD]],BASE01[COD],BASE01[Columna33])</f>
        <v>0</v>
      </c>
      <c r="CU56" s="536">
        <f t="shared" si="34"/>
        <v>0</v>
      </c>
      <c r="CV56" s="445" t="str">
        <f>IF(SEMANA2[[#This Row],[TIPO]]="PREMIO",$O$3,"0,00")</f>
        <v>0,00</v>
      </c>
      <c r="CW56" s="515"/>
      <c r="CY56" s="387" t="str">
        <f t="shared" si="17"/>
        <v/>
      </c>
      <c r="CZ56" s="387"/>
      <c r="DA56" s="387" t="str">
        <f t="array" ref="DA56">IF(CZ56="", "", IF((INDEX(E$8:CE$57, MATCH(CZ56, C$8:C$57, 0), ($CZ$25-1)*5 + 1) &amp; "") = (INDEX(E$5:CE$5, 1, ($CZ$25-1)*5 + 1) &amp; ""), 1, IF((INDEX(E$8:CE$57, MATCH(CZ56, C$8:C$57, 0), ($CZ$25-1)*5 + 2) &amp; "") = (INDEX(E$5:CE$5, 1, ($CZ$25-1)*5 + 1) &amp; ""), 2, IF((INDEX(E$8:CE$57, MATCH(CZ56, C$8:C$57, 0), ($CZ$25-1)*5 + 3) &amp; "") = (INDEX(E$5:CE$5, 1, ($CZ$25-1)*5 + 1) &amp; ""), 3, ""))))</f>
        <v/>
      </c>
      <c r="DB56" s="537" t="str">
        <f>SEMANA2[[#This Row],[COD]]</f>
        <v>COD 49</v>
      </c>
      <c r="DC56" s="390" t="str">
        <f t="array" ref="DC56">IFERROR(IF(AND(INDEX($E$8:$CE$57, MATCH($C56, $C$8:$C$57, 0), (COLUMNS($DC56:DC56)-1)*5 + 1) = INDEX($E$5:$CE$5, 1, (COLUMNS($DC56:DC56)-1)*5 + 1), INDEX($E$8:$CE$57, MATCH($C56, $C$8:$C$57, 0), (COLUMNS($DC56:DC56)-1)*5 + 4) = "F"), INDEX($CZ$8:$CZ$23, COLUMNS($DC56:DC56)), "0"), "")</f>
        <v>0</v>
      </c>
      <c r="DD56" s="390" t="str">
        <f t="array" ref="DD56">IFERROR(IF(AND(INDEX($E$8:$CE$57, MATCH($C56, $C$8:$C$57, 0), (COLUMNS($DC56:DD56)-1)*5 + 1) = INDEX($E$5:$CE$5, 1, (COLUMNS($DC56:DD56)-1)*5 + 1), INDEX($E$8:$CE$57, MATCH($C56, $C$8:$C$57, 0), (COLUMNS($DC56:DD56)-1)*5 + 4) = "F"), INDEX($CZ$8:$CZ$23, COLUMNS($DC56:DD56)), "0"), "")</f>
        <v>0</v>
      </c>
      <c r="DE56" s="390" t="str">
        <f t="array" ref="DE56">IFERROR(IF(AND(INDEX($E$8:$CE$57, MATCH($C56, $C$8:$C$57, 0), (COLUMNS($DC56:DE56)-1)*5 + 1) = INDEX($E$5:$CE$5, 1, (COLUMNS($DC56:DE56)-1)*5 + 1), INDEX($E$8:$CE$57, MATCH($C56, $C$8:$C$57, 0), (COLUMNS($DC56:DE56)-1)*5 + 4) = "F"), INDEX($CZ$8:$CZ$23, COLUMNS($DC56:DE56)), "0"), "")</f>
        <v>0</v>
      </c>
      <c r="DF56" s="390" t="str">
        <f t="array" ref="DF56">IFERROR(IF(AND(INDEX($E$8:$CE$57, MATCH($C56, $C$8:$C$57, 0), (COLUMNS($DC56:DF56)-1)*5 + 1) = INDEX($E$5:$CE$5, 1, (COLUMNS($DC56:DF56)-1)*5 + 1), INDEX($E$8:$CE$57, MATCH($C56, $C$8:$C$57, 0), (COLUMNS($DC56:DF56)-1)*5 + 4) = "F"), INDEX($CZ$8:$CZ$23, COLUMNS($DC56:DF56)), "0"), "")</f>
        <v>0</v>
      </c>
      <c r="DG56" s="390" t="str">
        <f t="array" ref="DG56">IFERROR(IF(AND(INDEX($E$8:$CE$57, MATCH($C56, $C$8:$C$57, 0), (COLUMNS($DC56:DG56)-1)*5 + 1) = INDEX($E$5:$CE$5, 1, (COLUMNS($DC56:DG56)-1)*5 + 1), INDEX($E$8:$CE$57, MATCH($C56, $C$8:$C$57, 0), (COLUMNS($DC56:DG56)-1)*5 + 4) = "F"), INDEX($CZ$8:$CZ$23, COLUMNS($DC56:DG56)), "0"), "")</f>
        <v>0</v>
      </c>
      <c r="DH56" s="390" t="str">
        <f t="array" ref="DH56">IFERROR(IF(AND(INDEX($E$8:$CE$57, MATCH($C56, $C$8:$C$57, 0), (COLUMNS($DC56:DH56)-1)*5 + 1) = INDEX($E$5:$CE$5, 1, (COLUMNS($DC56:DH56)-1)*5 + 1), INDEX($E$8:$CE$57, MATCH($C56, $C$8:$C$57, 0), (COLUMNS($DC56:DH56)-1)*5 + 4) = "F"), INDEX($CZ$8:$CZ$23, COLUMNS($DC56:DH56)), "0"), "")</f>
        <v>0</v>
      </c>
      <c r="DI56" s="390" t="str">
        <f t="array" ref="DI56">IFERROR(IF(AND(INDEX($E$8:$CE$57, MATCH($C56, $C$8:$C$57, 0), (COLUMNS($DC56:DI56)-1)*5 + 1) = INDEX($E$5:$CE$5, 1, (COLUMNS($DC56:DI56)-1)*5 + 1), INDEX($E$8:$CE$57, MATCH($C56, $C$8:$C$57, 0), (COLUMNS($DC56:DI56)-1)*5 + 4) = "F"), INDEX($CZ$8:$CZ$23, COLUMNS($DC56:DI56)), "0"), "")</f>
        <v>0</v>
      </c>
      <c r="DJ56" s="390" t="str">
        <f t="array" ref="DJ56">IFERROR(IF(AND(INDEX($E$8:$CE$57, MATCH($C56, $C$8:$C$57, 0), (COLUMNS($DC56:DJ56)-1)*5 + 1) = INDEX($E$5:$CE$5, 1, (COLUMNS($DC56:DJ56)-1)*5 + 1), INDEX($E$8:$CE$57, MATCH($C56, $C$8:$C$57, 0), (COLUMNS($DC56:DJ56)-1)*5 + 4) = "F"), INDEX($CZ$8:$CZ$23, COLUMNS($DC56:DJ56)), "0"), "")</f>
        <v>0</v>
      </c>
      <c r="DK56" s="390" t="str">
        <f t="array" ref="DK56">IFERROR(IF(AND(INDEX($E$8:$CE$57, MATCH($C56, $C$8:$C$57, 0), (COLUMNS($DC56:DK56)-1)*5 + 1) = INDEX($E$5:$CE$5, 1, (COLUMNS($DC56:DK56)-1)*5 + 1), INDEX($E$8:$CE$57, MATCH($C56, $C$8:$C$57, 0), (COLUMNS($DC56:DK56)-1)*5 + 4) = "F"), INDEX($CZ$8:$CZ$23, COLUMNS($DC56:DK56)), "0"), "")</f>
        <v>0</v>
      </c>
      <c r="DL56" s="390" t="str">
        <f t="array" ref="DL56">IFERROR(IF(AND(INDEX($E$8:$CE$57, MATCH($C56, $C$8:$C$57, 0), (COLUMNS($DC56:DL56)-1)*5 + 1) = INDEX($E$5:$CE$5, 1, (COLUMNS($DC56:DL56)-1)*5 + 1), INDEX($E$8:$CE$57, MATCH($C56, $C$8:$C$57, 0), (COLUMNS($DC56:DL56)-1)*5 + 4) = "F"), INDEX($CZ$8:$CZ$23, COLUMNS($DC56:DL56)), "0"), "")</f>
        <v>0</v>
      </c>
      <c r="DM56" s="390" t="str">
        <f t="array" ref="DM56">IFERROR(IF(AND(INDEX($E$8:$CE$57, MATCH($C56, $C$8:$C$57, 0), (COLUMNS($DC56:DM56)-1)*5 + 1) = INDEX($E$5:$CE$5, 1, (COLUMNS($DC56:DM56)-1)*5 + 1), INDEX($E$8:$CE$57, MATCH($C56, $C$8:$C$57, 0), (COLUMNS($DC56:DM56)-1)*5 + 4) = "F"), INDEX($CZ$8:$CZ$23, COLUMNS($DC56:DM56)), "0"), "")</f>
        <v>0</v>
      </c>
      <c r="DN56" s="390" t="str">
        <f t="array" ref="DN56">IFERROR(IF(AND(INDEX($E$8:$CE$57, MATCH($C56, $C$8:$C$57, 0), (COLUMNS($DC56:DN56)-1)*5 + 1) = INDEX($E$5:$CE$5, 1, (COLUMNS($DC56:DN56)-1)*5 + 1), INDEX($E$8:$CE$57, MATCH($C56, $C$8:$C$57, 0), (COLUMNS($DC56:DN56)-1)*5 + 4) = "F"), INDEX($CZ$8:$CZ$23, COLUMNS($DC56:DN56)), "0"), "")</f>
        <v>0</v>
      </c>
      <c r="DO56" s="390" t="str">
        <f t="array" ref="DO56">IFERROR(IF(AND(INDEX($E$8:$CE$57, MATCH($C56, $C$8:$C$57, 0), (COLUMNS($DC56:DO56)-1)*5 + 1) = INDEX($E$5:$CE$5, 1, (COLUMNS($DC56:DO56)-1)*5 + 1), INDEX($E$8:$CE$57, MATCH($C56, $C$8:$C$57, 0), (COLUMNS($DC56:DO56)-1)*5 + 4) = "F"), INDEX($CZ$8:$CZ$23, COLUMNS($DC56:DO56)), "0"), "")</f>
        <v>0</v>
      </c>
      <c r="DP56" s="390" t="str">
        <f t="array" ref="DP56">IFERROR(IF(AND(INDEX($E$8:$CE$57, MATCH($C56, $C$8:$C$57, 0), (COLUMNS($DC56:DP56)-1)*5 + 1) = INDEX($E$5:$CE$5, 1, (COLUMNS($DC56:DP56)-1)*5 + 1), INDEX($E$8:$CE$57, MATCH($C56, $C$8:$C$57, 0), (COLUMNS($DC56:DP56)-1)*5 + 4) = "F"), INDEX($CZ$8:$CZ$23, COLUMNS($DC56:DP56)), "0"), "")</f>
        <v>0</v>
      </c>
      <c r="DQ56" s="390" t="str">
        <f t="array" ref="DQ56">IFERROR(IF(AND(INDEX($E$8:$CE$57, MATCH($C56, $C$8:$C$57, 0), (COLUMNS($DC56:DQ56)-1)*5 + 1) = INDEX($E$5:$CE$5, 1, (COLUMNS($DC56:DQ56)-1)*5 + 1), INDEX($E$8:$CE$57, MATCH($C56, $C$8:$C$57, 0), (COLUMNS($DC56:DQ56)-1)*5 + 4) = "F"), INDEX($CZ$8:$CZ$23, COLUMNS($DC56:DQ56)), "0"), "")</f>
        <v>0</v>
      </c>
      <c r="DR56" s="390" t="str">
        <f t="array" ref="DR56">IFERROR(IF(AND(INDEX($E$8:$CE$57, MATCH($C56, $C$8:$C$57, 0), (COLUMNS($DC56:DR56)-1)*5 + 1) = INDEX($E$5:$CE$5, 1, (COLUMNS($DC56:DR56)-1)*5 + 1), INDEX($E$8:$CE$57, MATCH($C56, $C$8:$C$57, 0), (COLUMNS($DC56:DR56)-1)*5 + 4) = "F"), INDEX($CZ$8:$CZ$23, COLUMNS($DC56:DR56)), "0"), "")</f>
        <v>0</v>
      </c>
      <c r="DT56" s="537" t="str">
        <f>SEMANA2[[#This Row],[COD]]</f>
        <v>COD 49</v>
      </c>
      <c r="DU56" s="390" t="str">
        <f t="array" ref="DU56">IFERROR(IF(AND(INDEX($E$8:$CE$57, MATCH($C56, $C$8:$C$57, 0), (COLUMNS($DU56:DU56)-1)*5 + 1) = INDEX($E$5:$CE$5, 1, (COLUMNS($DU56:DU56)-1)*5 + 1), INDEX($E$8:$CE$57, MATCH($C56, $C$8:$C$57, 0), (COLUMNS($DU56:DU56)-1)*5 + 4) = "SF"), INDEX($CZ$8:$CZ$23, COLUMNS($DU56:DU56)), "0"), "")</f>
        <v>0</v>
      </c>
      <c r="DV56" s="390" t="str">
        <f t="array" ref="DV56">IFERROR(IF(AND(INDEX($E$8:$CE$57, MATCH($C56, $C$8:$C$57, 0), (COLUMNS($DU56:DV56)-1)*5 + 1) = INDEX($E$5:$CE$5, 1, (COLUMNS($DU56:DV56)-1)*5 + 1), INDEX($E$8:$CE$57, MATCH($C56, $C$8:$C$57, 0), (COLUMNS($DU56:DV56)-1)*5 + 4) = "SF"), INDEX($CZ$8:$CZ$23, COLUMNS($DU56:DV56)), "0"), "")</f>
        <v>0</v>
      </c>
      <c r="DW56" s="390" t="str">
        <f t="array" ref="DW56">IFERROR(IF(AND(INDEX($E$8:$CE$57, MATCH($C56, $C$8:$C$57, 0), (COLUMNS($DU56:DW56)-1)*5 + 1) = INDEX($E$5:$CE$5, 1, (COLUMNS($DU56:DW56)-1)*5 + 1), INDEX($E$8:$CE$57, MATCH($C56, $C$8:$C$57, 0), (COLUMNS($DU56:DW56)-1)*5 + 4) = "SF"), INDEX($CZ$8:$CZ$23, COLUMNS($DU56:DW56)), "0"), "")</f>
        <v>0</v>
      </c>
      <c r="DX56" s="390" t="str">
        <f t="array" ref="DX56">IFERROR(IF(AND(INDEX($E$8:$CE$57, MATCH($C56, $C$8:$C$57, 0), (COLUMNS($DU56:DX56)-1)*5 + 1) = INDEX($E$5:$CE$5, 1, (COLUMNS($DU56:DX56)-1)*5 + 1), INDEX($E$8:$CE$57, MATCH($C56, $C$8:$C$57, 0), (COLUMNS($DU56:DX56)-1)*5 + 4) = "SF"), INDEX($CZ$8:$CZ$23, COLUMNS($DU56:DX56)), "0"), "")</f>
        <v>0</v>
      </c>
      <c r="DY56" s="390" t="str">
        <f t="array" ref="DY56">IFERROR(IF(AND(INDEX($E$8:$CE$57, MATCH($C56, $C$8:$C$57, 0), (COLUMNS($DU56:DY56)-1)*5 + 1) = INDEX($E$5:$CE$5, 1, (COLUMNS($DU56:DY56)-1)*5 + 1), INDEX($E$8:$CE$57, MATCH($C56, $C$8:$C$57, 0), (COLUMNS($DU56:DY56)-1)*5 + 4) = "SF"), INDEX($CZ$8:$CZ$23, COLUMNS($DU56:DY56)), "0"), "")</f>
        <v>0</v>
      </c>
      <c r="DZ56" s="390" t="str">
        <f t="array" ref="DZ56">IFERROR(IF(AND(INDEX($E$8:$CE$57, MATCH($C56, $C$8:$C$57, 0), (COLUMNS($DU56:DZ56)-1)*5 + 1) = INDEX($E$5:$CE$5, 1, (COLUMNS($DU56:DZ56)-1)*5 + 1), INDEX($E$8:$CE$57, MATCH($C56, $C$8:$C$57, 0), (COLUMNS($DU56:DZ56)-1)*5 + 4) = "SF"), INDEX($CZ$8:$CZ$23, COLUMNS($DU56:DZ56)), "0"), "")</f>
        <v>0</v>
      </c>
      <c r="EA56" s="390" t="str">
        <f t="array" ref="EA56">IFERROR(IF(AND(INDEX($E$8:$CE$57, MATCH($C56, $C$8:$C$57, 0), (COLUMNS($DU56:EA56)-1)*5 + 1) = INDEX($E$5:$CE$5, 1, (COLUMNS($DU56:EA56)-1)*5 + 1), INDEX($E$8:$CE$57, MATCH($C56, $C$8:$C$57, 0), (COLUMNS($DU56:EA56)-1)*5 + 4) = "SF"), INDEX($CZ$8:$CZ$23, COLUMNS($DU56:EA56)), "0"), "")</f>
        <v>0</v>
      </c>
      <c r="EB56" s="390" t="str">
        <f t="array" ref="EB56">IFERROR(IF(AND(INDEX($E$8:$CE$57, MATCH($C56, $C$8:$C$57, 0), (COLUMNS($DU56:EB56)-1)*5 + 1) = INDEX($E$5:$CE$5, 1, (COLUMNS($DU56:EB56)-1)*5 + 1), INDEX($E$8:$CE$57, MATCH($C56, $C$8:$C$57, 0), (COLUMNS($DU56:EB56)-1)*5 + 4) = "SF"), INDEX($CZ$8:$CZ$23, COLUMNS($DU56:EB56)), "0"), "")</f>
        <v>0</v>
      </c>
      <c r="EC56" s="390" t="str">
        <f t="array" ref="EC56">IFERROR(IF(AND(INDEX($E$8:$CE$57, MATCH($C56, $C$8:$C$57, 0), (COLUMNS($DU56:EC56)-1)*5 + 1) = INDEX($E$5:$CE$5, 1, (COLUMNS($DU56:EC56)-1)*5 + 1), INDEX($E$8:$CE$57, MATCH($C56, $C$8:$C$57, 0), (COLUMNS($DU56:EC56)-1)*5 + 4) = "SF"), INDEX($CZ$8:$CZ$23, COLUMNS($DU56:EC56)), "0"), "")</f>
        <v>0</v>
      </c>
      <c r="ED56" s="390" t="str">
        <f t="array" ref="ED56">IFERROR(IF(AND(INDEX($E$8:$CE$57, MATCH($C56, $C$8:$C$57, 0), (COLUMNS($DU56:ED56)-1)*5 + 1) = INDEX($E$5:$CE$5, 1, (COLUMNS($DU56:ED56)-1)*5 + 1), INDEX($E$8:$CE$57, MATCH($C56, $C$8:$C$57, 0), (COLUMNS($DU56:ED56)-1)*5 + 4) = "SF"), INDEX($CZ$8:$CZ$23, COLUMNS($DU56:ED56)), "0"), "")</f>
        <v>0</v>
      </c>
      <c r="EE56" s="390" t="str">
        <f t="array" ref="EE56">IFERROR(IF(AND(INDEX($E$8:$CE$57, MATCH($C56, $C$8:$C$57, 0), (COLUMNS($DU56:EE56)-1)*5 + 1) = INDEX($E$5:$CE$5, 1, (COLUMNS($DU56:EE56)-1)*5 + 1), INDEX($E$8:$CE$57, MATCH($C56, $C$8:$C$57, 0), (COLUMNS($DU56:EE56)-1)*5 + 4) = "SF"), INDEX($CZ$8:$CZ$23, COLUMNS($DU56:EE56)), "0"), "")</f>
        <v>0</v>
      </c>
      <c r="EF56" s="390" t="str">
        <f t="array" ref="EF56">IFERROR(IF(AND(INDEX($E$8:$CE$57, MATCH($C56, $C$8:$C$57, 0), (COLUMNS($DU56:EF56)-1)*5 + 1) = INDEX($E$5:$CE$5, 1, (COLUMNS($DU56:EF56)-1)*5 + 1), INDEX($E$8:$CE$57, MATCH($C56, $C$8:$C$57, 0), (COLUMNS($DU56:EF56)-1)*5 + 4) = "SF"), INDEX($CZ$8:$CZ$23, COLUMNS($DU56:EF56)), "0"), "")</f>
        <v>0</v>
      </c>
      <c r="EG56" s="390" t="str">
        <f t="array" ref="EG56">IFERROR(IF(AND(INDEX($E$8:$CE$57, MATCH($C56, $C$8:$C$57, 0), (COLUMNS($DU56:EG56)-1)*5 + 1) = INDEX($E$5:$CE$5, 1, (COLUMNS($DU56:EG56)-1)*5 + 1), INDEX($E$8:$CE$57, MATCH($C56, $C$8:$C$57, 0), (COLUMNS($DU56:EG56)-1)*5 + 4) = "SF"), INDEX($CZ$8:$CZ$23, COLUMNS($DU56:EG56)), "0"), "")</f>
        <v>0</v>
      </c>
      <c r="EH56" s="390" t="str">
        <f t="array" ref="EH56">IFERROR(IF(AND(INDEX($E$8:$CE$57, MATCH($C56, $C$8:$C$57, 0), (COLUMNS($DU56:EH56)-1)*5 + 1) = INDEX($E$5:$CE$5, 1, (COLUMNS($DU56:EH56)-1)*5 + 1), INDEX($E$8:$CE$57, MATCH($C56, $C$8:$C$57, 0), (COLUMNS($DU56:EH56)-1)*5 + 4) = "SF"), INDEX($CZ$8:$CZ$23, COLUMNS($DU56:EH56)), "0"), "")</f>
        <v>0</v>
      </c>
      <c r="EI56" s="390" t="str">
        <f t="array" ref="EI56">IFERROR(IF(AND(INDEX($E$8:$CE$57, MATCH($C56, $C$8:$C$57, 0), (COLUMNS($DU56:EI56)-1)*5 + 1) = INDEX($E$5:$CE$5, 1, (COLUMNS($DU56:EI56)-1)*5 + 1), INDEX($E$8:$CE$57, MATCH($C56, $C$8:$C$57, 0), (COLUMNS($DU56:EI56)-1)*5 + 4) = "SF"), INDEX($CZ$8:$CZ$23, COLUMNS($DU56:EI56)), "0"), "")</f>
        <v>0</v>
      </c>
      <c r="EJ56" s="390" t="str">
        <f t="array" ref="EJ56">IFERROR(IF(AND(INDEX($E$8:$CE$57, MATCH($C56, $C$8:$C$57, 0), (COLUMNS($DU56:EJ56)-1)*5 + 1) = INDEX($E$5:$CE$5, 1, (COLUMNS($DU56:EJ56)-1)*5 + 1), INDEX($E$8:$CE$57, MATCH($C56, $C$8:$C$57, 0), (COLUMNS($DU56:EJ56)-1)*5 + 4) = "SF"), INDEX($CZ$8:$CZ$23, COLUMNS($DU56:EJ56)), "0"), "")</f>
        <v>0</v>
      </c>
    </row>
    <row r="57" spans="1:140" ht="20.100000000000001" customHeight="1" outlineLevel="1" x14ac:dyDescent="0.35">
      <c r="A57" s="515"/>
      <c r="B57" s="444">
        <f>IF(SEMANA2[[#This Row],[COD]]&lt;&gt;"",B56+1,"")</f>
        <v>50</v>
      </c>
      <c r="C57" s="554" t="s">
        <v>122</v>
      </c>
      <c r="D57" s="410" t="str">
        <f t="array" ref="D57">IF(SEMANA2[[#This Row],[COD]]="","",_xlfn.IFS(_xlfn.XLOOKUP(SEMANA2[[#This Row],[COD]],CODIGOS_Y_PAGOS[CODIGO],CODIGOS_Y_PAGOS[13/09/2026],"")="X","PREMIO",_xlfn.XLOOKUP(SEMANA2[[#This Row],[COD]],CODIGOS_Y_PAGOS[CODIGO],CODIGOS_Y_PAGOS[13/09/2026],"")="","NO ENVIÓ",_xlfn.XLOOKUP(SEMANA2[[#This Row],[COD]],CODIGOS_Y_PAGOS[CODIGO],CODIGOS_Y_PAGOS[13/09/2026],"")=0,"MEETING",_xlfn.XLOOKUP(SEMANA2[[#This Row],[COD]],CODIGOS_Y_PAGOS[CODIGO],CODIGOS_Y_PAGOS[13/09/2026],"")="O","PREMIO",_xlfn.XLOOKUP(SEMANA2[[#This Row],[COD]],CODIGOS_Y_PAGOS[CODIGO],CODIGOS_Y_PAGOS[13/09/2026],"")="-","PAGO PENDIENTE"))</f>
        <v>NO ENVIÓ</v>
      </c>
      <c r="E57" s="411"/>
      <c r="F57" s="413"/>
      <c r="G57" s="413"/>
      <c r="H57" s="413"/>
      <c r="I57" s="534">
        <f t="shared" si="18"/>
        <v>0</v>
      </c>
      <c r="J57" s="411"/>
      <c r="K57" s="413"/>
      <c r="L57" s="413"/>
      <c r="M57" s="413"/>
      <c r="N57" s="534">
        <f t="shared" si="19"/>
        <v>0</v>
      </c>
      <c r="O57" s="411"/>
      <c r="P57" s="413"/>
      <c r="Q57" s="413"/>
      <c r="R57" s="413"/>
      <c r="S57" s="534">
        <f t="shared" si="20"/>
        <v>0</v>
      </c>
      <c r="T57" s="411"/>
      <c r="U57" s="413"/>
      <c r="V57" s="413"/>
      <c r="W57" s="413"/>
      <c r="X57" s="534">
        <f t="shared" si="21"/>
        <v>0</v>
      </c>
      <c r="Y57" s="411"/>
      <c r="Z57" s="413"/>
      <c r="AA57" s="413"/>
      <c r="AB57" s="413"/>
      <c r="AC57" s="534">
        <f t="shared" si="22"/>
        <v>0</v>
      </c>
      <c r="AD57" s="411"/>
      <c r="AE57" s="413"/>
      <c r="AF57" s="413"/>
      <c r="AG57" s="413"/>
      <c r="AH57" s="534">
        <f t="shared" si="23"/>
        <v>0</v>
      </c>
      <c r="AI57" s="411"/>
      <c r="AJ57" s="413"/>
      <c r="AK57" s="413"/>
      <c r="AL57" s="413"/>
      <c r="AM57" s="534">
        <f t="shared" si="24"/>
        <v>0</v>
      </c>
      <c r="AN57" s="411"/>
      <c r="AO57" s="413"/>
      <c r="AP57" s="413"/>
      <c r="AQ57" s="413"/>
      <c r="AR57" s="534">
        <f t="shared" si="25"/>
        <v>0</v>
      </c>
      <c r="AS57" s="411"/>
      <c r="AT57" s="413"/>
      <c r="AU57" s="413"/>
      <c r="AV57" s="413"/>
      <c r="AW57" s="534">
        <f t="shared" si="26"/>
        <v>0</v>
      </c>
      <c r="AX57" s="411"/>
      <c r="AY57" s="413"/>
      <c r="AZ57" s="413"/>
      <c r="BA57" s="413"/>
      <c r="BB57" s="534">
        <f t="shared" si="27"/>
        <v>0</v>
      </c>
      <c r="BC57" s="411"/>
      <c r="BD57" s="413"/>
      <c r="BE57" s="413"/>
      <c r="BF57" s="413"/>
      <c r="BG57" s="534">
        <f t="shared" si="28"/>
        <v>0</v>
      </c>
      <c r="BH57" s="411"/>
      <c r="BI57" s="413"/>
      <c r="BJ57" s="413"/>
      <c r="BK57" s="413"/>
      <c r="BL57" s="534">
        <f t="shared" si="29"/>
        <v>0</v>
      </c>
      <c r="BM57" s="411"/>
      <c r="BN57" s="413"/>
      <c r="BO57" s="413"/>
      <c r="BP57" s="413"/>
      <c r="BQ57" s="534">
        <f t="shared" si="30"/>
        <v>0</v>
      </c>
      <c r="BR57" s="411"/>
      <c r="BS57" s="413"/>
      <c r="BT57" s="413"/>
      <c r="BU57" s="413"/>
      <c r="BV57" s="534">
        <f t="shared" si="31"/>
        <v>0</v>
      </c>
      <c r="BW57" s="411"/>
      <c r="BX57" s="413"/>
      <c r="BY57" s="413"/>
      <c r="BZ57" s="413"/>
      <c r="CA57" s="534">
        <f t="shared" si="32"/>
        <v>0</v>
      </c>
      <c r="CB57" s="411"/>
      <c r="CC57" s="413"/>
      <c r="CD57" s="413"/>
      <c r="CE57" s="413"/>
      <c r="CF57" s="534">
        <f t="shared" si="33"/>
        <v>0</v>
      </c>
      <c r="CG57" s="162">
        <f>IF(SEMANA2[[#This Row],[1]]="",0,$B$4)</f>
        <v>0</v>
      </c>
      <c r="CH57" s="163">
        <f>COUNTIF(SEMANA2[[#This Row],[1]],$E$5)+COUNTIF(SEMANA2[[#This Row],[12]],$J$5)+COUNTIF(SEMANA2[[#This Row],[Columna4]],$O$5)+COUNTIF(SEMANA2[[#This Row],[Columna7]],$T$5)+COUNTIF(SEMANA2[[#This Row],[Columna10]],$Y$5)+COUNTIF(SEMANA2[[#This Row],[1RA]],$AD$5)+COUNTIF(SEMANA2[[#This Row],[Columna16]],$AI$5)+COUNTIF(SEMANA2[[#This Row],[123]],$AN$5)+COUNTIF(SEMANA2[[#This Row],[AAAA]],$AS$5)+COUNTIF(SEMANA2[[#This Row],[Columna25]],$AX$5)+COUNTIF(SEMANA2[[#This Row],[Columna272]],$BC$5)+COUNTIF(SEMANA2[[#This Row],[Columna276]],$BH$5)+COUNTIF(SEMANA2[[#This Row],[Columna280]],$BM$5)+COUNTIF(SEMANA2[[#This Row],[Columna2802]],$BR$5)+COUNTIF(SEMANA2[[#This Row],[Columna2803]],$BW$5)+COUNTIF(SEMANA2[[#This Row],[Columna2804]],$CB$5)</f>
        <v>0</v>
      </c>
      <c r="CI57" s="185">
        <f>IF(SEMANA2[[#This Row],[Columna14]]=0,0,(CH57/CG57))</f>
        <v>0</v>
      </c>
      <c r="CJ57" s="163">
        <f>IF(SEMANA2[[#This Row],[1]]="",0,$B$4)</f>
        <v>0</v>
      </c>
      <c r="CK57" s="186">
        <f>COUNTIF(SEMANA2[[#This Row],[1]]:SEMANA2[[#This Row],[2]],$E$5)+COUNTIF(SEMANA2[[#This Row],[12]]:SEMANA2[[#This Row],[Columna2]],$J$5)+COUNTIF(SEMANA2[[#This Row],[Columna4]]:SEMANA2[[#This Row],[Columna5]],$O$5)+COUNTIF(SEMANA2[[#This Row],[Columna7]]:SEMANA2[[#This Row],[Columna8]],$T$5)+COUNTIF(SEMANA2[[#This Row],[Columna10]]:SEMANA2[[#This Row],[Columna11]],$Y$5)+COUNTIF(SEMANA2[[#This Row],[1RA]]:SEMANA2[[#This Row],[2DA]],$AD$5)+COUNTIF(SEMANA2[[#This Row],[Columna16]:[Columna17]],$AI$5)+COUNTIF(SEMANA2[[#This Row],[123]:[555]],$AN$5)+COUNTIF(SEMANA2[[#This Row],[AAAA]]:SEMANA2[[#This Row],[BBBB]],$AS$5)+COUNTIF(SEMANA2[[#This Row],[Columna25]]:SEMANA2[[#This Row],[Columna26]],$AX$5)+COUNTIF(SEMANA2[[#This Row],[Columna272]]:SEMANA2[[#This Row],[Columna273]],$BC$5)+COUNTIF(SEMANA2[[#This Row],[Columna276]]:SEMANA2[[#This Row],[Columna277]],$BH$5)+COUNTIF(SEMANA2[[#This Row],[Columna280]]:SEMANA2[[#This Row],[Columna281]],$BM$5)+COUNTIF(SEMANA2[[#This Row],[Columna2802]]:SEMANA2[[#This Row],[Columna2813]],$BR$5)+COUNTIF(SEMANA2[[#This Row],[Columna2803]:[Columna2814]],$BW$5)+COUNTIF(SEMANA2[[#This Row],[Columna2804]:[Columna2815]],$CB$5)</f>
        <v>0</v>
      </c>
      <c r="CL57" s="185">
        <f>IF(SEMANA2[[#This Row],[Columna14]]=0,0,(CK57/CJ57))</f>
        <v>0</v>
      </c>
      <c r="CM57" s="162">
        <f>IF(SEMANA2[[#This Row],[1]]="",0,$B$4)</f>
        <v>0</v>
      </c>
      <c r="CN57" s="186">
        <f>COUNTIF(SEMANA2[[#This Row],[1]:[22]],$E$5)+COUNTIF(SEMANA2[[#This Row],[12]:[Columna23]],$J$5)+COUNTIF(SEMANA2[[#This Row],[Columna4]:[Columna53]],$O$5)+COUNTIF(SEMANA2[[#This Row],[Columna7]:[Columna83]],$T$5)+COUNTIF(SEMANA2[[#This Row],[Columna10]:[Columna113]],$Y$5)+COUNTIF(SEMANA2[[#This Row],[1RA]:[2DA2]],$AD$5)+COUNTIF(SEMANA2[[#This Row],[Columna16]:[Columna173]],$AI$5)+COUNTIF(SEMANA2[[#This Row],[123]:[556]],$AN$5)+COUNTIF(SEMANA2[[#This Row],[AAAA]:[Columna13]],$AS$5)+COUNTIF(SEMANA2[[#This Row],[Columna25]:[Columna263]],$AX$5)+COUNTIF(SEMANA2[[#This Row],[Columna272]:[Columna2732]],$BC$5)+COUNTIF(SEMANA2[[#This Row],[Columna276]:[Columna2772]],$BH$5)+COUNTIF(SEMANA2[[#This Row],[Columna280]:[Columna2812]],$BM$5)+COUNTIF(SEMANA2[[#This Row],[Columna2802]:[Columna28124]],$BR$5)+COUNTIF(SEMANA2[[#This Row],[Columna2803]:[Columna28125]],$BW$5)+COUNTIF(SEMANA2[[#This Row],[Columna2804]:[Columna28126]],$CB$5)</f>
        <v>0</v>
      </c>
      <c r="CO57" s="185">
        <f>IF(SEMANA2[[#This Row],[Columna14]]=0,0,(CN57/CM57))</f>
        <v>0</v>
      </c>
      <c r="CP57" s="163">
        <f>SUM(
  (AND(OR(SEMANA2[[#This Row],[3]]="F", SEMANA2[[#This Row],[3]]="SF"), F$6&lt;&gt;"")),
  (AND(OR(SEMANA2[[#This Row],[Columna28]]="F", SEMANA2[[#This Row],[Columna28]]="SF"), K$6&lt;&gt;"")),
  (AND(OR(SEMANA2[[#This Row],[Columna52]]="F", SEMANA2[[#This Row],[Columna52]]="SF"), P$6&lt;&gt;"")),
  (AND(OR(SEMANA2[[#This Row],[Columna82]]="F", SEMANA2[[#This Row],[Columna82]]="SF"), U$6&lt;&gt;"")),
  (AND(OR(SEMANA2[[#This Row],[Columna112]]="F", SEMANA2[[#This Row],[Columna112]]="SF"), Z$6&lt;&gt;"")),
  (AND(OR(SEMANA2[[#This Row],[3RA]]="F", SEMANA2[[#This Row],[3RA]]="SF"), AE$6&lt;&gt;"")),
  (AND(OR(SEMANA2[[#This Row],[Columna172]]="F",SEMANA2[[#This Row],[Columna172]]="SF"), AJ$6&lt;&gt;"")),
  (AND(OR(SEMANA2[[#This Row],[111]]="F", SEMANA2[[#This Row],[111]]="SF"), AO$6&lt;&gt;"")),
  (AND(OR(SEMANA2[[#This Row],[CCCC]]="F", SEMANA2[[#This Row],[CCCC]]="SF"), AT$6&lt;&gt;"")),
  (AND(OR(SEMANA2[[#This Row],[Columna262]]="F",SEMANA2[[#This Row],[Columna262]]="SF"), AY$6&lt;&gt;"")),
  (AND(OR(SEMANA2[[#This Row],[Columna274]]="F", SEMANA2[[#This Row],[Columna274]]="SF"), BD$6&lt;&gt;"")), (AND(OR(SEMANA2[[#This Row],[Columna278]]="F", SEMANA2[[#This Row],[Columna278]]="SF"), BI$6&lt;&gt;"")),
  (AND(OR(SEMANA2[[#This Row],[Columna282]]="F", SEMANA2[[#This Row],[Columna282]]="SF"), BN$6&lt;&gt;"")),
  (AND(OR(SEMANA2[[#This Row],[Columna2825]]="F", SEMANA2[[#This Row],[Columna2825]]="SF"), BS$6&lt;&gt;"")),
  (AND(OR(SEMANA2[[#This Row],[Columna2826]]="F", SEMANA2[[#This Row],[Columna2826]]="SF"), BX$6&lt;&gt;"")),
  (AND(OR(SEMANA2[[#This Row],[Columna2827]]="F", SEMANA2[[#This Row],[Columna2827]]="SF"), CC$6&lt;&gt;""))
)</f>
        <v>0</v>
      </c>
      <c r="CQ57" s="186">
        <f>COUNTIFS(SEMANA2[[#This Row],[1]],$E$5,SEMANA2[[#This Row],[3]],"F")+COUNTIFS(SEMANA2[[#This Row],[12]],$J$5,SEMANA2[[#This Row],[Columna28]],"F")+COUNTIFS(SEMANA2[[#This Row],[Columna4]],$O$5,SEMANA2[[#This Row],[Columna52]],"F")+COUNTIFS(SEMANA2[[#This Row],[Columna7]],$T$5,SEMANA2[[#This Row],[Columna82]],"F")+COUNTIFS(SEMANA2[[#This Row],[Columna10]],$Y$5,SEMANA2[[#This Row],[Columna112]],"F")+COUNTIFS(SEMANA2[[#This Row],[1RA]],$AD$5,SEMANA2[[#This Row],[3RA]],"F")+COUNTIFS(SEMANA2[[#This Row],[Columna16]],$AI$5,SEMANA2[[#This Row],[Columna172]],"F")+COUNTIFS(SEMANA2[[#This Row],[123]],$AN$5,SEMANA2[[#This Row],[111]],"F")+COUNTIFS(SEMANA2[[#This Row],[AAAA]],$AS$5,SEMANA2[[#This Row],[CCCC]],"F")+COUNTIFS(SEMANA2[[#This Row],[Columna25]],$AX$5,SEMANA2[[#This Row],[Columna262]],"F")+COUNTIFS(SEMANA2[[#This Row],[Columna272]],$BC$5,SEMANA2[[#This Row],[Columna274]],"F")+COUNTIFS(SEMANA2[[#This Row],[Columna276]],$BH$5,SEMANA2[[#This Row],[Columna278]],"F")+COUNTIFS(SEMANA2[[#This Row],[Columna280]],$BM$5,SEMANA2[[#This Row],[Columna282]],"F")+COUNTIFS(SEMANA2[[#This Row],[1]],$E$5,SEMANA2[[#This Row],[3]],"SF")+COUNTIFS(SEMANA2[[#This Row],[12]],$J$5,SEMANA2[[#This Row],[Columna28]],"SF")+COUNTIFS(SEMANA2[[#This Row],[Columna4]],$O$5,SEMANA2[[#This Row],[Columna52]],"SF")+COUNTIFS(SEMANA2[[#This Row],[Columna7]],$T$5,SEMANA2[[#This Row],[Columna82]],"SF")+COUNTIFS(SEMANA2[[#This Row],[Columna10]],$Y$5,SEMANA2[[#This Row],[Columna112]],"SF")+COUNTIFS(SEMANA2[[#This Row],[1RA]],$AD$5,SEMANA2[[#This Row],[3RA]],"SF")+COUNTIFS(SEMANA2[[#This Row],[Columna16]],$AI$5,SEMANA2[[#This Row],[Columna172]],"SF")+COUNTIFS(SEMANA2[[#This Row],[123]],$AN$5,SEMANA2[[#This Row],[111]],"SF")+COUNTIFS(SEMANA2[[#This Row],[AAAA]],$AS$5,SEMANA2[[#This Row],[CCCC]],"SF")+COUNTIFS(SEMANA2[[#This Row],[Columna25]],$AX$5,BA57,"SF")+COUNTIFS(SEMANA2[[#This Row],[Columna272]],$BC$5,SEMANA2[[#This Row],[Columna274]],"SF")+COUNTIFS(SEMANA2[[#This Row],[Columna276]],$BH$5,SEMANA2[[#This Row],[Columna278]],"SF")+COUNTIFS(SEMANA2[[#This Row],[Columna280]],$BM$5,SEMANA2[[#This Row],[Columna282]],"SF")</f>
        <v>0</v>
      </c>
      <c r="CR57" s="185">
        <f>IFERROR(IF(SEMANA2[[#This Row],[Columna14]]=0,0,(CQ57/CP57)),0)</f>
        <v>0</v>
      </c>
      <c r="CS57" s="539">
        <f>SUM(SEMANA2[[#This Row],[PTS]],SEMANA2[[#This Row],[Columna3]],SEMANA2[[#This Row],[Columna6]],SEMANA2[[#This Row],[Columna9]],SEMANA2[[#This Row],[Columna12]],SEMANA2[[#This Row],[Columna15]],SEMANA2[[#This Row],[Columna18]],SEMANA2[[#This Row],[Columna21]],SEMANA2[[#This Row],[Columna24]],SEMANA2[[#This Row],[Columna27]],SEMANA2[[#This Row],[Columna275]],SEMANA2[[#This Row],[Columna279]],SEMANA2[[#This Row],[Columna283]],SEMANA2[[#This Row],[Columna28310]],SEMANA2[[#This Row],[Columna2837]],SEMANA2[[#This Row],[Columna2838]])</f>
        <v>0</v>
      </c>
      <c r="CT57" s="93">
        <f>_xlfn.XLOOKUP(SEMANA2[[#This Row],[COD]],BASE01[COD],BASE01[Columna33])</f>
        <v>0</v>
      </c>
      <c r="CU57" s="536">
        <f t="shared" si="34"/>
        <v>0</v>
      </c>
      <c r="CV57" s="445" t="str">
        <f>IF(SEMANA2[[#This Row],[TIPO]]="PREMIO",$O$3,"0,00")</f>
        <v>0,00</v>
      </c>
      <c r="CW57" s="515"/>
      <c r="CY57" s="387" t="str">
        <f t="shared" si="17"/>
        <v/>
      </c>
      <c r="CZ57" s="387"/>
      <c r="DA57" s="387" t="str">
        <f t="array" ref="DA57">IF(CZ57="", "", IF((INDEX(E$8:CE$57, MATCH(CZ57, C$8:C$57, 0), ($CZ$25-1)*5 + 1) &amp; "") = (INDEX(E$5:CE$5, 1, ($CZ$25-1)*5 + 1) &amp; ""), 1, IF((INDEX(E$8:CE$57, MATCH(CZ57, C$8:C$57, 0), ($CZ$25-1)*5 + 2) &amp; "") = (INDEX(E$5:CE$5, 1, ($CZ$25-1)*5 + 1) &amp; ""), 2, IF((INDEX(E$8:CE$57, MATCH(CZ57, C$8:C$57, 0), ($CZ$25-1)*5 + 3) &amp; "") = (INDEX(E$5:CE$5, 1, ($CZ$25-1)*5 + 1) &amp; ""), 3, ""))))</f>
        <v/>
      </c>
      <c r="DB57" s="537" t="str">
        <f>SEMANA2[[#This Row],[COD]]</f>
        <v>COD 50</v>
      </c>
      <c r="DC57" s="390" t="str">
        <f t="array" ref="DC57">IFERROR(IF(AND(INDEX($E$8:$CE$57, MATCH($C57, $C$8:$C$57, 0), (COLUMNS($DC57:DC57)-1)*5 + 1) = INDEX($E$5:$CE$5, 1, (COLUMNS($DC57:DC57)-1)*5 + 1), INDEX($E$8:$CE$57, MATCH($C57, $C$8:$C$57, 0), (COLUMNS($DC57:DC57)-1)*5 + 4) = "F"), INDEX($CZ$8:$CZ$23, COLUMNS($DC57:DC57)), "0"), "")</f>
        <v>0</v>
      </c>
      <c r="DD57" s="390" t="str">
        <f t="array" ref="DD57">IFERROR(IF(AND(INDEX($E$8:$CE$57, MATCH($C57, $C$8:$C$57, 0), (COLUMNS($DC57:DD57)-1)*5 + 1) = INDEX($E$5:$CE$5, 1, (COLUMNS($DC57:DD57)-1)*5 + 1), INDEX($E$8:$CE$57, MATCH($C57, $C$8:$C$57, 0), (COLUMNS($DC57:DD57)-1)*5 + 4) = "F"), INDEX($CZ$8:$CZ$23, COLUMNS($DC57:DD57)), "0"), "")</f>
        <v>0</v>
      </c>
      <c r="DE57" s="390" t="str">
        <f t="array" ref="DE57">IFERROR(IF(AND(INDEX($E$8:$CE$57, MATCH($C57, $C$8:$C$57, 0), (COLUMNS($DC57:DE57)-1)*5 + 1) = INDEX($E$5:$CE$5, 1, (COLUMNS($DC57:DE57)-1)*5 + 1), INDEX($E$8:$CE$57, MATCH($C57, $C$8:$C$57, 0), (COLUMNS($DC57:DE57)-1)*5 + 4) = "F"), INDEX($CZ$8:$CZ$23, COLUMNS($DC57:DE57)), "0"), "")</f>
        <v>0</v>
      </c>
      <c r="DF57" s="390" t="str">
        <f t="array" ref="DF57">IFERROR(IF(AND(INDEX($E$8:$CE$57, MATCH($C57, $C$8:$C$57, 0), (COLUMNS($DC57:DF57)-1)*5 + 1) = INDEX($E$5:$CE$5, 1, (COLUMNS($DC57:DF57)-1)*5 + 1), INDEX($E$8:$CE$57, MATCH($C57, $C$8:$C$57, 0), (COLUMNS($DC57:DF57)-1)*5 + 4) = "F"), INDEX($CZ$8:$CZ$23, COLUMNS($DC57:DF57)), "0"), "")</f>
        <v>0</v>
      </c>
      <c r="DG57" s="390" t="str">
        <f t="array" ref="DG57">IFERROR(IF(AND(INDEX($E$8:$CE$57, MATCH($C57, $C$8:$C$57, 0), (COLUMNS($DC57:DG57)-1)*5 + 1) = INDEX($E$5:$CE$5, 1, (COLUMNS($DC57:DG57)-1)*5 + 1), INDEX($E$8:$CE$57, MATCH($C57, $C$8:$C$57, 0), (COLUMNS($DC57:DG57)-1)*5 + 4) = "F"), INDEX($CZ$8:$CZ$23, COLUMNS($DC57:DG57)), "0"), "")</f>
        <v>0</v>
      </c>
      <c r="DH57" s="390" t="str">
        <f t="array" ref="DH57">IFERROR(IF(AND(INDEX($E$8:$CE$57, MATCH($C57, $C$8:$C$57, 0), (COLUMNS($DC57:DH57)-1)*5 + 1) = INDEX($E$5:$CE$5, 1, (COLUMNS($DC57:DH57)-1)*5 + 1), INDEX($E$8:$CE$57, MATCH($C57, $C$8:$C$57, 0), (COLUMNS($DC57:DH57)-1)*5 + 4) = "F"), INDEX($CZ$8:$CZ$23, COLUMNS($DC57:DH57)), "0"), "")</f>
        <v>0</v>
      </c>
      <c r="DI57" s="390" t="str">
        <f t="array" ref="DI57">IFERROR(IF(AND(INDEX($E$8:$CE$57, MATCH($C57, $C$8:$C$57, 0), (COLUMNS($DC57:DI57)-1)*5 + 1) = INDEX($E$5:$CE$5, 1, (COLUMNS($DC57:DI57)-1)*5 + 1), INDEX($E$8:$CE$57, MATCH($C57, $C$8:$C$57, 0), (COLUMNS($DC57:DI57)-1)*5 + 4) = "F"), INDEX($CZ$8:$CZ$23, COLUMNS($DC57:DI57)), "0"), "")</f>
        <v>0</v>
      </c>
      <c r="DJ57" s="390" t="str">
        <f t="array" ref="DJ57">IFERROR(IF(AND(INDEX($E$8:$CE$57, MATCH($C57, $C$8:$C$57, 0), (COLUMNS($DC57:DJ57)-1)*5 + 1) = INDEX($E$5:$CE$5, 1, (COLUMNS($DC57:DJ57)-1)*5 + 1), INDEX($E$8:$CE$57, MATCH($C57, $C$8:$C$57, 0), (COLUMNS($DC57:DJ57)-1)*5 + 4) = "F"), INDEX($CZ$8:$CZ$23, COLUMNS($DC57:DJ57)), "0"), "")</f>
        <v>0</v>
      </c>
      <c r="DK57" s="390" t="str">
        <f t="array" ref="DK57">IFERROR(IF(AND(INDEX($E$8:$CE$57, MATCH($C57, $C$8:$C$57, 0), (COLUMNS($DC57:DK57)-1)*5 + 1) = INDEX($E$5:$CE$5, 1, (COLUMNS($DC57:DK57)-1)*5 + 1), INDEX($E$8:$CE$57, MATCH($C57, $C$8:$C$57, 0), (COLUMNS($DC57:DK57)-1)*5 + 4) = "F"), INDEX($CZ$8:$CZ$23, COLUMNS($DC57:DK57)), "0"), "")</f>
        <v>0</v>
      </c>
      <c r="DL57" s="390" t="str">
        <f t="array" ref="DL57">IFERROR(IF(AND(INDEX($E$8:$CE$57, MATCH($C57, $C$8:$C$57, 0), (COLUMNS($DC57:DL57)-1)*5 + 1) = INDEX($E$5:$CE$5, 1, (COLUMNS($DC57:DL57)-1)*5 + 1), INDEX($E$8:$CE$57, MATCH($C57, $C$8:$C$57, 0), (COLUMNS($DC57:DL57)-1)*5 + 4) = "F"), INDEX($CZ$8:$CZ$23, COLUMNS($DC57:DL57)), "0"), "")</f>
        <v>0</v>
      </c>
      <c r="DM57" s="390" t="str">
        <f t="array" ref="DM57">IFERROR(IF(AND(INDEX($E$8:$CE$57, MATCH($C57, $C$8:$C$57, 0), (COLUMNS($DC57:DM57)-1)*5 + 1) = INDEX($E$5:$CE$5, 1, (COLUMNS($DC57:DM57)-1)*5 + 1), INDEX($E$8:$CE$57, MATCH($C57, $C$8:$C$57, 0), (COLUMNS($DC57:DM57)-1)*5 + 4) = "F"), INDEX($CZ$8:$CZ$23, COLUMNS($DC57:DM57)), "0"), "")</f>
        <v>0</v>
      </c>
      <c r="DN57" s="390" t="str">
        <f t="array" ref="DN57">IFERROR(IF(AND(INDEX($E$8:$CE$57, MATCH($C57, $C$8:$C$57, 0), (COLUMNS($DC57:DN57)-1)*5 + 1) = INDEX($E$5:$CE$5, 1, (COLUMNS($DC57:DN57)-1)*5 + 1), INDEX($E$8:$CE$57, MATCH($C57, $C$8:$C$57, 0), (COLUMNS($DC57:DN57)-1)*5 + 4) = "F"), INDEX($CZ$8:$CZ$23, COLUMNS($DC57:DN57)), "0"), "")</f>
        <v>0</v>
      </c>
      <c r="DO57" s="390" t="str">
        <f t="array" ref="DO57">IFERROR(IF(AND(INDEX($E$8:$CE$57, MATCH($C57, $C$8:$C$57, 0), (COLUMNS($DC57:DO57)-1)*5 + 1) = INDEX($E$5:$CE$5, 1, (COLUMNS($DC57:DO57)-1)*5 + 1), INDEX($E$8:$CE$57, MATCH($C57, $C$8:$C$57, 0), (COLUMNS($DC57:DO57)-1)*5 + 4) = "F"), INDEX($CZ$8:$CZ$23, COLUMNS($DC57:DO57)), "0"), "")</f>
        <v>0</v>
      </c>
      <c r="DP57" s="390" t="str">
        <f t="array" ref="DP57">IFERROR(IF(AND(INDEX($E$8:$CE$57, MATCH($C57, $C$8:$C$57, 0), (COLUMNS($DC57:DP57)-1)*5 + 1) = INDEX($E$5:$CE$5, 1, (COLUMNS($DC57:DP57)-1)*5 + 1), INDEX($E$8:$CE$57, MATCH($C57, $C$8:$C$57, 0), (COLUMNS($DC57:DP57)-1)*5 + 4) = "F"), INDEX($CZ$8:$CZ$23, COLUMNS($DC57:DP57)), "0"), "")</f>
        <v>0</v>
      </c>
      <c r="DQ57" s="390" t="str">
        <f t="array" ref="DQ57">IFERROR(IF(AND(INDEX($E$8:$CE$57, MATCH($C57, $C$8:$C$57, 0), (COLUMNS($DC57:DQ57)-1)*5 + 1) = INDEX($E$5:$CE$5, 1, (COLUMNS($DC57:DQ57)-1)*5 + 1), INDEX($E$8:$CE$57, MATCH($C57, $C$8:$C$57, 0), (COLUMNS($DC57:DQ57)-1)*5 + 4) = "F"), INDEX($CZ$8:$CZ$23, COLUMNS($DC57:DQ57)), "0"), "")</f>
        <v>0</v>
      </c>
      <c r="DR57" s="390" t="str">
        <f t="array" ref="DR57">IFERROR(IF(AND(INDEX($E$8:$CE$57, MATCH($C57, $C$8:$C$57, 0), (COLUMNS($DC57:DR57)-1)*5 + 1) = INDEX($E$5:$CE$5, 1, (COLUMNS($DC57:DR57)-1)*5 + 1), INDEX($E$8:$CE$57, MATCH($C57, $C$8:$C$57, 0), (COLUMNS($DC57:DR57)-1)*5 + 4) = "F"), INDEX($CZ$8:$CZ$23, COLUMNS($DC57:DR57)), "0"), "")</f>
        <v>0</v>
      </c>
      <c r="DT57" s="537" t="str">
        <f>SEMANA2[[#This Row],[COD]]</f>
        <v>COD 50</v>
      </c>
      <c r="DU57" s="390" t="str">
        <f t="array" ref="DU57">IFERROR(IF(AND(INDEX($E$8:$CE$57, MATCH($C57, $C$8:$C$57, 0), (COLUMNS($DU57:DU57)-1)*5 + 1) = INDEX($E$5:$CE$5, 1, (COLUMNS($DU57:DU57)-1)*5 + 1), INDEX($E$8:$CE$57, MATCH($C57, $C$8:$C$57, 0), (COLUMNS($DU57:DU57)-1)*5 + 4) = "SF"), INDEX($CZ$8:$CZ$23, COLUMNS($DU57:DU57)), "0"), "")</f>
        <v>0</v>
      </c>
      <c r="DV57" s="390" t="str">
        <f t="array" ref="DV57">IFERROR(IF(AND(INDEX($E$8:$CE$57, MATCH($C57, $C$8:$C$57, 0), (COLUMNS($DU57:DV57)-1)*5 + 1) = INDEX($E$5:$CE$5, 1, (COLUMNS($DU57:DV57)-1)*5 + 1), INDEX($E$8:$CE$57, MATCH($C57, $C$8:$C$57, 0), (COLUMNS($DU57:DV57)-1)*5 + 4) = "SF"), INDEX($CZ$8:$CZ$23, COLUMNS($DU57:DV57)), "0"), "")</f>
        <v>0</v>
      </c>
      <c r="DW57" s="390" t="str">
        <f t="array" ref="DW57">IFERROR(IF(AND(INDEX($E$8:$CE$57, MATCH($C57, $C$8:$C$57, 0), (COLUMNS($DU57:DW57)-1)*5 + 1) = INDEX($E$5:$CE$5, 1, (COLUMNS($DU57:DW57)-1)*5 + 1), INDEX($E$8:$CE$57, MATCH($C57, $C$8:$C$57, 0), (COLUMNS($DU57:DW57)-1)*5 + 4) = "SF"), INDEX($CZ$8:$CZ$23, COLUMNS($DU57:DW57)), "0"), "")</f>
        <v>0</v>
      </c>
      <c r="DX57" s="390" t="str">
        <f t="array" ref="DX57">IFERROR(IF(AND(INDEX($E$8:$CE$57, MATCH($C57, $C$8:$C$57, 0), (COLUMNS($DU57:DX57)-1)*5 + 1) = INDEX($E$5:$CE$5, 1, (COLUMNS($DU57:DX57)-1)*5 + 1), INDEX($E$8:$CE$57, MATCH($C57, $C$8:$C$57, 0), (COLUMNS($DU57:DX57)-1)*5 + 4) = "SF"), INDEX($CZ$8:$CZ$23, COLUMNS($DU57:DX57)), "0"), "")</f>
        <v>0</v>
      </c>
      <c r="DY57" s="390" t="str">
        <f t="array" ref="DY57">IFERROR(IF(AND(INDEX($E$8:$CE$57, MATCH($C57, $C$8:$C$57, 0), (COLUMNS($DU57:DY57)-1)*5 + 1) = INDEX($E$5:$CE$5, 1, (COLUMNS($DU57:DY57)-1)*5 + 1), INDEX($E$8:$CE$57, MATCH($C57, $C$8:$C$57, 0), (COLUMNS($DU57:DY57)-1)*5 + 4) = "SF"), INDEX($CZ$8:$CZ$23, COLUMNS($DU57:DY57)), "0"), "")</f>
        <v>0</v>
      </c>
      <c r="DZ57" s="390" t="str">
        <f t="array" ref="DZ57">IFERROR(IF(AND(INDEX($E$8:$CE$57, MATCH($C57, $C$8:$C$57, 0), (COLUMNS($DU57:DZ57)-1)*5 + 1) = INDEX($E$5:$CE$5, 1, (COLUMNS($DU57:DZ57)-1)*5 + 1), INDEX($E$8:$CE$57, MATCH($C57, $C$8:$C$57, 0), (COLUMNS($DU57:DZ57)-1)*5 + 4) = "SF"), INDEX($CZ$8:$CZ$23, COLUMNS($DU57:DZ57)), "0"), "")</f>
        <v>0</v>
      </c>
      <c r="EA57" s="390" t="str">
        <f t="array" ref="EA57">IFERROR(IF(AND(INDEX($E$8:$CE$57, MATCH($C57, $C$8:$C$57, 0), (COLUMNS($DU57:EA57)-1)*5 + 1) = INDEX($E$5:$CE$5, 1, (COLUMNS($DU57:EA57)-1)*5 + 1), INDEX($E$8:$CE$57, MATCH($C57, $C$8:$C$57, 0), (COLUMNS($DU57:EA57)-1)*5 + 4) = "SF"), INDEX($CZ$8:$CZ$23, COLUMNS($DU57:EA57)), "0"), "")</f>
        <v>0</v>
      </c>
      <c r="EB57" s="390" t="str">
        <f t="array" ref="EB57">IFERROR(IF(AND(INDEX($E$8:$CE$57, MATCH($C57, $C$8:$C$57, 0), (COLUMNS($DU57:EB57)-1)*5 + 1) = INDEX($E$5:$CE$5, 1, (COLUMNS($DU57:EB57)-1)*5 + 1), INDEX($E$8:$CE$57, MATCH($C57, $C$8:$C$57, 0), (COLUMNS($DU57:EB57)-1)*5 + 4) = "SF"), INDEX($CZ$8:$CZ$23, COLUMNS($DU57:EB57)), "0"), "")</f>
        <v>0</v>
      </c>
      <c r="EC57" s="390" t="str">
        <f t="array" ref="EC57">IFERROR(IF(AND(INDEX($E$8:$CE$57, MATCH($C57, $C$8:$C$57, 0), (COLUMNS($DU57:EC57)-1)*5 + 1) = INDEX($E$5:$CE$5, 1, (COLUMNS($DU57:EC57)-1)*5 + 1), INDEX($E$8:$CE$57, MATCH($C57, $C$8:$C$57, 0), (COLUMNS($DU57:EC57)-1)*5 + 4) = "SF"), INDEX($CZ$8:$CZ$23, COLUMNS($DU57:EC57)), "0"), "")</f>
        <v>0</v>
      </c>
      <c r="ED57" s="390" t="str">
        <f t="array" ref="ED57">IFERROR(IF(AND(INDEX($E$8:$CE$57, MATCH($C57, $C$8:$C$57, 0), (COLUMNS($DU57:ED57)-1)*5 + 1) = INDEX($E$5:$CE$5, 1, (COLUMNS($DU57:ED57)-1)*5 + 1), INDEX($E$8:$CE$57, MATCH($C57, $C$8:$C$57, 0), (COLUMNS($DU57:ED57)-1)*5 + 4) = "SF"), INDEX($CZ$8:$CZ$23, COLUMNS($DU57:ED57)), "0"), "")</f>
        <v>0</v>
      </c>
      <c r="EE57" s="390" t="str">
        <f t="array" ref="EE57">IFERROR(IF(AND(INDEX($E$8:$CE$57, MATCH($C57, $C$8:$C$57, 0), (COLUMNS($DU57:EE57)-1)*5 + 1) = INDEX($E$5:$CE$5, 1, (COLUMNS($DU57:EE57)-1)*5 + 1), INDEX($E$8:$CE$57, MATCH($C57, $C$8:$C$57, 0), (COLUMNS($DU57:EE57)-1)*5 + 4) = "SF"), INDEX($CZ$8:$CZ$23, COLUMNS($DU57:EE57)), "0"), "")</f>
        <v>0</v>
      </c>
      <c r="EF57" s="390" t="str">
        <f t="array" ref="EF57">IFERROR(IF(AND(INDEX($E$8:$CE$57, MATCH($C57, $C$8:$C$57, 0), (COLUMNS($DU57:EF57)-1)*5 + 1) = INDEX($E$5:$CE$5, 1, (COLUMNS($DU57:EF57)-1)*5 + 1), INDEX($E$8:$CE$57, MATCH($C57, $C$8:$C$57, 0), (COLUMNS($DU57:EF57)-1)*5 + 4) = "SF"), INDEX($CZ$8:$CZ$23, COLUMNS($DU57:EF57)), "0"), "")</f>
        <v>0</v>
      </c>
      <c r="EG57" s="390" t="str">
        <f t="array" ref="EG57">IFERROR(IF(AND(INDEX($E$8:$CE$57, MATCH($C57, $C$8:$C$57, 0), (COLUMNS($DU57:EG57)-1)*5 + 1) = INDEX($E$5:$CE$5, 1, (COLUMNS($DU57:EG57)-1)*5 + 1), INDEX($E$8:$CE$57, MATCH($C57, $C$8:$C$57, 0), (COLUMNS($DU57:EG57)-1)*5 + 4) = "SF"), INDEX($CZ$8:$CZ$23, COLUMNS($DU57:EG57)), "0"), "")</f>
        <v>0</v>
      </c>
      <c r="EH57" s="390" t="str">
        <f t="array" ref="EH57">IFERROR(IF(AND(INDEX($E$8:$CE$57, MATCH($C57, $C$8:$C$57, 0), (COLUMNS($DU57:EH57)-1)*5 + 1) = INDEX($E$5:$CE$5, 1, (COLUMNS($DU57:EH57)-1)*5 + 1), INDEX($E$8:$CE$57, MATCH($C57, $C$8:$C$57, 0), (COLUMNS($DU57:EH57)-1)*5 + 4) = "SF"), INDEX($CZ$8:$CZ$23, COLUMNS($DU57:EH57)), "0"), "")</f>
        <v>0</v>
      </c>
      <c r="EI57" s="390" t="str">
        <f t="array" ref="EI57">IFERROR(IF(AND(INDEX($E$8:$CE$57, MATCH($C57, $C$8:$C$57, 0), (COLUMNS($DU57:EI57)-1)*5 + 1) = INDEX($E$5:$CE$5, 1, (COLUMNS($DU57:EI57)-1)*5 + 1), INDEX($E$8:$CE$57, MATCH($C57, $C$8:$C$57, 0), (COLUMNS($DU57:EI57)-1)*5 + 4) = "SF"), INDEX($CZ$8:$CZ$23, COLUMNS($DU57:EI57)), "0"), "")</f>
        <v>0</v>
      </c>
      <c r="EJ57" s="390" t="str">
        <f t="array" ref="EJ57">IFERROR(IF(AND(INDEX($E$8:$CE$57, MATCH($C57, $C$8:$C$57, 0), (COLUMNS($DU57:EJ57)-1)*5 + 1) = INDEX($E$5:$CE$5, 1, (COLUMNS($DU57:EJ57)-1)*5 + 1), INDEX($E$8:$CE$57, MATCH($C57, $C$8:$C$57, 0), (COLUMNS($DU57:EJ57)-1)*5 + 4) = "SF"), INDEX($CZ$8:$CZ$23, COLUMNS($DU57:EJ57)), "0"), "")</f>
        <v>0</v>
      </c>
    </row>
    <row r="58" spans="1:140" ht="20.100000000000001" customHeight="1" thickBot="1" x14ac:dyDescent="0.4">
      <c r="A58" s="515"/>
      <c r="B58" s="446" t="s">
        <v>259</v>
      </c>
      <c r="C58" s="447"/>
      <c r="D58" s="447"/>
      <c r="E58" s="447"/>
      <c r="F58" s="447"/>
      <c r="G58" s="447"/>
      <c r="H58" s="447"/>
      <c r="I58" s="447" t="str">
        <f>"4 PUNTOS (DIV IGUAL O MENOR A 1/2 "&amp;$D$104&amp;" BS. RESTA 0,5 PUNTOS)"</f>
        <v>4 PUNTOS (DIV IGUAL O MENOR A 1/2 150 BS. RESTA 0,5 PUNTOS)</v>
      </c>
      <c r="J58" s="447"/>
      <c r="K58" s="447"/>
      <c r="L58" s="447"/>
      <c r="M58" s="447"/>
      <c r="N58" s="447"/>
      <c r="O58" s="447"/>
      <c r="P58" s="447"/>
      <c r="Q58" s="447"/>
      <c r="R58" s="447"/>
      <c r="S58" s="447"/>
      <c r="T58" s="447"/>
      <c r="U58" s="447" t="str">
        <f>"*DIVIDENDO MAYOR O IGUAL A 4/1 ("&amp;$D$115&amp;" Bs.) "</f>
        <v xml:space="preserve">*DIVIDENDO MAYOR O IGUAL A 4/1 (500 Bs.) </v>
      </c>
      <c r="V58" s="447"/>
      <c r="W58" s="447"/>
      <c r="X58" s="447"/>
      <c r="Y58" s="447"/>
      <c r="Z58" s="447"/>
      <c r="AA58" s="447"/>
      <c r="AB58" s="447"/>
      <c r="AC58" s="447"/>
      <c r="AD58" s="447"/>
      <c r="AE58" s="447" t="s">
        <v>260</v>
      </c>
      <c r="AF58" s="447"/>
      <c r="AG58" s="447"/>
      <c r="AH58" s="447"/>
      <c r="AI58" s="447"/>
      <c r="AJ58" s="447"/>
      <c r="AK58" s="447"/>
      <c r="AL58" s="447"/>
      <c r="AM58" s="447" t="s">
        <v>261</v>
      </c>
      <c r="AN58" s="447"/>
      <c r="AO58" s="447"/>
      <c r="AP58" s="447"/>
      <c r="AQ58" s="447"/>
      <c r="AR58" s="447"/>
      <c r="AS58" s="447"/>
      <c r="AT58" s="447" t="s">
        <v>262</v>
      </c>
      <c r="AU58" s="447"/>
      <c r="AV58" s="447"/>
      <c r="AW58" s="447"/>
      <c r="AX58" s="448"/>
      <c r="AY58" s="448"/>
      <c r="AZ58" s="448"/>
      <c r="BA58" s="448"/>
      <c r="BB58" s="448"/>
      <c r="BC58" s="448"/>
      <c r="BD58" s="448"/>
      <c r="BE58" s="447"/>
      <c r="BF58" s="448"/>
      <c r="BG58" s="449"/>
      <c r="BH58" s="448"/>
      <c r="BI58" s="448"/>
      <c r="BJ58" s="448"/>
      <c r="BK58" s="448"/>
      <c r="BL58" s="449"/>
      <c r="BM58" s="448"/>
      <c r="BN58" s="448"/>
      <c r="BO58" s="449"/>
      <c r="BP58" s="448"/>
      <c r="BQ58" s="448"/>
      <c r="BR58" s="448"/>
      <c r="BS58" s="448"/>
      <c r="BT58" s="449"/>
      <c r="BU58" s="448"/>
      <c r="BV58" s="448"/>
      <c r="BW58" s="448"/>
      <c r="BX58" s="448"/>
      <c r="BY58" s="449"/>
      <c r="BZ58" s="448"/>
      <c r="CA58" s="448"/>
      <c r="CB58" s="448"/>
      <c r="CC58" s="448"/>
      <c r="CD58" s="449"/>
      <c r="CE58" s="448"/>
      <c r="CF58" s="448"/>
      <c r="CG58" s="448"/>
      <c r="CH58" s="448"/>
      <c r="CI58" s="187"/>
      <c r="CJ58" s="188"/>
      <c r="CK58" s="188"/>
      <c r="CL58" s="188"/>
      <c r="CM58" s="188"/>
      <c r="CN58" s="188"/>
      <c r="CO58" s="188"/>
      <c r="CP58" s="188"/>
      <c r="CQ58" s="189" t="s">
        <v>263</v>
      </c>
      <c r="CR58" s="208">
        <f>CONTROL!R56</f>
        <v>78026.666666666672</v>
      </c>
      <c r="CS58" s="191"/>
      <c r="CT58" s="573" t="s">
        <v>264</v>
      </c>
      <c r="CU58" s="574"/>
      <c r="CV58" s="461">
        <f>SUM(CV8:CV57)</f>
        <v>36000</v>
      </c>
      <c r="CW58" s="515"/>
      <c r="CY58" s="387" t="str">
        <f t="shared" si="17"/>
        <v/>
      </c>
      <c r="CZ58" s="387"/>
      <c r="DA58" s="387" t="str">
        <f t="array" ref="DA58">IF(CZ58="", "", IF((INDEX(E$8:CE$57, MATCH(CZ58, C$8:C$57, 0), ($CZ$25-1)*5 + 1) &amp; "") = (INDEX(E$5:CE$5, 1, ($CZ$25-1)*5 + 1) &amp; ""), 1, IF((INDEX(E$8:CE$57, MATCH(CZ58, C$8:C$57, 0), ($CZ$25-1)*5 + 2) &amp; "") = (INDEX(E$5:CE$5, 1, ($CZ$25-1)*5 + 1) &amp; ""), 2, IF((INDEX(E$8:CE$57, MATCH(CZ58, C$8:C$57, 0), ($CZ$25-1)*5 + 3) &amp; "") = (INDEX(E$5:CE$5, 1, ($CZ$25-1)*5 + 1) &amp; ""), 3, ""))))</f>
        <v/>
      </c>
      <c r="DP58" s="389" t="s">
        <v>265</v>
      </c>
      <c r="DQ58" s="389" t="s">
        <v>9</v>
      </c>
      <c r="DR58" s="389" t="s">
        <v>252</v>
      </c>
      <c r="EH58" s="388" t="s">
        <v>265</v>
      </c>
      <c r="EI58" s="388" t="s">
        <v>9</v>
      </c>
      <c r="EJ58" s="388" t="s">
        <v>252</v>
      </c>
    </row>
    <row r="59" spans="1:140" ht="20.100000000000001" customHeight="1" thickBot="1" x14ac:dyDescent="0.4">
      <c r="A59" s="515"/>
      <c r="B59" s="446" t="s">
        <v>266</v>
      </c>
      <c r="C59" s="447"/>
      <c r="D59" s="447"/>
      <c r="E59" s="447"/>
      <c r="F59" s="447"/>
      <c r="G59" s="447"/>
      <c r="H59" s="447"/>
      <c r="I59" s="447" t="str">
        <f>"2 PUNTOS (DIV IGUAL O MENOR A 1/2 "&amp;$D$104&amp;" BS. RESTA 0,5 PUNTOS)"</f>
        <v>2 PUNTOS (DIV IGUAL O MENOR A 1/2 150 BS. RESTA 0,5 PUNTOS)</v>
      </c>
      <c r="J59" s="447"/>
      <c r="K59" s="447"/>
      <c r="L59" s="447"/>
      <c r="M59" s="447"/>
      <c r="N59" s="447"/>
      <c r="O59" s="447"/>
      <c r="P59" s="447"/>
      <c r="Q59" s="447"/>
      <c r="R59" s="447"/>
      <c r="S59" s="447"/>
      <c r="T59" s="447"/>
      <c r="U59" s="447" t="str">
        <f>"*DIVIDENDO MAYOR O IGUAL A 19/1 ("&amp;D129&amp;" Bs.) "</f>
        <v xml:space="preserve">*DIVIDENDO MAYOR O IGUAL A 19/1 (2000 Bs.) </v>
      </c>
      <c r="V59" s="447"/>
      <c r="W59" s="447"/>
      <c r="X59" s="447"/>
      <c r="Y59" s="447"/>
      <c r="Z59" s="447"/>
      <c r="AA59" s="447"/>
      <c r="AB59" s="447"/>
      <c r="AC59" s="447"/>
      <c r="AD59" s="447"/>
      <c r="AE59" s="447" t="s">
        <v>260</v>
      </c>
      <c r="AF59" s="447"/>
      <c r="AG59" s="447"/>
      <c r="AH59" s="447"/>
      <c r="AI59" s="447"/>
      <c r="AJ59" s="447"/>
      <c r="AK59" s="447"/>
      <c r="AL59" s="447"/>
      <c r="AM59" s="447"/>
      <c r="AN59" s="447"/>
      <c r="AO59" s="447"/>
      <c r="AP59" s="447"/>
      <c r="AQ59" s="447"/>
      <c r="AR59" s="447"/>
      <c r="AS59" s="447"/>
      <c r="AT59" s="447"/>
      <c r="AU59" s="447"/>
      <c r="AV59" s="447"/>
      <c r="AW59" s="447"/>
      <c r="AX59" s="448"/>
      <c r="AY59" s="448"/>
      <c r="AZ59" s="448"/>
      <c r="BA59" s="448"/>
      <c r="BB59" s="448"/>
      <c r="BC59" s="448"/>
      <c r="BD59" s="448"/>
      <c r="BE59" s="448"/>
      <c r="BF59" s="448"/>
      <c r="BG59" s="449"/>
      <c r="BH59" s="448"/>
      <c r="BI59" s="448"/>
      <c r="BJ59" s="448"/>
      <c r="BK59" s="448"/>
      <c r="BL59" s="449"/>
      <c r="BM59" s="448"/>
      <c r="BN59" s="448"/>
      <c r="BO59" s="448"/>
      <c r="BP59" s="448"/>
      <c r="BQ59" s="448"/>
      <c r="BR59" s="448"/>
      <c r="BS59" s="448"/>
      <c r="BT59" s="448"/>
      <c r="BU59" s="448"/>
      <c r="BV59" s="448"/>
      <c r="BW59" s="448"/>
      <c r="BX59" s="448"/>
      <c r="BY59" s="448"/>
      <c r="BZ59" s="448"/>
      <c r="CA59" s="448"/>
      <c r="CB59" s="448"/>
      <c r="CC59" s="448"/>
      <c r="CD59" s="448"/>
      <c r="CE59" s="448"/>
      <c r="CF59" s="448"/>
      <c r="CG59" s="448"/>
      <c r="CH59" s="448"/>
      <c r="CI59" s="192"/>
      <c r="CJ59" s="193"/>
      <c r="CK59" s="193"/>
      <c r="CL59" s="193"/>
      <c r="CM59" s="193"/>
      <c r="CN59" s="193"/>
      <c r="CO59" s="193"/>
      <c r="CP59" s="193"/>
      <c r="CQ59" s="194" t="s">
        <v>267</v>
      </c>
      <c r="CR59" s="209">
        <f>CONTROL!S56</f>
        <v>16720</v>
      </c>
      <c r="CS59" s="195"/>
      <c r="CT59" s="571" t="s">
        <v>268</v>
      </c>
      <c r="CU59" s="564"/>
      <c r="CV59" s="450">
        <f>+CV58*20%</f>
        <v>7200</v>
      </c>
      <c r="CW59" s="515"/>
      <c r="CY59" s="387" t="str">
        <f t="shared" si="17"/>
        <v/>
      </c>
      <c r="CZ59" s="387"/>
      <c r="DA59" s="387" t="str">
        <f t="array" ref="DA59">IF(CZ59="", "", IF((INDEX(E$8:CE$57, MATCH(CZ59, C$8:C$57, 0), ($CZ$25-1)*5 + 1) &amp; "") = (INDEX(E$5:CE$5, 1, ($CZ$25-1)*5 + 1) &amp; ""), 1, IF((INDEX(E$8:CE$57, MATCH(CZ59, C$8:C$57, 0), ($CZ$25-1)*5 + 2) &amp; "") = (INDEX(E$5:CE$5, 1, ($CZ$25-1)*5 + 1) &amp; ""), 2, IF((INDEX(E$8:CE$57, MATCH(CZ59, C$8:C$57, 0), ($CZ$25-1)*5 + 3) &amp; "") = (INDEX(E$5:CE$5, 1, ($CZ$25-1)*5 + 1) &amp; ""), 3, ""))))</f>
        <v/>
      </c>
      <c r="DO59" s="388" t="e">
        <f t="array" ref="DO59">INDEX(E5:CB5, 1, ($DR$59-1)*5 + 1)</f>
        <v>#VALUE!</v>
      </c>
      <c r="DP59" s="349" t="e">
        <f t="array" ref="DP59">_xlfn._xlws.FILTER(MAX($DC$8:$DR$57) + ($DB$8:$DB$57 - $DB$8:$DB$57), MMULT(($DC$8:$DR$57 = MAX($DC$8:$DR$57)) * ($DC$8:$DR$57 &gt; 0), _xlfn.SEQUENCE(COLUMNS($DC8:DR8), 1, 1, 0)) &gt; 0, "Esperando")</f>
        <v>#VALUE!</v>
      </c>
      <c r="DQ59" s="388" t="str">
        <f t="array" ref="DQ59">_xlfn._xlws.FILTER($DB$8:$DB$57, MMULT(($DC$8:$DR$57 = MAX($DC$8:$DR$57)) * ($DC$8:$DR$57 &gt; 0), _xlfn.SEQUENCE(COLUMNS($DC8:DR8), 1, 1, 0)) &gt; 0, "Esperando")</f>
        <v>COD 38</v>
      </c>
      <c r="DR59" s="388" t="e">
        <f t="array" ref="DR59">_xlfn._xlws.FILTER(INDEX($DC$7:$DR$7, 1, MMULT(--($DC$8:$DR$57 = MAX($DC$8:$DR$57)), _xlfn.SEQUENCE(COLUMNS($DC$8:$DR$8), 1, 1, 1))), MMULT(($DC$8:$DR$57 = MAX($DC$8:$DR$57)) * ($DC$8:$DR$57 &gt; 0), _xlfn.SEQUENCE(COLUMNS($DC$8:$DR$8), 1, 1, 1)) &gt; 0, "Esperando")</f>
        <v>#VALUE!</v>
      </c>
      <c r="EG59" s="388" t="e">
        <f t="array" ref="EG59">INDEX(E5:CB5, 1, ($EJ$59-1)*5 + 1)</f>
        <v>#VALUE!</v>
      </c>
      <c r="EH59" s="349" t="e">
        <f t="array" ref="EH59">_xlfn._xlws.FILTER(MAX($DU$8:$EJ$57) + ($DT$8:$DT$57 - $DT$8:$DT$57), MMULT(($DU$8:$EJ$57 = MAX($DU$8:$EJ$57)) * ($DU$8:$EJ$57 &gt; 0), _xlfn.SEQUENCE(COLUMNS($DU8:EJ8), 1, 1, 0)) &gt; 0, "Esperando")</f>
        <v>#VALUE!</v>
      </c>
      <c r="EI59" s="388" t="str">
        <f t="array" ref="EI59">_xlfn._xlws.FILTER($DT$8:$DT$57, MMULT(($DU$8:$EJ$57 = MAX($DU$8:$EJ$57)) * ($DU$8:$EJ$57 &gt; 0), _xlfn.SEQUENCE(COLUMNS($DU8:EJ8), 1, 1, 0)) &gt; 0, "Esperando")</f>
        <v>COD 34</v>
      </c>
      <c r="EJ59" s="388" t="e">
        <f t="array" ref="EJ59">_xlfn._xlws.FILTER(INDEX($DU$7:$EJ$7, 1, MMULT(--($DU$8:$EJ$57 = MAX($DU$8:$EJ$57)), _xlfn.SEQUENCE(COLUMNS($DU$8:$EJ$8), 1, 1, 1))), MMULT(($DU$8:$EJ$57 = MAX($DU$8:$EJ$57)) * ($DU$8:$EJ$57 &gt; 0), _xlfn.SEQUENCE(COLUMNS($DU$8:$EJ$8), 1, 1, 1)) &gt; 0, "Esperando")</f>
        <v>#VALUE!</v>
      </c>
    </row>
    <row r="60" spans="1:140" ht="20.100000000000001" customHeight="1" thickBot="1" x14ac:dyDescent="0.4">
      <c r="A60" s="515"/>
      <c r="B60" s="446" t="s">
        <v>269</v>
      </c>
      <c r="C60" s="447"/>
      <c r="D60" s="447"/>
      <c r="E60" s="447"/>
      <c r="F60" s="447"/>
      <c r="G60" s="447"/>
      <c r="H60" s="447"/>
      <c r="I60" s="447" t="str">
        <f>"1 PUNTOS (DIV IGUAL O MENOR A 1/2 "&amp;$D$104&amp;" BS. RESTA 0,5 PUNTOS)"</f>
        <v>1 PUNTOS (DIV IGUAL O MENOR A 1/2 150 BS. RESTA 0,5 PUNTOS)</v>
      </c>
      <c r="J60" s="447"/>
      <c r="K60" s="447"/>
      <c r="L60" s="447"/>
      <c r="M60" s="447"/>
      <c r="N60" s="447"/>
      <c r="O60" s="447"/>
      <c r="P60" s="447"/>
      <c r="Q60" s="447"/>
      <c r="R60" s="447"/>
      <c r="S60" s="447"/>
      <c r="T60" s="447"/>
      <c r="U60" s="447" t="s">
        <v>270</v>
      </c>
      <c r="V60" s="447"/>
      <c r="W60" s="447"/>
      <c r="X60" s="447"/>
      <c r="Y60" s="447"/>
      <c r="Z60" s="447"/>
      <c r="AA60" s="447"/>
      <c r="AB60" s="447"/>
      <c r="AC60" s="447"/>
      <c r="AD60" s="447"/>
      <c r="AE60" s="447" t="s">
        <v>260</v>
      </c>
      <c r="AF60" s="447"/>
      <c r="AG60" s="447"/>
      <c r="AH60" s="447"/>
      <c r="AI60" s="447"/>
      <c r="AJ60" s="447"/>
      <c r="AK60" s="447"/>
      <c r="AL60" s="447"/>
      <c r="AM60" s="447"/>
      <c r="AN60" s="567"/>
      <c r="AO60" s="568"/>
      <c r="AP60" s="568"/>
      <c r="AQ60" s="568"/>
      <c r="AR60" s="568"/>
      <c r="AS60" s="568"/>
      <c r="AT60" s="568"/>
      <c r="AU60" s="568"/>
      <c r="AV60" s="568"/>
      <c r="AW60" s="568"/>
      <c r="AX60" s="448"/>
      <c r="AY60" s="448"/>
      <c r="AZ60" s="448"/>
      <c r="BA60" s="448"/>
      <c r="BB60" s="448"/>
      <c r="BC60" s="448"/>
      <c r="BD60" s="448"/>
      <c r="BE60" s="448"/>
      <c r="BF60" s="448"/>
      <c r="BG60" s="449"/>
      <c r="BH60" s="448"/>
      <c r="BI60" s="448"/>
      <c r="BJ60" s="448"/>
      <c r="BK60" s="448"/>
      <c r="BL60" s="449"/>
      <c r="BM60" s="448"/>
      <c r="BN60" s="448"/>
      <c r="BO60" s="448"/>
      <c r="BP60" s="448"/>
      <c r="BQ60" s="448"/>
      <c r="BR60" s="448"/>
      <c r="BS60" s="448"/>
      <c r="BT60" s="448"/>
      <c r="BU60" s="448"/>
      <c r="BV60" s="448"/>
      <c r="BW60" s="448"/>
      <c r="BX60" s="448"/>
      <c r="BY60" s="448"/>
      <c r="BZ60" s="448"/>
      <c r="CA60" s="448"/>
      <c r="CB60" s="448"/>
      <c r="CC60" s="448"/>
      <c r="CD60" s="448"/>
      <c r="CE60" s="448"/>
      <c r="CF60" s="448"/>
      <c r="CG60" s="448"/>
      <c r="CH60" s="448"/>
      <c r="CI60" s="196"/>
      <c r="CJ60" s="197"/>
      <c r="CK60" s="197"/>
      <c r="CL60" s="197"/>
      <c r="CM60" s="197"/>
      <c r="CN60" s="197"/>
      <c r="CO60" s="197"/>
      <c r="CP60" s="197"/>
      <c r="CQ60" s="198" t="s">
        <v>271</v>
      </c>
      <c r="CR60" s="210">
        <f>CONTROL!T56</f>
        <v>5573.3333333333339</v>
      </c>
      <c r="CS60" s="190"/>
      <c r="CT60" s="575" t="s">
        <v>272</v>
      </c>
      <c r="CU60" s="574"/>
      <c r="CV60" s="451">
        <f>CONTROL!T54</f>
        <v>38665.661</v>
      </c>
      <c r="CW60" s="515"/>
      <c r="CY60" s="387" t="str">
        <f t="shared" si="17"/>
        <v/>
      </c>
      <c r="CZ60" s="387"/>
      <c r="DA60" s="387" t="str">
        <f t="array" ref="DA60">IF(CZ60="", "", IF((INDEX(E$8:CE$57, MATCH(CZ60, C$8:C$57, 0), ($CZ$25-1)*5 + 1) &amp; "") = (INDEX(E$5:CE$5, 1, ($CZ$25-1)*5 + 1) &amp; ""), 1, IF((INDEX(E$8:CE$57, MATCH(CZ60, C$8:C$57, 0), ($CZ$25-1)*5 + 2) &amp; "") = (INDEX(E$5:CE$5, 1, ($CZ$25-1)*5 + 1) &amp; ""), 2, IF((INDEX(E$8:CE$57, MATCH(CZ60, C$8:C$57, 0), ($CZ$25-1)*5 + 3) &amp; "") = (INDEX(E$5:CE$5, 1, ($CZ$25-1)*5 + 1) &amp; ""), 3, ""))))</f>
        <v/>
      </c>
      <c r="DP60" s="388"/>
      <c r="DQ60" s="388"/>
      <c r="DR60" s="388"/>
      <c r="EH60" s="388"/>
      <c r="EI60" s="388"/>
      <c r="EJ60" s="388"/>
    </row>
    <row r="61" spans="1:140" ht="20.100000000000001" customHeight="1" x14ac:dyDescent="0.35">
      <c r="A61" s="515"/>
      <c r="B61" s="452" t="s">
        <v>273</v>
      </c>
      <c r="C61" s="453"/>
      <c r="D61" s="453"/>
      <c r="E61" s="453"/>
      <c r="F61" s="453"/>
      <c r="G61" s="453"/>
      <c r="H61" s="453"/>
      <c r="I61" s="453" t="s">
        <v>260</v>
      </c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 t="s">
        <v>274</v>
      </c>
      <c r="V61" s="453"/>
      <c r="W61" s="453"/>
      <c r="X61" s="453"/>
      <c r="Y61" s="453"/>
      <c r="Z61" s="453"/>
      <c r="AA61" s="453"/>
      <c r="AB61" s="453"/>
      <c r="AC61" s="453"/>
      <c r="AD61" s="453"/>
      <c r="AE61" s="453" t="s">
        <v>275</v>
      </c>
      <c r="AF61" s="453"/>
      <c r="AG61" s="453"/>
      <c r="AH61" s="453"/>
      <c r="AI61" s="453"/>
      <c r="AJ61" s="453"/>
      <c r="AK61" s="453"/>
      <c r="AL61" s="453"/>
      <c r="AM61" s="453"/>
      <c r="AN61" s="582"/>
      <c r="AO61" s="558"/>
      <c r="AP61" s="558"/>
      <c r="AQ61" s="558"/>
      <c r="AR61" s="558"/>
      <c r="AS61" s="558"/>
      <c r="AT61" s="558"/>
      <c r="AU61" s="558"/>
      <c r="AV61" s="558"/>
      <c r="AW61" s="558"/>
      <c r="AX61" s="454"/>
      <c r="AY61" s="454"/>
      <c r="AZ61" s="454"/>
      <c r="BA61" s="454"/>
      <c r="BB61" s="454"/>
      <c r="BC61" s="454"/>
      <c r="BD61" s="454"/>
      <c r="BE61" s="454"/>
      <c r="BF61" s="454"/>
      <c r="BG61" s="455"/>
      <c r="BH61" s="454"/>
      <c r="BI61" s="454"/>
      <c r="BJ61" s="454"/>
      <c r="BK61" s="454"/>
      <c r="BL61" s="455"/>
      <c r="BM61" s="454"/>
      <c r="BN61" s="454"/>
      <c r="BO61" s="454"/>
      <c r="BP61" s="454"/>
      <c r="BQ61" s="454"/>
      <c r="BR61" s="454"/>
      <c r="BS61" s="454"/>
      <c r="BT61" s="454"/>
      <c r="BU61" s="454"/>
      <c r="BV61" s="454"/>
      <c r="BW61" s="454"/>
      <c r="BX61" s="454"/>
      <c r="BY61" s="454"/>
      <c r="BZ61" s="454"/>
      <c r="CA61" s="454"/>
      <c r="CB61" s="454"/>
      <c r="CC61" s="454"/>
      <c r="CD61" s="454"/>
      <c r="CE61" s="454"/>
      <c r="CF61" s="454"/>
      <c r="CG61" s="454"/>
      <c r="CH61" s="454"/>
      <c r="CI61" s="199"/>
      <c r="CJ61" s="200"/>
      <c r="CK61" s="200"/>
      <c r="CL61" s="200"/>
      <c r="CM61" s="200"/>
      <c r="CN61" s="200"/>
      <c r="CO61" s="200"/>
      <c r="CP61" s="200"/>
      <c r="CQ61" s="201" t="s">
        <v>276</v>
      </c>
      <c r="CR61" s="211">
        <f>CONTROL!T56</f>
        <v>5573.3333333333339</v>
      </c>
      <c r="CS61" s="202"/>
      <c r="CT61" s="580" t="s">
        <v>277</v>
      </c>
      <c r="CU61" s="581"/>
      <c r="CV61" s="456">
        <f>(CV58-CV59)/3</f>
        <v>9600</v>
      </c>
      <c r="CW61" s="515"/>
      <c r="CY61" s="387" t="str">
        <f t="shared" si="17"/>
        <v/>
      </c>
      <c r="CZ61" s="387"/>
      <c r="DA61" s="387" t="str">
        <f t="array" ref="DA61">IF(CZ61="", "", IF((INDEX(E$8:CE$57, MATCH(CZ61, C$8:C$57, 0), ($CZ$25-1)*5 + 1) &amp; "") = (INDEX(E$5:CE$5, 1, ($CZ$25-1)*5 + 1) &amp; ""), 1, IF((INDEX(E$8:CE$57, MATCH(CZ61, C$8:C$57, 0), ($CZ$25-1)*5 + 2) &amp; "") = (INDEX(E$5:CE$5, 1, ($CZ$25-1)*5 + 1) &amp; ""), 2, IF((INDEX(E$8:CE$57, MATCH(CZ61, C$8:C$57, 0), ($CZ$25-1)*5 + 3) &amp; "") = (INDEX(E$5:CE$5, 1, ($CZ$25-1)*5 + 1) &amp; ""), 3, ""))))</f>
        <v/>
      </c>
      <c r="DP61" s="388"/>
      <c r="DQ61" s="388"/>
      <c r="DR61" s="388"/>
      <c r="EH61" s="388"/>
      <c r="EI61" s="388"/>
      <c r="EJ61" s="388"/>
    </row>
    <row r="62" spans="1:140" ht="16.5" customHeight="1" x14ac:dyDescent="0.35">
      <c r="A62" s="351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"/>
      <c r="BH62" s="95"/>
      <c r="BI62" s="95"/>
      <c r="BJ62" s="95"/>
      <c r="BK62" s="95"/>
      <c r="BL62" s="9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  <c r="CP62" s="95"/>
      <c r="CQ62" s="95"/>
      <c r="CR62" s="95"/>
      <c r="CS62" s="95"/>
      <c r="CT62" s="95"/>
      <c r="CU62" s="95"/>
      <c r="CV62" s="95"/>
      <c r="CW62" s="95"/>
      <c r="CY62" s="387" t="str">
        <f t="shared" si="17"/>
        <v/>
      </c>
      <c r="CZ62" s="387"/>
      <c r="DA62" s="387" t="str">
        <f t="array" ref="DA62">IF(CZ62="", "", IF((INDEX(E$8:CE$57, MATCH(CZ62, C$8:C$57, 0), ($CZ$25-1)*5 + 1) &amp; "") = (INDEX(E$5:CE$5, 1, ($CZ$25-1)*5 + 1) &amp; ""), 1, IF((INDEX(E$8:CE$57, MATCH(CZ62, C$8:C$57, 0), ($CZ$25-1)*5 + 2) &amp; "") = (INDEX(E$5:CE$5, 1, ($CZ$25-1)*5 + 1) &amp; ""), 2, IF((INDEX(E$8:CE$57, MATCH(CZ62, C$8:C$57, 0), ($CZ$25-1)*5 + 3) &amp; "") = (INDEX(E$5:CE$5, 1, ($CZ$25-1)*5 + 1) &amp; ""), 3, ""))))</f>
        <v/>
      </c>
      <c r="DP62" s="388"/>
      <c r="DQ62" s="388"/>
      <c r="DR62" s="388"/>
      <c r="EH62" s="388"/>
      <c r="EI62" s="388"/>
      <c r="EJ62" s="388"/>
    </row>
    <row r="63" spans="1:140" ht="36" customHeight="1" x14ac:dyDescent="0.5">
      <c r="B63" s="5"/>
      <c r="E63" s="96"/>
      <c r="F63" s="97"/>
      <c r="G63" s="97"/>
      <c r="H63" s="97"/>
      <c r="I63" s="97"/>
      <c r="J63" s="97"/>
      <c r="K63" s="97"/>
      <c r="L63" s="97"/>
      <c r="M63" s="97"/>
      <c r="N63" s="97"/>
      <c r="O63" s="98"/>
      <c r="P63" s="97"/>
      <c r="Q63" s="97"/>
      <c r="R63" s="97"/>
      <c r="S63" s="97"/>
      <c r="T63" s="98" t="s">
        <v>278</v>
      </c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8"/>
      <c r="AP63" s="98" t="s">
        <v>279</v>
      </c>
      <c r="AQ63" s="97"/>
      <c r="AR63" s="97"/>
      <c r="AS63" s="98"/>
      <c r="AT63" s="97"/>
      <c r="AU63" s="99" t="str">
        <f>D3</f>
        <v>13/09/2026</v>
      </c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100"/>
      <c r="BH63" s="97"/>
      <c r="BI63" s="97"/>
      <c r="BJ63" s="97"/>
      <c r="BK63" s="97"/>
      <c r="BL63" s="100"/>
      <c r="BM63" s="97"/>
      <c r="BN63" s="97"/>
      <c r="BO63" s="97"/>
      <c r="BP63" s="97"/>
      <c r="BQ63" s="101"/>
      <c r="BR63" s="97"/>
      <c r="BS63" s="97"/>
      <c r="BT63" s="97"/>
      <c r="BU63" s="97"/>
      <c r="BV63" s="97"/>
      <c r="BW63" s="97"/>
      <c r="BX63" s="97"/>
      <c r="BY63" s="97"/>
      <c r="BZ63" s="97"/>
      <c r="CA63" s="97"/>
      <c r="CB63" s="97"/>
      <c r="CC63" s="97"/>
      <c r="CD63" s="97"/>
      <c r="CE63" s="97"/>
      <c r="CF63" s="101"/>
      <c r="CZ63" s="387"/>
      <c r="DA63" s="387" t="str">
        <f t="array" ref="DA63">IF(CZ63="", "", IF((INDEX(E$7:CE$57, MATCH(CZ63, C$7:C$57, 0), ($CZ$25-1)*5 + 1) &amp; "") = (INDEX(E$5:CE$5, 1, ($CZ$25-1)*5 + 1) &amp; ""), 1, IF((INDEX(E$7:CE$57, MATCH(CZ63, C$7:C$57, 0), ($CZ$25-1)*5 + 2) &amp; "") = (INDEX(E$5:CE$5, 1, ($CZ$25-1)*5 + 1) &amp; ""), 2, IF((INDEX(E$7:CE$57, MATCH(CZ63, C$7:C$57, 0), ($CZ$25-1)*5 + 3) &amp; "") = (INDEX(E$5:CE$5, 1, ($CZ$25-1)*5 + 1) &amp; ""), 3, ""))))</f>
        <v/>
      </c>
      <c r="DP63" s="388"/>
      <c r="DQ63" s="388"/>
      <c r="DR63" s="388"/>
      <c r="EH63" s="388"/>
      <c r="EI63" s="388"/>
      <c r="EJ63" s="388"/>
    </row>
    <row r="64" spans="1:140" ht="23.25" customHeight="1" x14ac:dyDescent="0.35">
      <c r="E64" s="540">
        <f>E4</f>
        <v>1</v>
      </c>
      <c r="F64" s="427"/>
      <c r="G64" s="427"/>
      <c r="H64" s="427"/>
      <c r="I64" s="427"/>
      <c r="J64" s="540">
        <f>J4</f>
        <v>2</v>
      </c>
      <c r="K64" s="427"/>
      <c r="L64" s="427"/>
      <c r="M64" s="427"/>
      <c r="N64" s="427"/>
      <c r="O64" s="540">
        <f>O4</f>
        <v>3</v>
      </c>
      <c r="P64" s="427"/>
      <c r="Q64" s="427"/>
      <c r="R64" s="427"/>
      <c r="S64" s="427"/>
      <c r="T64" s="540">
        <f>T4</f>
        <v>4</v>
      </c>
      <c r="U64" s="427"/>
      <c r="V64" s="427"/>
      <c r="W64" s="427"/>
      <c r="X64" s="427"/>
      <c r="Y64" s="540">
        <f>Y4</f>
        <v>5</v>
      </c>
      <c r="Z64" s="427"/>
      <c r="AA64" s="427"/>
      <c r="AB64" s="427"/>
      <c r="AC64" s="427"/>
      <c r="AD64" s="540">
        <f>AD4</f>
        <v>6</v>
      </c>
      <c r="AE64" s="427"/>
      <c r="AF64" s="427"/>
      <c r="AG64" s="427"/>
      <c r="AH64" s="427"/>
      <c r="AI64" s="540">
        <f>AI4</f>
        <v>7</v>
      </c>
      <c r="AJ64" s="427"/>
      <c r="AK64" s="427"/>
      <c r="AL64" s="427"/>
      <c r="AM64" s="427"/>
      <c r="AN64" s="540">
        <f>AN4</f>
        <v>8</v>
      </c>
      <c r="AO64" s="427"/>
      <c r="AP64" s="427"/>
      <c r="AQ64" s="427"/>
      <c r="AR64" s="427"/>
      <c r="AS64" s="540">
        <f>AS4</f>
        <v>9</v>
      </c>
      <c r="AT64" s="427"/>
      <c r="AU64" s="427"/>
      <c r="AV64" s="427"/>
      <c r="AW64" s="427"/>
      <c r="AX64" s="540">
        <f>AX4</f>
        <v>10</v>
      </c>
      <c r="AY64" s="427"/>
      <c r="AZ64" s="427"/>
      <c r="BA64" s="427"/>
      <c r="BB64" s="427"/>
      <c r="BC64" s="540">
        <f>BC4</f>
        <v>11</v>
      </c>
      <c r="BD64" s="427"/>
      <c r="BE64" s="427"/>
      <c r="BF64" s="427"/>
      <c r="BG64" s="427"/>
      <c r="BH64" s="540">
        <f>BH4</f>
        <v>12</v>
      </c>
      <c r="BI64" s="427"/>
      <c r="BJ64" s="427"/>
      <c r="BK64" s="427"/>
      <c r="BL64" s="427"/>
      <c r="BM64" s="540">
        <f>BM4</f>
        <v>13</v>
      </c>
      <c r="BN64" s="427"/>
      <c r="BO64" s="427"/>
      <c r="BP64" s="427"/>
      <c r="BQ64" s="427"/>
      <c r="BR64" s="540">
        <f>BR4</f>
        <v>14</v>
      </c>
      <c r="BS64" s="427"/>
      <c r="BT64" s="427"/>
      <c r="BU64" s="427"/>
      <c r="BV64" s="427"/>
      <c r="BW64" s="540">
        <f>BW4</f>
        <v>15</v>
      </c>
      <c r="BX64" s="427"/>
      <c r="BY64" s="427"/>
      <c r="BZ64" s="427"/>
      <c r="CA64" s="427"/>
      <c r="CB64" s="540">
        <f>CB4</f>
        <v>16</v>
      </c>
      <c r="CC64" s="427"/>
      <c r="CD64" s="427"/>
      <c r="CE64" s="427"/>
      <c r="CF64" s="428"/>
      <c r="CZ64" s="387"/>
      <c r="DA64" s="387" t="str">
        <f t="array" ref="DA64">IF(CZ64="", "", IF((INDEX(E$7:CE$57, MATCH(CZ64, C$7:C$57, 0), ($CZ$25-1)*5 + 1) &amp; "") = (INDEX(E$5:CE$5, 1, ($CZ$25-1)*5 + 1) &amp; ""), 1, IF((INDEX(E$7:CE$57, MATCH(CZ64, C$7:C$57, 0), ($CZ$25-1)*5 + 2) &amp; "") = (INDEX(E$5:CE$5, 1, ($CZ$25-1)*5 + 1) &amp; ""), 2, IF((INDEX(E$7:CE$57, MATCH(CZ64, C$7:C$57, 0), ($CZ$25-1)*5 + 3) &amp; "") = (INDEX(E$5:CE$5, 1, ($CZ$25-1)*5 + 1) &amp; ""), 3, ""))))</f>
        <v/>
      </c>
      <c r="DP64" s="388"/>
      <c r="DQ64" s="388"/>
      <c r="DR64" s="388"/>
      <c r="EH64" s="388"/>
      <c r="EI64" s="388"/>
      <c r="EJ64" s="388"/>
    </row>
    <row r="65" spans="2:140" ht="26.25" customHeight="1" x14ac:dyDescent="0.4">
      <c r="B65" s="102"/>
      <c r="C65" s="103"/>
      <c r="D65" s="103"/>
      <c r="E65" s="104" t="s">
        <v>280</v>
      </c>
      <c r="F65" s="105" t="s">
        <v>281</v>
      </c>
      <c r="G65" s="105" t="s">
        <v>282</v>
      </c>
      <c r="H65" s="105" t="s">
        <v>283</v>
      </c>
      <c r="I65" s="105" t="s">
        <v>165</v>
      </c>
      <c r="J65" s="105" t="s">
        <v>280</v>
      </c>
      <c r="K65" s="105" t="s">
        <v>281</v>
      </c>
      <c r="L65" s="105" t="s">
        <v>282</v>
      </c>
      <c r="M65" s="105" t="s">
        <v>283</v>
      </c>
      <c r="N65" s="105" t="s">
        <v>165</v>
      </c>
      <c r="O65" s="105" t="s">
        <v>280</v>
      </c>
      <c r="P65" s="105" t="s">
        <v>281</v>
      </c>
      <c r="Q65" s="105" t="s">
        <v>282</v>
      </c>
      <c r="R65" s="105" t="s">
        <v>283</v>
      </c>
      <c r="S65" s="105" t="s">
        <v>165</v>
      </c>
      <c r="T65" s="105" t="s">
        <v>280</v>
      </c>
      <c r="U65" s="105" t="s">
        <v>281</v>
      </c>
      <c r="V65" s="105" t="s">
        <v>282</v>
      </c>
      <c r="W65" s="105" t="s">
        <v>283</v>
      </c>
      <c r="X65" s="105" t="s">
        <v>165</v>
      </c>
      <c r="Y65" s="105" t="s">
        <v>280</v>
      </c>
      <c r="Z65" s="105" t="s">
        <v>281</v>
      </c>
      <c r="AA65" s="105" t="s">
        <v>282</v>
      </c>
      <c r="AB65" s="105" t="s">
        <v>283</v>
      </c>
      <c r="AC65" s="105" t="s">
        <v>165</v>
      </c>
      <c r="AD65" s="105" t="s">
        <v>280</v>
      </c>
      <c r="AE65" s="105" t="s">
        <v>281</v>
      </c>
      <c r="AF65" s="105" t="s">
        <v>282</v>
      </c>
      <c r="AG65" s="105" t="s">
        <v>283</v>
      </c>
      <c r="AH65" s="105" t="s">
        <v>165</v>
      </c>
      <c r="AI65" s="105" t="s">
        <v>280</v>
      </c>
      <c r="AJ65" s="105" t="s">
        <v>281</v>
      </c>
      <c r="AK65" s="105" t="s">
        <v>282</v>
      </c>
      <c r="AL65" s="105" t="s">
        <v>283</v>
      </c>
      <c r="AM65" s="105" t="s">
        <v>165</v>
      </c>
      <c r="AN65" s="105" t="s">
        <v>280</v>
      </c>
      <c r="AO65" s="105" t="s">
        <v>281</v>
      </c>
      <c r="AP65" s="105" t="s">
        <v>282</v>
      </c>
      <c r="AQ65" s="105" t="s">
        <v>283</v>
      </c>
      <c r="AR65" s="105" t="s">
        <v>165</v>
      </c>
      <c r="AS65" s="105" t="s">
        <v>280</v>
      </c>
      <c r="AT65" s="105" t="s">
        <v>281</v>
      </c>
      <c r="AU65" s="105" t="s">
        <v>282</v>
      </c>
      <c r="AV65" s="105" t="s">
        <v>283</v>
      </c>
      <c r="AW65" s="105" t="s">
        <v>165</v>
      </c>
      <c r="AX65" s="105" t="s">
        <v>280</v>
      </c>
      <c r="AY65" s="105" t="s">
        <v>281</v>
      </c>
      <c r="AZ65" s="105" t="s">
        <v>282</v>
      </c>
      <c r="BA65" s="105" t="s">
        <v>283</v>
      </c>
      <c r="BB65" s="105" t="s">
        <v>165</v>
      </c>
      <c r="BC65" s="105" t="s">
        <v>280</v>
      </c>
      <c r="BD65" s="105" t="s">
        <v>281</v>
      </c>
      <c r="BE65" s="105" t="s">
        <v>282</v>
      </c>
      <c r="BF65" s="105" t="s">
        <v>283</v>
      </c>
      <c r="BG65" s="105" t="s">
        <v>165</v>
      </c>
      <c r="BH65" s="105" t="s">
        <v>280</v>
      </c>
      <c r="BI65" s="105" t="s">
        <v>281</v>
      </c>
      <c r="BJ65" s="105" t="s">
        <v>282</v>
      </c>
      <c r="BK65" s="105" t="s">
        <v>283</v>
      </c>
      <c r="BL65" s="105" t="s">
        <v>165</v>
      </c>
      <c r="BM65" s="105" t="s">
        <v>280</v>
      </c>
      <c r="BN65" s="105" t="s">
        <v>281</v>
      </c>
      <c r="BO65" s="105" t="s">
        <v>282</v>
      </c>
      <c r="BP65" s="105" t="s">
        <v>283</v>
      </c>
      <c r="BQ65" s="106" t="s">
        <v>165</v>
      </c>
      <c r="BR65" s="105" t="s">
        <v>280</v>
      </c>
      <c r="BS65" s="420" t="s">
        <v>281</v>
      </c>
      <c r="BT65" s="420" t="s">
        <v>282</v>
      </c>
      <c r="BU65" s="420" t="s">
        <v>283</v>
      </c>
      <c r="BV65" s="106" t="s">
        <v>165</v>
      </c>
      <c r="BW65" s="105" t="s">
        <v>280</v>
      </c>
      <c r="BX65" s="420" t="s">
        <v>281</v>
      </c>
      <c r="BY65" s="420" t="s">
        <v>282</v>
      </c>
      <c r="BZ65" s="420" t="s">
        <v>283</v>
      </c>
      <c r="CA65" s="106" t="s">
        <v>165</v>
      </c>
      <c r="CB65" s="105" t="s">
        <v>280</v>
      </c>
      <c r="CC65" s="420" t="s">
        <v>281</v>
      </c>
      <c r="CD65" s="420" t="s">
        <v>282</v>
      </c>
      <c r="CE65" s="420" t="s">
        <v>283</v>
      </c>
      <c r="CF65" s="106" t="s">
        <v>165</v>
      </c>
      <c r="CG65" s="103"/>
      <c r="CH65" s="103"/>
      <c r="CZ65" s="387"/>
      <c r="DA65" s="387" t="str">
        <f t="array" ref="DA65">IF(CZ65="", "", IF((INDEX(E$7:CE$57, MATCH(CZ65, C$7:C$57, 0), ($CZ$25-1)*5 + 1) &amp; "") = (INDEX(E$5:CE$5, 1, ($CZ$25-1)*5 + 1) &amp; ""), 1, IF((INDEX(E$7:CE$57, MATCH(CZ65, C$7:C$57, 0), ($CZ$25-1)*5 + 2) &amp; "") = (INDEX(E$5:CE$5, 1, ($CZ$25-1)*5 + 1) &amp; ""), 2, IF((INDEX(E$7:CE$57, MATCH(CZ65, C$7:C$57, 0), ($CZ$25-1)*5 + 3) &amp; "") = (INDEX(E$5:CE$5, 1, ($CZ$25-1)*5 + 1) &amp; ""), 3, ""))))</f>
        <v/>
      </c>
      <c r="DP65" s="388"/>
      <c r="DQ65" s="388"/>
      <c r="DR65" s="388"/>
      <c r="EH65" s="388"/>
      <c r="EI65" s="388"/>
      <c r="EJ65" s="388"/>
    </row>
    <row r="66" spans="2:140" ht="27.95" customHeight="1" x14ac:dyDescent="0.4">
      <c r="B66" s="102"/>
      <c r="C66" s="103"/>
      <c r="D66" s="103"/>
      <c r="E66" s="171">
        <v>9</v>
      </c>
      <c r="F66" s="421">
        <f>(COUNTIF(SEMANA2[1],E66)*3)</f>
        <v>84</v>
      </c>
      <c r="G66" s="168">
        <f>(COUNTIF(SEMANA2[2],E66)*2)</f>
        <v>12</v>
      </c>
      <c r="H66" s="168">
        <f>COUNTIF(SEMANA2[22],E66)</f>
        <v>2</v>
      </c>
      <c r="I66" s="425">
        <f t="shared" ref="I66:I79" si="35">SUM(F66,G66,H66)</f>
        <v>98</v>
      </c>
      <c r="J66" s="170">
        <v>1</v>
      </c>
      <c r="K66" s="168">
        <f>(COUNTIF(SEMANA2[12],J66)*3)</f>
        <v>87</v>
      </c>
      <c r="L66" s="168">
        <f>(COUNTIF(SEMANA2[Columna2],J66)*2)</f>
        <v>14</v>
      </c>
      <c r="M66" s="168">
        <f>COUNTIF(SEMANA2[Columna23],J66)</f>
        <v>1</v>
      </c>
      <c r="N66" s="425">
        <f t="shared" ref="N66:N79" si="36">SUM(K66,L66,M66)</f>
        <v>102</v>
      </c>
      <c r="O66" s="170">
        <v>5</v>
      </c>
      <c r="P66" s="168">
        <f>(COUNTIF(SEMANA2[Columna4],O66)*3)</f>
        <v>78</v>
      </c>
      <c r="Q66" s="168">
        <f>(COUNTIF(SEMANA2[Columna5],O66)*2)</f>
        <v>14</v>
      </c>
      <c r="R66" s="168">
        <f>COUNTIF(SEMANA2[Columna53],O66)</f>
        <v>6</v>
      </c>
      <c r="S66" s="425">
        <f t="shared" ref="S66:S79" si="37">SUM(P66,Q66,R66)</f>
        <v>98</v>
      </c>
      <c r="T66" s="170">
        <v>3</v>
      </c>
      <c r="U66" s="168">
        <f>(COUNTIF(SEMANA2[Columna7],T66)*3)</f>
        <v>51</v>
      </c>
      <c r="V66" s="168">
        <f>(COUNTIF(SEMANA2[Columna8],T66)*2)</f>
        <v>32</v>
      </c>
      <c r="W66" s="168">
        <f>COUNTIF(SEMANA2[Columna83],T66)</f>
        <v>6</v>
      </c>
      <c r="X66" s="425">
        <f t="shared" ref="X66:X79" si="38">SUM(U66,V66,W66)</f>
        <v>89</v>
      </c>
      <c r="Y66" s="170">
        <v>2</v>
      </c>
      <c r="Z66" s="168">
        <f>(COUNTIF(SEMANA2[Columna10],Y66)*3)</f>
        <v>36</v>
      </c>
      <c r="AA66" s="168">
        <f>(COUNTIF(SEMANA2[Columna11],Y66)*2)</f>
        <v>20</v>
      </c>
      <c r="AB66" s="168">
        <f>COUNTIF(SEMANA2[Columna113],Y66)</f>
        <v>8</v>
      </c>
      <c r="AC66" s="425">
        <f t="shared" ref="AC66:AC79" si="39">SUM(Z66,AA66,AB66)</f>
        <v>64</v>
      </c>
      <c r="AD66" s="170">
        <v>5</v>
      </c>
      <c r="AE66" s="168">
        <f>(COUNTIF(SEMANA2[1RA],AD66)*3)</f>
        <v>48</v>
      </c>
      <c r="AF66" s="168">
        <f>(COUNTIF(SEMANA2[2DA],AD66)*2)</f>
        <v>24</v>
      </c>
      <c r="AG66" s="168">
        <f>COUNTIF(SEMANA2[2DA2],AD66)</f>
        <v>8</v>
      </c>
      <c r="AH66" s="425">
        <f t="shared" ref="AH66:AH79" si="40">SUM(AE66,AF66,AG66)</f>
        <v>80</v>
      </c>
      <c r="AI66" s="170">
        <v>7</v>
      </c>
      <c r="AJ66" s="168">
        <f>(COUNTIF(SEMANA2[Columna16],AI66)*3)</f>
        <v>75</v>
      </c>
      <c r="AK66" s="168">
        <f>(COUNTIF(SEMANA2[Columna17],AI66)*2)</f>
        <v>12</v>
      </c>
      <c r="AL66" s="168">
        <f>COUNTIF(SEMANA2[Columna173],AI66)</f>
        <v>4</v>
      </c>
      <c r="AM66" s="425">
        <f t="shared" ref="AM66:AM79" si="41">SUM(AJ66,AK66,AL66)</f>
        <v>91</v>
      </c>
      <c r="AN66" s="170">
        <v>8</v>
      </c>
      <c r="AO66" s="168">
        <f>(COUNTIF(SEMANA2[123],AN66)*3)</f>
        <v>111</v>
      </c>
      <c r="AP66" s="168">
        <f>(COUNTIF(SEMANA2[555],AN66)*2)</f>
        <v>2</v>
      </c>
      <c r="AQ66" s="168">
        <f>COUNTIF(SEMANA2[556],AN66)</f>
        <v>1</v>
      </c>
      <c r="AR66" s="425">
        <f t="shared" ref="AR66:AR79" si="42">SUM(AO66,AP66,AQ66)</f>
        <v>114</v>
      </c>
      <c r="AS66" s="170">
        <v>2</v>
      </c>
      <c r="AT66" s="168">
        <f>(COUNTIF(SEMANA2[AAAA],AS66)*3)</f>
        <v>42</v>
      </c>
      <c r="AU66" s="168">
        <f>(COUNTIF(SEMANA2[BBBB],AS66)*2)</f>
        <v>16</v>
      </c>
      <c r="AV66" s="168">
        <f>COUNTIF(SEMANA2[Columna13],AS66)</f>
        <v>6</v>
      </c>
      <c r="AW66" s="425">
        <f t="shared" ref="AW66:AW79" si="43">SUM(AT66,AU66,AV66)</f>
        <v>64</v>
      </c>
      <c r="AX66" s="170">
        <v>1</v>
      </c>
      <c r="AY66" s="168">
        <f>(COUNTIF(SEMANA2[Columna25],AX66)*3)</f>
        <v>30</v>
      </c>
      <c r="AZ66" s="168">
        <f>(COUNTIF(SEMANA2[Columna26],AX66)*2)</f>
        <v>30</v>
      </c>
      <c r="BA66" s="168">
        <f>COUNTIF(SEMANA2[Columna263],AX66)</f>
        <v>7</v>
      </c>
      <c r="BB66" s="425">
        <f t="shared" ref="BB66:BB79" si="44">SUM(AY66,AZ66,BA66)</f>
        <v>67</v>
      </c>
      <c r="BC66" s="170">
        <v>7</v>
      </c>
      <c r="BD66" s="168">
        <f>(COUNTIF(SEMANA2[Columna272],BC66)*3)</f>
        <v>99</v>
      </c>
      <c r="BE66" s="168">
        <f>(COUNTIF(SEMANA2[Columna273],BC66)*2)</f>
        <v>6</v>
      </c>
      <c r="BF66" s="168">
        <f>COUNTIF(SEMANA2[Columna2732],BC66)</f>
        <v>2</v>
      </c>
      <c r="BG66" s="425">
        <f t="shared" ref="BG66:BG79" si="45">SUM(BD66,BE66,BF66)</f>
        <v>107</v>
      </c>
      <c r="BH66" s="170">
        <v>6</v>
      </c>
      <c r="BI66" s="168">
        <f>(COUNTIF(SEMANA2[Columna276],BH66)*3)</f>
        <v>60</v>
      </c>
      <c r="BJ66" s="168">
        <f>(COUNTIF(SEMANA2[Columna277],BH66)*2)</f>
        <v>30</v>
      </c>
      <c r="BK66" s="168">
        <f>COUNTIF(SEMANA2[Columna2772],BH66)</f>
        <v>1</v>
      </c>
      <c r="BL66" s="425">
        <f t="shared" ref="BL66:BL79" si="46">SUM(BI66,BJ66,BK66)</f>
        <v>91</v>
      </c>
      <c r="BM66" s="170">
        <v>4</v>
      </c>
      <c r="BN66" s="168">
        <f>(COUNTIF(SEMANA2[Columna280],BM66)*3)</f>
        <v>63</v>
      </c>
      <c r="BO66" s="168">
        <f>(COUNTIF(SEMANA2[Columna281],BM66)*2)</f>
        <v>18</v>
      </c>
      <c r="BP66" s="168">
        <f>COUNTIF(SEMANA2[Columna2812],BM66)</f>
        <v>3</v>
      </c>
      <c r="BQ66" s="169">
        <f t="shared" ref="BQ66:BQ79" si="47">SUM(BN66,BO66,BP66)</f>
        <v>84</v>
      </c>
      <c r="BR66" s="167">
        <v>11</v>
      </c>
      <c r="BS66" s="421">
        <f>(COUNTIF(SEMANA2[Columna2802],BR66)*3)</f>
        <v>36</v>
      </c>
      <c r="BT66" s="168">
        <f>(COUNTIF(SEMANA2[Columna2813],BR66)*2)</f>
        <v>14</v>
      </c>
      <c r="BU66" s="422">
        <f>COUNTIF(SEMANA2[Columna28124],BR66)</f>
        <v>10</v>
      </c>
      <c r="BV66" s="169">
        <f t="shared" ref="BV66:BV79" si="48">SUM(BS66,BT66,BU66)</f>
        <v>60</v>
      </c>
      <c r="BW66" s="170">
        <v>1</v>
      </c>
      <c r="BX66" s="421">
        <f>(COUNTIF(SEMANA2[Columna2803],BW66)*3)</f>
        <v>0</v>
      </c>
      <c r="BY66" s="168">
        <f>(COUNTIF(SEMANA2[Columna2814],BW66)*2)</f>
        <v>0</v>
      </c>
      <c r="BZ66" s="422">
        <f>COUNTIF(SEMANA2[Columna28125],BW66)</f>
        <v>0</v>
      </c>
      <c r="CA66" s="169">
        <f t="shared" ref="CA66:CA79" si="49">SUM(BX66,BY66,BZ66)</f>
        <v>0</v>
      </c>
      <c r="CB66" s="170">
        <v>1</v>
      </c>
      <c r="CC66" s="421">
        <f>(COUNTIF(SEMANA2[Columna2804],CB66)*3)</f>
        <v>0</v>
      </c>
      <c r="CD66" s="168">
        <f>(COUNTIF(SEMANA2[Columna2815],CB66)*2)</f>
        <v>0</v>
      </c>
      <c r="CE66" s="422">
        <f>COUNTIF(SEMANA2[Columna28126],CB66)</f>
        <v>0</v>
      </c>
      <c r="CF66" s="169">
        <f t="shared" ref="CF66:CF79" si="50">SUM(CC66,CD66,CE66)</f>
        <v>0</v>
      </c>
      <c r="CG66" s="103"/>
      <c r="CH66" s="103"/>
      <c r="DP66" s="388"/>
      <c r="DQ66" s="388"/>
      <c r="DR66" s="388"/>
      <c r="EH66" s="388"/>
      <c r="EI66" s="388"/>
      <c r="EJ66" s="388"/>
    </row>
    <row r="67" spans="2:140" ht="27.95" customHeight="1" x14ac:dyDescent="0.4">
      <c r="B67" s="102"/>
      <c r="C67" s="103"/>
      <c r="D67" s="103"/>
      <c r="E67" s="171">
        <v>2</v>
      </c>
      <c r="F67" s="108">
        <f>(COUNTIF(SEMANA2[1],E67)*3)</f>
        <v>15</v>
      </c>
      <c r="G67" s="172">
        <f>(COUNTIF(SEMANA2[2],E67)*2)</f>
        <v>28</v>
      </c>
      <c r="H67" s="172">
        <f>COUNTIF(SEMANA2[22],E67)</f>
        <v>9</v>
      </c>
      <c r="I67" s="426">
        <f t="shared" si="35"/>
        <v>52</v>
      </c>
      <c r="J67" s="173">
        <v>7</v>
      </c>
      <c r="K67" s="172">
        <f>(COUNTIF(SEMANA2[12],J67)*3)</f>
        <v>15</v>
      </c>
      <c r="L67" s="172">
        <f>(COUNTIF(SEMANA2[Columna2],J67)*2)</f>
        <v>14</v>
      </c>
      <c r="M67" s="172">
        <f>COUNTIF(SEMANA2[Columna23],J67)</f>
        <v>14</v>
      </c>
      <c r="N67" s="426">
        <f t="shared" si="36"/>
        <v>43</v>
      </c>
      <c r="O67" s="173">
        <v>1</v>
      </c>
      <c r="P67" s="172">
        <f>(COUNTIF(SEMANA2[Columna4],O67)*3)</f>
        <v>30</v>
      </c>
      <c r="Q67" s="172">
        <f>(COUNTIF(SEMANA2[Columna5],O67)*2)</f>
        <v>26</v>
      </c>
      <c r="R67" s="172">
        <f>COUNTIF(SEMANA2[Columna53],O67)</f>
        <v>11</v>
      </c>
      <c r="S67" s="426">
        <f t="shared" si="37"/>
        <v>67</v>
      </c>
      <c r="T67" s="173">
        <v>5</v>
      </c>
      <c r="U67" s="172">
        <f>(COUNTIF(SEMANA2[Columna7],T67)*3)</f>
        <v>48</v>
      </c>
      <c r="V67" s="172">
        <f>(COUNTIF(SEMANA2[Columna8],T67)*2)</f>
        <v>18</v>
      </c>
      <c r="W67" s="172">
        <f>COUNTIF(SEMANA2[Columna83],T67)</f>
        <v>11</v>
      </c>
      <c r="X67" s="426">
        <f t="shared" si="38"/>
        <v>77</v>
      </c>
      <c r="Y67" s="173">
        <v>1</v>
      </c>
      <c r="Z67" s="172">
        <f>(COUNTIF(SEMANA2[Columna10],Y67)*3)</f>
        <v>27</v>
      </c>
      <c r="AA67" s="172">
        <f>(COUNTIF(SEMANA2[Columna11],Y67)*2)</f>
        <v>20</v>
      </c>
      <c r="AB67" s="172">
        <f>COUNTIF(SEMANA2[Columna113],Y67)</f>
        <v>10</v>
      </c>
      <c r="AC67" s="426">
        <f t="shared" si="39"/>
        <v>57</v>
      </c>
      <c r="AD67" s="173">
        <v>4</v>
      </c>
      <c r="AE67" s="172">
        <f>(COUNTIF(SEMANA2[1RA],AD67)*3)</f>
        <v>21</v>
      </c>
      <c r="AF67" s="172">
        <f>(COUNTIF(SEMANA2[2DA],AD67)*2)</f>
        <v>30</v>
      </c>
      <c r="AG67" s="172">
        <f>COUNTIF(SEMANA2[2DA2],AD67)</f>
        <v>3</v>
      </c>
      <c r="AH67" s="426">
        <f t="shared" si="40"/>
        <v>54</v>
      </c>
      <c r="AI67" s="173">
        <v>6</v>
      </c>
      <c r="AJ67" s="172">
        <f>(COUNTIF(SEMANA2[Columna16],AI67)*3)</f>
        <v>33</v>
      </c>
      <c r="AK67" s="172">
        <f>(COUNTIF(SEMANA2[Columna17],AI67)*2)</f>
        <v>46</v>
      </c>
      <c r="AL67" s="172">
        <f>COUNTIF(SEMANA2[Columna173],AI67)</f>
        <v>3</v>
      </c>
      <c r="AM67" s="426">
        <f t="shared" si="41"/>
        <v>82</v>
      </c>
      <c r="AN67" s="173">
        <v>1</v>
      </c>
      <c r="AO67" s="172">
        <f>(COUNTIF(SEMANA2[123],AN67)*3)</f>
        <v>3</v>
      </c>
      <c r="AP67" s="172">
        <f>(COUNTIF(SEMANA2[555],AN67)*2)</f>
        <v>36</v>
      </c>
      <c r="AQ67" s="172">
        <f>COUNTIF(SEMANA2[556],AN67)</f>
        <v>2</v>
      </c>
      <c r="AR67" s="426">
        <f t="shared" si="42"/>
        <v>41</v>
      </c>
      <c r="AS67" s="173">
        <v>10</v>
      </c>
      <c r="AT67" s="172">
        <f>(COUNTIF(SEMANA2[AAAA],AS67)*3)</f>
        <v>24</v>
      </c>
      <c r="AU67" s="172">
        <f>(COUNTIF(SEMANA2[BBBB],AS67)*2)</f>
        <v>20</v>
      </c>
      <c r="AV67" s="172">
        <f>COUNTIF(SEMANA2[Columna13],AS67)</f>
        <v>7</v>
      </c>
      <c r="AW67" s="426">
        <f t="shared" si="43"/>
        <v>51</v>
      </c>
      <c r="AX67" s="173">
        <v>10</v>
      </c>
      <c r="AY67" s="172">
        <f>(COUNTIF(SEMANA2[Columna25],AX67)*3)</f>
        <v>33</v>
      </c>
      <c r="AZ67" s="172">
        <f>(COUNTIF(SEMANA2[Columna26],AX67)*2)</f>
        <v>18</v>
      </c>
      <c r="BA67" s="172">
        <f>COUNTIF(SEMANA2[Columna263],AX67)</f>
        <v>10</v>
      </c>
      <c r="BB67" s="426">
        <f t="shared" si="44"/>
        <v>61</v>
      </c>
      <c r="BC67" s="173">
        <v>5</v>
      </c>
      <c r="BD67" s="172">
        <f>(COUNTIF(SEMANA2[Columna272],BC67)*3)</f>
        <v>12</v>
      </c>
      <c r="BE67" s="172">
        <f>(COUNTIF(SEMANA2[Columna273],BC67)*2)</f>
        <v>30</v>
      </c>
      <c r="BF67" s="172">
        <f>COUNTIF(SEMANA2[Columna2732],BC67)</f>
        <v>4</v>
      </c>
      <c r="BG67" s="426">
        <f t="shared" si="45"/>
        <v>46</v>
      </c>
      <c r="BH67" s="173">
        <v>1</v>
      </c>
      <c r="BI67" s="172">
        <f>(COUNTIF(SEMANA2[Columna276],BH67)*3)</f>
        <v>39</v>
      </c>
      <c r="BJ67" s="172">
        <f>(COUNTIF(SEMANA2[Columna277],BH67)*2)</f>
        <v>12</v>
      </c>
      <c r="BK67" s="172">
        <f>COUNTIF(SEMANA2[Columna2772],BH67)</f>
        <v>11</v>
      </c>
      <c r="BL67" s="426">
        <f t="shared" si="46"/>
        <v>62</v>
      </c>
      <c r="BM67" s="173">
        <v>1</v>
      </c>
      <c r="BN67" s="172">
        <f>(COUNTIF(SEMANA2[Columna280],BM67)*3)</f>
        <v>21</v>
      </c>
      <c r="BO67" s="172">
        <f>(COUNTIF(SEMANA2[Columna281],BM67)*2)</f>
        <v>20</v>
      </c>
      <c r="BP67" s="172">
        <f>COUNTIF(SEMANA2[Columna2812],BM67)</f>
        <v>11</v>
      </c>
      <c r="BQ67" s="109">
        <f t="shared" si="47"/>
        <v>52</v>
      </c>
      <c r="BR67" s="171">
        <v>5</v>
      </c>
      <c r="BS67" s="108">
        <f>(COUNTIF(SEMANA2[Columna2802],BR67)*3)</f>
        <v>30</v>
      </c>
      <c r="BT67" s="172">
        <f>(COUNTIF(SEMANA2[Columna2813],BR67)*2)</f>
        <v>16</v>
      </c>
      <c r="BU67" s="423">
        <f>COUNTIF(SEMANA2[Columna28124],BR67)</f>
        <v>5</v>
      </c>
      <c r="BV67" s="109">
        <f t="shared" si="48"/>
        <v>51</v>
      </c>
      <c r="BW67" s="173">
        <v>3</v>
      </c>
      <c r="BX67" s="108">
        <f>(COUNTIF(SEMANA2[Columna2803],BW67)*3)</f>
        <v>0</v>
      </c>
      <c r="BY67" s="172">
        <f>(COUNTIF(SEMANA2[Columna2814],BW67)*2)</f>
        <v>0</v>
      </c>
      <c r="BZ67" s="423">
        <f>COUNTIF(SEMANA2[Columna28125],BW67)</f>
        <v>0</v>
      </c>
      <c r="CA67" s="109">
        <f t="shared" si="49"/>
        <v>0</v>
      </c>
      <c r="CB67" s="173">
        <v>3</v>
      </c>
      <c r="CC67" s="108">
        <f>(COUNTIF(SEMANA2[Columna2804],CB67)*3)</f>
        <v>0</v>
      </c>
      <c r="CD67" s="172">
        <f>(COUNTIF(SEMANA2[Columna2815],CB67)*2)</f>
        <v>0</v>
      </c>
      <c r="CE67" s="423">
        <f>COUNTIF(SEMANA2[Columna28126],CB67)</f>
        <v>0</v>
      </c>
      <c r="CF67" s="109">
        <f t="shared" si="50"/>
        <v>0</v>
      </c>
      <c r="CG67" s="103"/>
      <c r="CH67" s="103"/>
      <c r="DP67" s="388"/>
      <c r="DQ67" s="388"/>
      <c r="DR67" s="388"/>
      <c r="EH67" s="388"/>
      <c r="EI67" s="388"/>
      <c r="EJ67" s="388"/>
    </row>
    <row r="68" spans="2:140" ht="27.95" customHeight="1" x14ac:dyDescent="0.4">
      <c r="B68" s="102"/>
      <c r="C68" s="103"/>
      <c r="D68" s="103"/>
      <c r="E68" s="171">
        <v>6</v>
      </c>
      <c r="F68" s="108">
        <f>(COUNTIF(SEMANA2[1],E68)*3)</f>
        <v>15</v>
      </c>
      <c r="G68" s="172">
        <f>(COUNTIF(SEMANA2[2],E68)*2)</f>
        <v>18</v>
      </c>
      <c r="H68" s="172">
        <f>COUNTIF(SEMANA2[22],E68)</f>
        <v>6</v>
      </c>
      <c r="I68" s="426">
        <f t="shared" si="35"/>
        <v>39</v>
      </c>
      <c r="J68" s="173">
        <v>2</v>
      </c>
      <c r="K68" s="172">
        <f>(COUNTIF(SEMANA2[12],J68)*3)</f>
        <v>15</v>
      </c>
      <c r="L68" s="172">
        <f>(COUNTIF(SEMANA2[Columna2],J68)*2)</f>
        <v>16</v>
      </c>
      <c r="M68" s="172">
        <f>COUNTIF(SEMANA2[Columna23],J68)</f>
        <v>6</v>
      </c>
      <c r="N68" s="426">
        <f t="shared" si="36"/>
        <v>37</v>
      </c>
      <c r="O68" s="173">
        <v>3</v>
      </c>
      <c r="P68" s="172">
        <f>(COUNTIF(SEMANA2[Columna4],O68)*3)</f>
        <v>3</v>
      </c>
      <c r="Q68" s="172">
        <f>(COUNTIF(SEMANA2[Columna5],O68)*2)</f>
        <v>14</v>
      </c>
      <c r="R68" s="172">
        <f>COUNTIF(SEMANA2[Columna53],O68)</f>
        <v>8</v>
      </c>
      <c r="S68" s="426">
        <f t="shared" si="37"/>
        <v>25</v>
      </c>
      <c r="T68" s="173">
        <v>7</v>
      </c>
      <c r="U68" s="172">
        <f>(COUNTIF(SEMANA2[Columna7],T68)*3)</f>
        <v>0</v>
      </c>
      <c r="V68" s="172">
        <f>(COUNTIF(SEMANA2[Columna8],T68)*2)</f>
        <v>0</v>
      </c>
      <c r="W68" s="172">
        <f>COUNTIF(SEMANA2[Columna83],T68)</f>
        <v>0</v>
      </c>
      <c r="X68" s="426">
        <f t="shared" si="38"/>
        <v>0</v>
      </c>
      <c r="Y68" s="173">
        <v>7</v>
      </c>
      <c r="Z68" s="172">
        <f>(COUNTIF(SEMANA2[Columna10],Y68)*3)</f>
        <v>24</v>
      </c>
      <c r="AA68" s="172">
        <f>(COUNTIF(SEMANA2[Columna11],Y68)*2)</f>
        <v>16</v>
      </c>
      <c r="AB68" s="172">
        <f>COUNTIF(SEMANA2[Columna113],Y68)</f>
        <v>6</v>
      </c>
      <c r="AC68" s="426">
        <f t="shared" si="39"/>
        <v>46</v>
      </c>
      <c r="AD68" s="173">
        <v>10</v>
      </c>
      <c r="AE68" s="172">
        <f>(COUNTIF(SEMANA2[1RA],AD68)*3)</f>
        <v>12</v>
      </c>
      <c r="AF68" s="172">
        <f>(COUNTIF(SEMANA2[2DA],AD68)*2)</f>
        <v>10</v>
      </c>
      <c r="AG68" s="172">
        <f>COUNTIF(SEMANA2[2DA2],AD68)</f>
        <v>11</v>
      </c>
      <c r="AH68" s="426">
        <f t="shared" si="40"/>
        <v>33</v>
      </c>
      <c r="AI68" s="173">
        <v>8</v>
      </c>
      <c r="AJ68" s="172">
        <f>(COUNTIF(SEMANA2[Columna16],AI68)*3)</f>
        <v>3</v>
      </c>
      <c r="AK68" s="172">
        <f>(COUNTIF(SEMANA2[Columna17],AI68)*2)</f>
        <v>10</v>
      </c>
      <c r="AL68" s="172">
        <f>COUNTIF(SEMANA2[Columna173],AI68)</f>
        <v>4</v>
      </c>
      <c r="AM68" s="426">
        <f t="shared" si="41"/>
        <v>17</v>
      </c>
      <c r="AN68" s="173">
        <v>2</v>
      </c>
      <c r="AO68" s="172">
        <f>(COUNTIF(SEMANA2[123],AN68)*3)</f>
        <v>0</v>
      </c>
      <c r="AP68" s="172">
        <f>(COUNTIF(SEMANA2[555],AN68)*2)</f>
        <v>2</v>
      </c>
      <c r="AQ68" s="172">
        <f>COUNTIF(SEMANA2[556],AN68)</f>
        <v>14</v>
      </c>
      <c r="AR68" s="426">
        <f t="shared" si="42"/>
        <v>16</v>
      </c>
      <c r="AS68" s="173">
        <v>1</v>
      </c>
      <c r="AT68" s="172">
        <f>(COUNTIF(SEMANA2[AAAA],AS68)*3)</f>
        <v>24</v>
      </c>
      <c r="AU68" s="172">
        <f>(COUNTIF(SEMANA2[BBBB],AS68)*2)</f>
        <v>16</v>
      </c>
      <c r="AV68" s="172">
        <f>COUNTIF(SEMANA2[Columna13],AS68)</f>
        <v>4</v>
      </c>
      <c r="AW68" s="426">
        <f t="shared" si="43"/>
        <v>44</v>
      </c>
      <c r="AX68" s="173">
        <v>6</v>
      </c>
      <c r="AY68" s="172">
        <f>(COUNTIF(SEMANA2[Columna25],AX68)*3)</f>
        <v>27</v>
      </c>
      <c r="AZ68" s="172">
        <f>(COUNTIF(SEMANA2[Columna26],AX68)*2)</f>
        <v>10</v>
      </c>
      <c r="BA68" s="172">
        <f>COUNTIF(SEMANA2[Columna263],AX68)</f>
        <v>5</v>
      </c>
      <c r="BB68" s="426">
        <f t="shared" si="44"/>
        <v>42</v>
      </c>
      <c r="BC68" s="173">
        <v>6</v>
      </c>
      <c r="BD68" s="172">
        <f>(COUNTIF(SEMANA2[Columna272],BC68)*3)</f>
        <v>0</v>
      </c>
      <c r="BE68" s="172">
        <f>(COUNTIF(SEMANA2[Columna273],BC68)*2)</f>
        <v>16</v>
      </c>
      <c r="BF68" s="172">
        <f>COUNTIF(SEMANA2[Columna2732],BC68)</f>
        <v>8</v>
      </c>
      <c r="BG68" s="426">
        <f t="shared" si="45"/>
        <v>24</v>
      </c>
      <c r="BH68" s="173">
        <v>2</v>
      </c>
      <c r="BI68" s="172">
        <f>(COUNTIF(SEMANA2[Columna276],BH68)*3)</f>
        <v>15</v>
      </c>
      <c r="BJ68" s="172">
        <f>(COUNTIF(SEMANA2[Columna277],BH68)*2)</f>
        <v>24</v>
      </c>
      <c r="BK68" s="172">
        <f>COUNTIF(SEMANA2[Columna2772],BH68)</f>
        <v>11</v>
      </c>
      <c r="BL68" s="426">
        <f t="shared" si="46"/>
        <v>50</v>
      </c>
      <c r="BM68" s="173">
        <v>9</v>
      </c>
      <c r="BN68" s="172">
        <f>(COUNTIF(SEMANA2[Columna280],BM68)*3)</f>
        <v>15</v>
      </c>
      <c r="BO68" s="172">
        <f>(COUNTIF(SEMANA2[Columna281],BM68)*2)</f>
        <v>22</v>
      </c>
      <c r="BP68" s="172">
        <f>COUNTIF(SEMANA2[Columna2812],BM68)</f>
        <v>11</v>
      </c>
      <c r="BQ68" s="109">
        <f t="shared" si="47"/>
        <v>48</v>
      </c>
      <c r="BR68" s="171">
        <v>1</v>
      </c>
      <c r="BS68" s="108">
        <f>(COUNTIF(SEMANA2[Columna2802],BR68)*3)</f>
        <v>24</v>
      </c>
      <c r="BT68" s="172">
        <f>(COUNTIF(SEMANA2[Columna2813],BR68)*2)</f>
        <v>16</v>
      </c>
      <c r="BU68" s="423">
        <f>COUNTIF(SEMANA2[Columna28124],BR68)</f>
        <v>8</v>
      </c>
      <c r="BV68" s="109">
        <f t="shared" si="48"/>
        <v>48</v>
      </c>
      <c r="BW68" s="173">
        <v>12</v>
      </c>
      <c r="BX68" s="108">
        <f>(COUNTIF(SEMANA2[Columna2803],BW68)*3)</f>
        <v>0</v>
      </c>
      <c r="BY68" s="172">
        <f>(COUNTIF(SEMANA2[Columna2814],BW68)*2)</f>
        <v>0</v>
      </c>
      <c r="BZ68" s="423">
        <f>COUNTIF(SEMANA2[Columna28125],BW68)</f>
        <v>0</v>
      </c>
      <c r="CA68" s="109">
        <f t="shared" si="49"/>
        <v>0</v>
      </c>
      <c r="CB68" s="173">
        <v>12</v>
      </c>
      <c r="CC68" s="108">
        <f>(COUNTIF(SEMANA2[Columna2804],CB68)*3)</f>
        <v>0</v>
      </c>
      <c r="CD68" s="172">
        <f>(COUNTIF(SEMANA2[Columna2815],CB68)*2)</f>
        <v>0</v>
      </c>
      <c r="CE68" s="423">
        <f>COUNTIF(SEMANA2[Columna28126],CB68)</f>
        <v>0</v>
      </c>
      <c r="CF68" s="109">
        <f t="shared" si="50"/>
        <v>0</v>
      </c>
      <c r="CG68" s="103"/>
      <c r="CH68" s="103"/>
      <c r="DP68" s="388"/>
      <c r="DQ68" s="388"/>
      <c r="DR68" s="388"/>
      <c r="EH68" s="388"/>
      <c r="EI68" s="388"/>
      <c r="EJ68" s="388"/>
    </row>
    <row r="69" spans="2:140" ht="27.95" customHeight="1" x14ac:dyDescent="0.4">
      <c r="B69" s="102"/>
      <c r="C69" s="103"/>
      <c r="D69" s="103"/>
      <c r="E69" s="171">
        <v>4</v>
      </c>
      <c r="F69" s="108">
        <f>(COUNTIF(SEMANA2[1],E69)*3)</f>
        <v>0</v>
      </c>
      <c r="G69" s="172">
        <f>(COUNTIF(SEMANA2[2],E69)*2)</f>
        <v>4</v>
      </c>
      <c r="H69" s="172">
        <f>COUNTIF(SEMANA2[22],E69)</f>
        <v>9</v>
      </c>
      <c r="I69" s="426">
        <f t="shared" si="35"/>
        <v>13</v>
      </c>
      <c r="J69" s="173">
        <v>4</v>
      </c>
      <c r="K69" s="172">
        <f>(COUNTIF(SEMANA2[12],J69)*3)</f>
        <v>0</v>
      </c>
      <c r="L69" s="172">
        <f>(COUNTIF(SEMANA2[Columna2],J69)*2)</f>
        <v>10</v>
      </c>
      <c r="M69" s="172">
        <f>COUNTIF(SEMANA2[Columna23],J69)</f>
        <v>4</v>
      </c>
      <c r="N69" s="426">
        <f t="shared" si="36"/>
        <v>14</v>
      </c>
      <c r="O69" s="173">
        <v>7</v>
      </c>
      <c r="P69" s="172">
        <f>(COUNTIF(SEMANA2[Columna4],O69)*3)</f>
        <v>6</v>
      </c>
      <c r="Q69" s="172">
        <f>(COUNTIF(SEMANA2[Columna5],O69)*2)</f>
        <v>10</v>
      </c>
      <c r="R69" s="172">
        <f>COUNTIF(SEMANA2[Columna53],O69)</f>
        <v>7</v>
      </c>
      <c r="S69" s="426">
        <f t="shared" si="37"/>
        <v>23</v>
      </c>
      <c r="T69" s="173">
        <v>4</v>
      </c>
      <c r="U69" s="172">
        <f>(COUNTIF(SEMANA2[Columna7],T69)*3)</f>
        <v>6</v>
      </c>
      <c r="V69" s="172">
        <f>(COUNTIF(SEMANA2[Columna8],T69)*2)</f>
        <v>20</v>
      </c>
      <c r="W69" s="172">
        <f>COUNTIF(SEMANA2[Columna83],T69)</f>
        <v>19</v>
      </c>
      <c r="X69" s="426">
        <f t="shared" si="38"/>
        <v>45</v>
      </c>
      <c r="Y69" s="173">
        <v>4</v>
      </c>
      <c r="Z69" s="172">
        <f>(COUNTIF(SEMANA2[Columna10],Y69)*3)</f>
        <v>9</v>
      </c>
      <c r="AA69" s="172">
        <f>(COUNTIF(SEMANA2[Columna11],Y69)*2)</f>
        <v>18</v>
      </c>
      <c r="AB69" s="172">
        <f>COUNTIF(SEMANA2[Columna113],Y69)</f>
        <v>8</v>
      </c>
      <c r="AC69" s="426">
        <f t="shared" si="39"/>
        <v>35</v>
      </c>
      <c r="AD69" s="173">
        <v>3</v>
      </c>
      <c r="AE69" s="172">
        <f>(COUNTIF(SEMANA2[1RA],AD69)*3)</f>
        <v>24</v>
      </c>
      <c r="AF69" s="172">
        <f>(COUNTIF(SEMANA2[2DA],AD69)*2)</f>
        <v>2</v>
      </c>
      <c r="AG69" s="172">
        <f>COUNTIF(SEMANA2[2DA2],AD69)</f>
        <v>4</v>
      </c>
      <c r="AH69" s="426">
        <f t="shared" si="40"/>
        <v>30</v>
      </c>
      <c r="AI69" s="173">
        <v>2</v>
      </c>
      <c r="AJ69" s="172">
        <f>(COUNTIF(SEMANA2[Columna16],AI69)*3)</f>
        <v>3</v>
      </c>
      <c r="AK69" s="172">
        <f>(COUNTIF(SEMANA2[Columna17],AI69)*2)</f>
        <v>2</v>
      </c>
      <c r="AL69" s="172">
        <f>COUNTIF(SEMANA2[Columna173],AI69)</f>
        <v>6</v>
      </c>
      <c r="AM69" s="426">
        <f t="shared" si="41"/>
        <v>11</v>
      </c>
      <c r="AN69" s="173">
        <v>6</v>
      </c>
      <c r="AO69" s="172">
        <f>(COUNTIF(SEMANA2[123],AN69)*3)</f>
        <v>3</v>
      </c>
      <c r="AP69" s="172">
        <f>(COUNTIF(SEMANA2[555],AN69)*2)</f>
        <v>0</v>
      </c>
      <c r="AQ69" s="172">
        <f>COUNTIF(SEMANA2[556],AN69)</f>
        <v>2</v>
      </c>
      <c r="AR69" s="426">
        <f t="shared" si="42"/>
        <v>5</v>
      </c>
      <c r="AS69" s="173">
        <v>9</v>
      </c>
      <c r="AT69" s="172">
        <f>(COUNTIF(SEMANA2[AAAA],AS69)*3)</f>
        <v>3</v>
      </c>
      <c r="AU69" s="172">
        <f>(COUNTIF(SEMANA2[BBBB],AS69)*2)</f>
        <v>6</v>
      </c>
      <c r="AV69" s="172">
        <f>COUNTIF(SEMANA2[Columna13],AS69)</f>
        <v>9</v>
      </c>
      <c r="AW69" s="426">
        <f t="shared" si="43"/>
        <v>18</v>
      </c>
      <c r="AX69" s="173">
        <v>2</v>
      </c>
      <c r="AY69" s="172">
        <f>(COUNTIF(SEMANA2[Columna25],AX69)*3)</f>
        <v>15</v>
      </c>
      <c r="AZ69" s="172">
        <f>(COUNTIF(SEMANA2[Columna26],AX69)*2)</f>
        <v>12</v>
      </c>
      <c r="BA69" s="172">
        <f>COUNTIF(SEMANA2[Columna263],AX69)</f>
        <v>7</v>
      </c>
      <c r="BB69" s="426">
        <f t="shared" si="44"/>
        <v>34</v>
      </c>
      <c r="BC69" s="173">
        <v>3</v>
      </c>
      <c r="BD69" s="172">
        <f>(COUNTIF(SEMANA2[Columna272],BC69)*3)</f>
        <v>0</v>
      </c>
      <c r="BE69" s="172">
        <f>(COUNTIF(SEMANA2[Columna273],BC69)*2)</f>
        <v>10</v>
      </c>
      <c r="BF69" s="172">
        <f>COUNTIF(SEMANA2[Columna2732],BC69)</f>
        <v>13</v>
      </c>
      <c r="BG69" s="426">
        <f t="shared" si="45"/>
        <v>23</v>
      </c>
      <c r="BH69" s="173">
        <v>5</v>
      </c>
      <c r="BI69" s="172">
        <f>(COUNTIF(SEMANA2[Columna276],BH69)*3)</f>
        <v>0</v>
      </c>
      <c r="BJ69" s="172">
        <f>(COUNTIF(SEMANA2[Columna277],BH69)*2)</f>
        <v>4</v>
      </c>
      <c r="BK69" s="172">
        <f>COUNTIF(SEMANA2[Columna2772],BH69)</f>
        <v>5</v>
      </c>
      <c r="BL69" s="426">
        <f t="shared" si="46"/>
        <v>9</v>
      </c>
      <c r="BM69" s="173">
        <v>3</v>
      </c>
      <c r="BN69" s="172">
        <f>(COUNTIF(SEMANA2[Columna280],BM69)*3)</f>
        <v>15</v>
      </c>
      <c r="BO69" s="172">
        <f>(COUNTIF(SEMANA2[Columna281],BM69)*2)</f>
        <v>12</v>
      </c>
      <c r="BP69" s="172">
        <f>COUNTIF(SEMANA2[Columna2812],BM69)</f>
        <v>3</v>
      </c>
      <c r="BQ69" s="109">
        <f t="shared" si="47"/>
        <v>30</v>
      </c>
      <c r="BR69" s="171">
        <v>2</v>
      </c>
      <c r="BS69" s="108">
        <f>(COUNTIF(SEMANA2[Columna2802],BR69)*3)</f>
        <v>15</v>
      </c>
      <c r="BT69" s="172">
        <f>(COUNTIF(SEMANA2[Columna2813],BR69)*2)</f>
        <v>18</v>
      </c>
      <c r="BU69" s="423">
        <f>COUNTIF(SEMANA2[Columna28124],BR69)</f>
        <v>9</v>
      </c>
      <c r="BV69" s="109">
        <f t="shared" si="48"/>
        <v>42</v>
      </c>
      <c r="BW69" s="173">
        <v>2</v>
      </c>
      <c r="BX69" s="108">
        <f>(COUNTIF(SEMANA2[Columna2803],BW69)*3)</f>
        <v>0</v>
      </c>
      <c r="BY69" s="172">
        <f>(COUNTIF(SEMANA2[Columna2814],BW69)*2)</f>
        <v>0</v>
      </c>
      <c r="BZ69" s="423">
        <f>COUNTIF(SEMANA2[Columna28125],BW69)</f>
        <v>0</v>
      </c>
      <c r="CA69" s="109">
        <f t="shared" si="49"/>
        <v>0</v>
      </c>
      <c r="CB69" s="173">
        <v>2</v>
      </c>
      <c r="CC69" s="108">
        <f>(COUNTIF(SEMANA2[Columna2804],CB69)*3)</f>
        <v>0</v>
      </c>
      <c r="CD69" s="172">
        <f>(COUNTIF(SEMANA2[Columna2815],CB69)*2)</f>
        <v>0</v>
      </c>
      <c r="CE69" s="423">
        <f>COUNTIF(SEMANA2[Columna28126],CB69)</f>
        <v>0</v>
      </c>
      <c r="CF69" s="109">
        <f t="shared" si="50"/>
        <v>0</v>
      </c>
      <c r="CG69" s="103"/>
      <c r="CH69" s="103"/>
      <c r="DP69" s="388"/>
      <c r="DQ69" s="388"/>
      <c r="DR69" s="388"/>
      <c r="EH69" s="388"/>
      <c r="EI69" s="388"/>
      <c r="EJ69" s="388"/>
    </row>
    <row r="70" spans="2:140" ht="27.95" customHeight="1" x14ac:dyDescent="0.4">
      <c r="B70" s="102"/>
      <c r="C70" s="103"/>
      <c r="D70" s="103"/>
      <c r="E70" s="171">
        <v>3</v>
      </c>
      <c r="F70" s="108">
        <f>(COUNTIF(SEMANA2[1],E70)*3)</f>
        <v>3</v>
      </c>
      <c r="G70" s="172">
        <f>(COUNTIF(SEMANA2[2],E70)*2)</f>
        <v>0</v>
      </c>
      <c r="H70" s="172">
        <f>COUNTIF(SEMANA2[22],E70)</f>
        <v>4</v>
      </c>
      <c r="I70" s="426">
        <f t="shared" si="35"/>
        <v>7</v>
      </c>
      <c r="J70" s="173">
        <v>6</v>
      </c>
      <c r="K70" s="172">
        <f>(COUNTIF(SEMANA2[12],J70)*3)</f>
        <v>0</v>
      </c>
      <c r="L70" s="172">
        <f>(COUNTIF(SEMANA2[Columna2],J70)*2)</f>
        <v>6</v>
      </c>
      <c r="M70" s="172">
        <f>COUNTIF(SEMANA2[Columna23],J70)</f>
        <v>4</v>
      </c>
      <c r="N70" s="426">
        <f t="shared" si="36"/>
        <v>10</v>
      </c>
      <c r="O70" s="173">
        <v>8</v>
      </c>
      <c r="P70" s="172">
        <f>(COUNTIF(SEMANA2[Columna4],O70)*3)</f>
        <v>0</v>
      </c>
      <c r="Q70" s="172">
        <f>(COUNTIF(SEMANA2[Columna5],O70)*2)</f>
        <v>14</v>
      </c>
      <c r="R70" s="172">
        <f>COUNTIF(SEMANA2[Columna53],O70)</f>
        <v>4</v>
      </c>
      <c r="S70" s="426">
        <f t="shared" si="37"/>
        <v>18</v>
      </c>
      <c r="T70" s="173">
        <v>1</v>
      </c>
      <c r="U70" s="172">
        <f>(COUNTIF(SEMANA2[Columna7],T70)*3)</f>
        <v>12</v>
      </c>
      <c r="V70" s="172">
        <f>(COUNTIF(SEMANA2[Columna8],T70)*2)</f>
        <v>8</v>
      </c>
      <c r="W70" s="172">
        <f>COUNTIF(SEMANA2[Columna83],T70)</f>
        <v>2</v>
      </c>
      <c r="X70" s="426">
        <f t="shared" si="38"/>
        <v>22</v>
      </c>
      <c r="Y70" s="173">
        <v>5</v>
      </c>
      <c r="Z70" s="172">
        <f>(COUNTIF(SEMANA2[Columna10],Y70)*3)</f>
        <v>21</v>
      </c>
      <c r="AA70" s="172">
        <f>(COUNTIF(SEMANA2[Columna11],Y70)*2)</f>
        <v>4</v>
      </c>
      <c r="AB70" s="172">
        <f>COUNTIF(SEMANA2[Columna113],Y70)</f>
        <v>6</v>
      </c>
      <c r="AC70" s="426">
        <f t="shared" si="39"/>
        <v>31</v>
      </c>
      <c r="AD70" s="173">
        <v>7</v>
      </c>
      <c r="AE70" s="172">
        <f>(COUNTIF(SEMANA2[1RA],AD70)*3)</f>
        <v>6</v>
      </c>
      <c r="AF70" s="172">
        <f>(COUNTIF(SEMANA2[2DA],AD70)*2)</f>
        <v>8</v>
      </c>
      <c r="AG70" s="172">
        <f>COUNTIF(SEMANA2[2DA2],AD70)</f>
        <v>8</v>
      </c>
      <c r="AH70" s="426">
        <f t="shared" si="40"/>
        <v>22</v>
      </c>
      <c r="AI70" s="173">
        <v>9</v>
      </c>
      <c r="AJ70" s="172">
        <f>(COUNTIF(SEMANA2[Columna16],AI70)*3)</f>
        <v>0</v>
      </c>
      <c r="AK70" s="172">
        <f>(COUNTIF(SEMANA2[Columna17],AI70)*2)</f>
        <v>2</v>
      </c>
      <c r="AL70" s="172">
        <f>COUNTIF(SEMANA2[Columna173],AI70)</f>
        <v>9</v>
      </c>
      <c r="AM70" s="426">
        <f t="shared" si="41"/>
        <v>11</v>
      </c>
      <c r="AN70" s="173">
        <v>4</v>
      </c>
      <c r="AO70" s="172">
        <f>(COUNTIF(SEMANA2[123],AN70)*3)</f>
        <v>0</v>
      </c>
      <c r="AP70" s="172">
        <f>(COUNTIF(SEMANA2[555],AN70)*2)</f>
        <v>2</v>
      </c>
      <c r="AQ70" s="172">
        <f>COUNTIF(SEMANA2[556],AN70)</f>
        <v>3</v>
      </c>
      <c r="AR70" s="426">
        <f t="shared" si="42"/>
        <v>5</v>
      </c>
      <c r="AS70" s="173">
        <v>11</v>
      </c>
      <c r="AT70" s="172">
        <f>(COUNTIF(SEMANA2[AAAA],AS70)*3)</f>
        <v>9</v>
      </c>
      <c r="AU70" s="172">
        <f>(COUNTIF(SEMANA2[BBBB],AS70)*2)</f>
        <v>2</v>
      </c>
      <c r="AV70" s="172">
        <f>COUNTIF(SEMANA2[Columna13],AS70)</f>
        <v>6</v>
      </c>
      <c r="AW70" s="426">
        <f t="shared" si="43"/>
        <v>17</v>
      </c>
      <c r="AX70" s="173">
        <v>5</v>
      </c>
      <c r="AY70" s="172">
        <f>(COUNTIF(SEMANA2[Columna25],AX70)*3)</f>
        <v>6</v>
      </c>
      <c r="AZ70" s="172">
        <f>(COUNTIF(SEMANA2[Columna26],AX70)*2)</f>
        <v>0</v>
      </c>
      <c r="BA70" s="172">
        <f>COUNTIF(SEMANA2[Columna263],AX70)</f>
        <v>3</v>
      </c>
      <c r="BB70" s="426">
        <f t="shared" si="44"/>
        <v>9</v>
      </c>
      <c r="BC70" s="173">
        <v>2</v>
      </c>
      <c r="BD70" s="172">
        <f>(COUNTIF(SEMANA2[Columna272],BC70)*3)</f>
        <v>3</v>
      </c>
      <c r="BE70" s="172">
        <f>(COUNTIF(SEMANA2[Columna273],BC70)*2)</f>
        <v>10</v>
      </c>
      <c r="BF70" s="172">
        <f>COUNTIF(SEMANA2[Columna2732],BC70)</f>
        <v>4</v>
      </c>
      <c r="BG70" s="426">
        <f t="shared" si="45"/>
        <v>17</v>
      </c>
      <c r="BH70" s="173">
        <v>8</v>
      </c>
      <c r="BI70" s="172">
        <f>(COUNTIF(SEMANA2[Columna276],BH70)*3)</f>
        <v>0</v>
      </c>
      <c r="BJ70" s="172">
        <f>(COUNTIF(SEMANA2[Columna277],BH70)*2)</f>
        <v>0</v>
      </c>
      <c r="BK70" s="172">
        <f>COUNTIF(SEMANA2[Columna2772],BH70)</f>
        <v>6</v>
      </c>
      <c r="BL70" s="426">
        <f t="shared" si="46"/>
        <v>6</v>
      </c>
      <c r="BM70" s="173">
        <v>5</v>
      </c>
      <c r="BN70" s="172">
        <f>(COUNTIF(SEMANA2[Columna280],BM70)*3)</f>
        <v>3</v>
      </c>
      <c r="BO70" s="172">
        <f>(COUNTIF(SEMANA2[Columna281],BM70)*2)</f>
        <v>0</v>
      </c>
      <c r="BP70" s="172">
        <f>COUNTIF(SEMANA2[Columna2812],BM70)</f>
        <v>5</v>
      </c>
      <c r="BQ70" s="109">
        <f t="shared" si="47"/>
        <v>8</v>
      </c>
      <c r="BR70" s="171">
        <v>9</v>
      </c>
      <c r="BS70" s="108">
        <f>(COUNTIF(SEMANA2[Columna2802],BR70)*3)</f>
        <v>6</v>
      </c>
      <c r="BT70" s="172">
        <f>(COUNTIF(SEMANA2[Columna2813],BR70)*2)</f>
        <v>8</v>
      </c>
      <c r="BU70" s="423">
        <f>COUNTIF(SEMANA2[Columna28124],BR70)</f>
        <v>2</v>
      </c>
      <c r="BV70" s="109">
        <f t="shared" si="48"/>
        <v>16</v>
      </c>
      <c r="BW70" s="173">
        <v>9</v>
      </c>
      <c r="BX70" s="108">
        <f>(COUNTIF(SEMANA2[Columna2803],BW70)*3)</f>
        <v>0</v>
      </c>
      <c r="BY70" s="172">
        <f>(COUNTIF(SEMANA2[Columna2814],BW70)*2)</f>
        <v>0</v>
      </c>
      <c r="BZ70" s="423">
        <f>COUNTIF(SEMANA2[Columna28125],BW70)</f>
        <v>0</v>
      </c>
      <c r="CA70" s="109">
        <f t="shared" si="49"/>
        <v>0</v>
      </c>
      <c r="CB70" s="173">
        <v>9</v>
      </c>
      <c r="CC70" s="108">
        <f>(COUNTIF(SEMANA2[Columna2804],CB70)*3)</f>
        <v>0</v>
      </c>
      <c r="CD70" s="172">
        <f>(COUNTIF(SEMANA2[Columna2815],CB70)*2)</f>
        <v>0</v>
      </c>
      <c r="CE70" s="423">
        <f>COUNTIF(SEMANA2[Columna28126],CB70)</f>
        <v>0</v>
      </c>
      <c r="CF70" s="109">
        <f t="shared" si="50"/>
        <v>0</v>
      </c>
      <c r="CG70" s="103"/>
      <c r="CH70" s="103"/>
      <c r="DP70" s="388"/>
      <c r="DQ70" s="388"/>
      <c r="DR70" s="388"/>
      <c r="EH70" s="388"/>
      <c r="EI70" s="388"/>
      <c r="EJ70" s="388"/>
    </row>
    <row r="71" spans="2:140" ht="27.95" customHeight="1" x14ac:dyDescent="0.4">
      <c r="B71" s="102"/>
      <c r="C71" s="103"/>
      <c r="D71" s="103"/>
      <c r="E71" s="171">
        <v>5</v>
      </c>
      <c r="F71" s="108">
        <f>(COUNTIF(SEMANA2[1],E71)*3)</f>
        <v>0</v>
      </c>
      <c r="G71" s="172">
        <f>(COUNTIF(SEMANA2[2],E71)*2)</f>
        <v>2</v>
      </c>
      <c r="H71" s="172">
        <f>COUNTIF(SEMANA2[22],E71)</f>
        <v>1</v>
      </c>
      <c r="I71" s="426">
        <f t="shared" si="35"/>
        <v>3</v>
      </c>
      <c r="J71" s="173">
        <v>10</v>
      </c>
      <c r="K71" s="172">
        <f>(COUNTIF(SEMANA2[12],J71)*3)</f>
        <v>0</v>
      </c>
      <c r="L71" s="172">
        <f>(COUNTIF(SEMANA2[Columna2],J71)*2)</f>
        <v>8</v>
      </c>
      <c r="M71" s="172">
        <f>COUNTIF(SEMANA2[Columna23],J71)</f>
        <v>2</v>
      </c>
      <c r="N71" s="426">
        <f t="shared" si="36"/>
        <v>10</v>
      </c>
      <c r="O71" s="173">
        <v>4</v>
      </c>
      <c r="P71" s="172">
        <f>(COUNTIF(SEMANA2[Columna4],O71)*3)</f>
        <v>0</v>
      </c>
      <c r="Q71" s="172">
        <f>(COUNTIF(SEMANA2[Columna5],O71)*2)</f>
        <v>0</v>
      </c>
      <c r="R71" s="172">
        <f>COUNTIF(SEMANA2[Columna53],O71)</f>
        <v>1</v>
      </c>
      <c r="S71" s="426">
        <f t="shared" si="37"/>
        <v>1</v>
      </c>
      <c r="T71" s="173">
        <v>2</v>
      </c>
      <c r="U71" s="172">
        <f>(COUNTIF(SEMANA2[Columna7],T71)*3)</f>
        <v>0</v>
      </c>
      <c r="V71" s="172">
        <f>(COUNTIF(SEMANA2[Columna8],T71)*2)</f>
        <v>0</v>
      </c>
      <c r="W71" s="172">
        <f>COUNTIF(SEMANA2[Columna83],T71)</f>
        <v>0</v>
      </c>
      <c r="X71" s="426">
        <f t="shared" si="38"/>
        <v>0</v>
      </c>
      <c r="Y71" s="173">
        <v>6</v>
      </c>
      <c r="Z71" s="172">
        <f>(COUNTIF(SEMANA2[Columna10],Y71)*3)</f>
        <v>0</v>
      </c>
      <c r="AA71" s="172">
        <f>(COUNTIF(SEMANA2[Columna11],Y71)*2)</f>
        <v>0</v>
      </c>
      <c r="AB71" s="172">
        <f>COUNTIF(SEMANA2[Columna113],Y71)</f>
        <v>1</v>
      </c>
      <c r="AC71" s="426">
        <f t="shared" si="39"/>
        <v>1</v>
      </c>
      <c r="AD71" s="173">
        <v>2</v>
      </c>
      <c r="AE71" s="172">
        <f>(COUNTIF(SEMANA2[1RA],AD71)*3)</f>
        <v>3</v>
      </c>
      <c r="AF71" s="172">
        <f>(COUNTIF(SEMANA2[2DA],AD71)*2)</f>
        <v>2</v>
      </c>
      <c r="AG71" s="172">
        <f>COUNTIF(SEMANA2[2DA2],AD71)</f>
        <v>4</v>
      </c>
      <c r="AH71" s="426">
        <f t="shared" si="40"/>
        <v>9</v>
      </c>
      <c r="AI71" s="173">
        <v>3</v>
      </c>
      <c r="AJ71" s="172">
        <f>(COUNTIF(SEMANA2[Columna16],AI71)*3)</f>
        <v>3</v>
      </c>
      <c r="AK71" s="172">
        <f>(COUNTIF(SEMANA2[Columna17],AI71)*2)</f>
        <v>2</v>
      </c>
      <c r="AL71" s="172">
        <f>COUNTIF(SEMANA2[Columna173],AI71)</f>
        <v>6</v>
      </c>
      <c r="AM71" s="426">
        <f t="shared" si="41"/>
        <v>11</v>
      </c>
      <c r="AN71" s="173">
        <v>7</v>
      </c>
      <c r="AO71" s="172">
        <f>(COUNTIF(SEMANA2[123],AN71)*3)</f>
        <v>0</v>
      </c>
      <c r="AP71" s="172">
        <f>(COUNTIF(SEMANA2[555],AN71)*2)</f>
        <v>4</v>
      </c>
      <c r="AQ71" s="172">
        <f>COUNTIF(SEMANA2[556],AN71)</f>
        <v>0</v>
      </c>
      <c r="AR71" s="426">
        <f t="shared" si="42"/>
        <v>4</v>
      </c>
      <c r="AS71" s="173">
        <v>5</v>
      </c>
      <c r="AT71" s="172">
        <f>(COUNTIF(SEMANA2[AAAA],AS71)*3)</f>
        <v>6</v>
      </c>
      <c r="AU71" s="172">
        <f>(COUNTIF(SEMANA2[BBBB],AS71)*2)</f>
        <v>6</v>
      </c>
      <c r="AV71" s="172">
        <f>COUNTIF(SEMANA2[Columna13],AS71)</f>
        <v>3</v>
      </c>
      <c r="AW71" s="426">
        <f t="shared" si="43"/>
        <v>15</v>
      </c>
      <c r="AX71" s="173">
        <v>7</v>
      </c>
      <c r="AY71" s="172">
        <f>(COUNTIF(SEMANA2[Columna25],AX71)*3)</f>
        <v>3</v>
      </c>
      <c r="AZ71" s="172">
        <f>(COUNTIF(SEMANA2[Columna26],AX71)*2)</f>
        <v>0</v>
      </c>
      <c r="BA71" s="172">
        <f>COUNTIF(SEMANA2[Columna263],AX71)</f>
        <v>3</v>
      </c>
      <c r="BB71" s="426">
        <f t="shared" si="44"/>
        <v>6</v>
      </c>
      <c r="BC71" s="173">
        <v>4</v>
      </c>
      <c r="BD71" s="172">
        <f>(COUNTIF(SEMANA2[Columna272],BC71)*3)</f>
        <v>0</v>
      </c>
      <c r="BE71" s="172">
        <f>(COUNTIF(SEMANA2[Columna273],BC71)*2)</f>
        <v>2</v>
      </c>
      <c r="BF71" s="172">
        <f>COUNTIF(SEMANA2[Columna2732],BC71)</f>
        <v>6</v>
      </c>
      <c r="BG71" s="426">
        <f t="shared" si="45"/>
        <v>8</v>
      </c>
      <c r="BH71" s="173">
        <v>4</v>
      </c>
      <c r="BI71" s="172">
        <f>(COUNTIF(SEMANA2[Columna276],BH71)*3)</f>
        <v>3</v>
      </c>
      <c r="BJ71" s="172">
        <f>(COUNTIF(SEMANA2[Columna277],BH71)*2)</f>
        <v>0</v>
      </c>
      <c r="BK71" s="172">
        <f>COUNTIF(SEMANA2[Columna2772],BH71)</f>
        <v>1</v>
      </c>
      <c r="BL71" s="426">
        <f t="shared" si="46"/>
        <v>4</v>
      </c>
      <c r="BM71" s="173">
        <v>2</v>
      </c>
      <c r="BN71" s="172">
        <f>(COUNTIF(SEMANA2[Columna280],BM71)*3)</f>
        <v>0</v>
      </c>
      <c r="BO71" s="172">
        <f>(COUNTIF(SEMANA2[Columna281],BM71)*2)</f>
        <v>0</v>
      </c>
      <c r="BP71" s="172">
        <f>COUNTIF(SEMANA2[Columna2812],BM71)</f>
        <v>1</v>
      </c>
      <c r="BQ71" s="109">
        <f t="shared" si="47"/>
        <v>1</v>
      </c>
      <c r="BR71" s="171">
        <v>7</v>
      </c>
      <c r="BS71" s="108">
        <f>(COUNTIF(SEMANA2[Columna2802],BR71)*3)</f>
        <v>0</v>
      </c>
      <c r="BT71" s="172">
        <f>(COUNTIF(SEMANA2[Columna2813],BR71)*2)</f>
        <v>2</v>
      </c>
      <c r="BU71" s="423">
        <f>COUNTIF(SEMANA2[Columna28124],BR71)</f>
        <v>2</v>
      </c>
      <c r="BV71" s="109">
        <f t="shared" si="48"/>
        <v>4</v>
      </c>
      <c r="BW71" s="173">
        <v>10</v>
      </c>
      <c r="BX71" s="108">
        <f>(COUNTIF(SEMANA2[Columna2803],BW71)*3)</f>
        <v>0</v>
      </c>
      <c r="BY71" s="172">
        <f>(COUNTIF(SEMANA2[Columna2814],BW71)*2)</f>
        <v>0</v>
      </c>
      <c r="BZ71" s="423">
        <f>COUNTIF(SEMANA2[Columna28125],BW71)</f>
        <v>0</v>
      </c>
      <c r="CA71" s="109">
        <f t="shared" si="49"/>
        <v>0</v>
      </c>
      <c r="CB71" s="173">
        <v>10</v>
      </c>
      <c r="CC71" s="108">
        <f>(COUNTIF(SEMANA2[Columna2804],CB71)*3)</f>
        <v>0</v>
      </c>
      <c r="CD71" s="172">
        <f>(COUNTIF(SEMANA2[Columna2815],CB71)*2)</f>
        <v>0</v>
      </c>
      <c r="CE71" s="423">
        <f>COUNTIF(SEMANA2[Columna28126],CB71)</f>
        <v>0</v>
      </c>
      <c r="CF71" s="109">
        <f t="shared" si="50"/>
        <v>0</v>
      </c>
      <c r="CG71" s="103"/>
      <c r="CH71" s="103"/>
      <c r="DP71" s="388"/>
      <c r="DQ71" s="388"/>
      <c r="DR71" s="388"/>
      <c r="EH71" s="388"/>
      <c r="EI71" s="388"/>
      <c r="EJ71" s="388"/>
    </row>
    <row r="72" spans="2:140" ht="27.95" customHeight="1" x14ac:dyDescent="0.4">
      <c r="B72" s="102"/>
      <c r="C72" s="103"/>
      <c r="D72" s="103"/>
      <c r="E72" s="171">
        <v>8</v>
      </c>
      <c r="F72" s="108">
        <f>(COUNTIF(SEMANA2[1],E72)*3)</f>
        <v>0</v>
      </c>
      <c r="G72" s="172">
        <f>(COUNTIF(SEMANA2[2],E72)*2)</f>
        <v>0</v>
      </c>
      <c r="H72" s="172">
        <f>COUNTIF(SEMANA2[22],E72)</f>
        <v>1</v>
      </c>
      <c r="I72" s="426">
        <f t="shared" si="35"/>
        <v>1</v>
      </c>
      <c r="J72" s="173">
        <v>5</v>
      </c>
      <c r="K72" s="172">
        <f>(COUNTIF(SEMANA2[12],J72)*3)</f>
        <v>0</v>
      </c>
      <c r="L72" s="172">
        <f>(COUNTIF(SEMANA2[Columna2],J72)*2)</f>
        <v>0</v>
      </c>
      <c r="M72" s="172">
        <f>COUNTIF(SEMANA2[Columna23],J72)</f>
        <v>2</v>
      </c>
      <c r="N72" s="426">
        <f t="shared" si="36"/>
        <v>2</v>
      </c>
      <c r="O72" s="173">
        <v>9</v>
      </c>
      <c r="P72" s="172">
        <f>(COUNTIF(SEMANA2[Columna4],O72)*3)</f>
        <v>0</v>
      </c>
      <c r="Q72" s="172">
        <f>(COUNTIF(SEMANA2[Columna5],O72)*2)</f>
        <v>0</v>
      </c>
      <c r="R72" s="172">
        <f>COUNTIF(SEMANA2[Columna53],O72)</f>
        <v>1</v>
      </c>
      <c r="S72" s="426">
        <f t="shared" si="37"/>
        <v>1</v>
      </c>
      <c r="T72" s="173">
        <v>6</v>
      </c>
      <c r="U72" s="172">
        <f>(COUNTIF(SEMANA2[Columna7],T72)*3)</f>
        <v>0</v>
      </c>
      <c r="V72" s="172">
        <f>(COUNTIF(SEMANA2[Columna8],T72)*2)</f>
        <v>0</v>
      </c>
      <c r="W72" s="172">
        <f>COUNTIF(SEMANA2[Columna83],T72)</f>
        <v>1</v>
      </c>
      <c r="X72" s="426">
        <f t="shared" si="38"/>
        <v>1</v>
      </c>
      <c r="Y72" s="173">
        <v>3</v>
      </c>
      <c r="Z72" s="172">
        <f>(COUNTIF(SEMANA2[Columna10],Y72)*3)</f>
        <v>0</v>
      </c>
      <c r="AA72" s="172">
        <f>(COUNTIF(SEMANA2[Columna11],Y72)*2)</f>
        <v>0</v>
      </c>
      <c r="AB72" s="172">
        <f>COUNTIF(SEMANA2[Columna113],Y72)</f>
        <v>0</v>
      </c>
      <c r="AC72" s="426">
        <f t="shared" si="39"/>
        <v>0</v>
      </c>
      <c r="AD72" s="173">
        <v>6</v>
      </c>
      <c r="AE72" s="172">
        <f>(COUNTIF(SEMANA2[1RA],AD72)*3)</f>
        <v>3</v>
      </c>
      <c r="AF72" s="172">
        <f>(COUNTIF(SEMANA2[2DA],AD72)*2)</f>
        <v>0</v>
      </c>
      <c r="AG72" s="172">
        <f>COUNTIF(SEMANA2[2DA2],AD72)</f>
        <v>1</v>
      </c>
      <c r="AH72" s="426">
        <f t="shared" si="40"/>
        <v>4</v>
      </c>
      <c r="AI72" s="173">
        <v>1</v>
      </c>
      <c r="AJ72" s="172">
        <f>(COUNTIF(SEMANA2[Columna16],AI72)*3)</f>
        <v>0</v>
      </c>
      <c r="AK72" s="172">
        <f>(COUNTIF(SEMANA2[Columna17],AI72)*2)</f>
        <v>0</v>
      </c>
      <c r="AL72" s="172">
        <f>COUNTIF(SEMANA2[Columna173],AI72)</f>
        <v>3</v>
      </c>
      <c r="AM72" s="426">
        <f t="shared" si="41"/>
        <v>3</v>
      </c>
      <c r="AN72" s="173">
        <v>3</v>
      </c>
      <c r="AO72" s="172">
        <f>(COUNTIF(SEMANA2[123],AN72)*3)</f>
        <v>0</v>
      </c>
      <c r="AP72" s="172">
        <f>(COUNTIF(SEMANA2[555],AN72)*2)</f>
        <v>0</v>
      </c>
      <c r="AQ72" s="172">
        <f>COUNTIF(SEMANA2[556],AN72)</f>
        <v>1</v>
      </c>
      <c r="AR72" s="426">
        <f t="shared" si="42"/>
        <v>1</v>
      </c>
      <c r="AS72" s="173">
        <v>6</v>
      </c>
      <c r="AT72" s="172">
        <f>(COUNTIF(SEMANA2[AAAA],AS72)*3)</f>
        <v>6</v>
      </c>
      <c r="AU72" s="172">
        <f>(COUNTIF(SEMANA2[BBBB],AS72)*2)</f>
        <v>6</v>
      </c>
      <c r="AV72" s="172">
        <f>COUNTIF(SEMANA2[Columna13],AS72)</f>
        <v>2</v>
      </c>
      <c r="AW72" s="426">
        <f t="shared" si="43"/>
        <v>14</v>
      </c>
      <c r="AX72" s="173">
        <v>4</v>
      </c>
      <c r="AY72" s="172">
        <f>(COUNTIF(SEMANA2[Columna25],AX72)*3)</f>
        <v>3</v>
      </c>
      <c r="AZ72" s="172">
        <f>(COUNTIF(SEMANA2[Columna26],AX72)*2)</f>
        <v>2</v>
      </c>
      <c r="BA72" s="172">
        <f>COUNTIF(SEMANA2[Columna263],AX72)</f>
        <v>0</v>
      </c>
      <c r="BB72" s="426">
        <f t="shared" si="44"/>
        <v>5</v>
      </c>
      <c r="BC72" s="173">
        <v>1</v>
      </c>
      <c r="BD72" s="172">
        <f>(COUNTIF(SEMANA2[Columna272],BC72)*3)</f>
        <v>3</v>
      </c>
      <c r="BE72" s="172">
        <f>(COUNTIF(SEMANA2[Columna273],BC72)*2)</f>
        <v>0</v>
      </c>
      <c r="BF72" s="172">
        <f>COUNTIF(SEMANA2[Columna2732],BC72)</f>
        <v>0</v>
      </c>
      <c r="BG72" s="426">
        <f t="shared" si="45"/>
        <v>3</v>
      </c>
      <c r="BH72" s="173">
        <v>7</v>
      </c>
      <c r="BI72" s="172">
        <f>(COUNTIF(SEMANA2[Columna276],BH72)*3)</f>
        <v>0</v>
      </c>
      <c r="BJ72" s="172">
        <f>(COUNTIF(SEMANA2[Columna277],BH72)*2)</f>
        <v>2</v>
      </c>
      <c r="BK72" s="172">
        <f>COUNTIF(SEMANA2[Columna2772],BH72)</f>
        <v>2</v>
      </c>
      <c r="BL72" s="426">
        <f t="shared" si="46"/>
        <v>4</v>
      </c>
      <c r="BM72" s="173">
        <v>8</v>
      </c>
      <c r="BN72" s="172">
        <f>(COUNTIF(SEMANA2[Columna280],BM72)*3)</f>
        <v>0</v>
      </c>
      <c r="BO72" s="172">
        <f>(COUNTIF(SEMANA2[Columna281],BM72)*2)</f>
        <v>0</v>
      </c>
      <c r="BP72" s="172">
        <f>COUNTIF(SEMANA2[Columna2812],BM72)</f>
        <v>1</v>
      </c>
      <c r="BQ72" s="109">
        <f t="shared" si="47"/>
        <v>1</v>
      </c>
      <c r="BR72" s="171">
        <v>10</v>
      </c>
      <c r="BS72" s="108">
        <f>(COUNTIF(SEMANA2[Columna2802],BR72)*3)</f>
        <v>3</v>
      </c>
      <c r="BT72" s="172">
        <f>(COUNTIF(SEMANA2[Columna2813],BR72)*2)</f>
        <v>0</v>
      </c>
      <c r="BU72" s="423">
        <f>COUNTIF(SEMANA2[Columna28124],BR72)</f>
        <v>0</v>
      </c>
      <c r="BV72" s="109">
        <f t="shared" si="48"/>
        <v>3</v>
      </c>
      <c r="BW72" s="173">
        <v>5</v>
      </c>
      <c r="BX72" s="108">
        <f>(COUNTIF(SEMANA2[Columna2803],BW72)*3)</f>
        <v>0</v>
      </c>
      <c r="BY72" s="172">
        <f>(COUNTIF(SEMANA2[Columna2814],BW72)*2)</f>
        <v>0</v>
      </c>
      <c r="BZ72" s="423">
        <f>COUNTIF(SEMANA2[Columna28125],BW72)</f>
        <v>0</v>
      </c>
      <c r="CA72" s="109">
        <f t="shared" si="49"/>
        <v>0</v>
      </c>
      <c r="CB72" s="173">
        <v>5</v>
      </c>
      <c r="CC72" s="108">
        <f>(COUNTIF(SEMANA2[Columna2804],CB72)*3)</f>
        <v>0</v>
      </c>
      <c r="CD72" s="172">
        <f>(COUNTIF(SEMANA2[Columna2815],CB72)*2)</f>
        <v>0</v>
      </c>
      <c r="CE72" s="423">
        <f>COUNTIF(SEMANA2[Columna28126],CB72)</f>
        <v>0</v>
      </c>
      <c r="CF72" s="109">
        <f t="shared" si="50"/>
        <v>0</v>
      </c>
      <c r="CG72" s="103"/>
      <c r="CH72" s="103"/>
      <c r="DP72" s="388"/>
      <c r="DQ72" s="388"/>
      <c r="DR72" s="388"/>
      <c r="EH72" s="388"/>
      <c r="EI72" s="388"/>
      <c r="EJ72" s="388"/>
    </row>
    <row r="73" spans="2:140" ht="27.95" customHeight="1" x14ac:dyDescent="0.4">
      <c r="B73" s="102"/>
      <c r="C73" s="103"/>
      <c r="D73" s="103"/>
      <c r="E73" s="171">
        <v>1</v>
      </c>
      <c r="F73" s="108">
        <f>(COUNTIF(SEMANA2[1],E73)*3)</f>
        <v>0</v>
      </c>
      <c r="G73" s="172">
        <f>(COUNTIF(SEMANA2[2],E73)*2)</f>
        <v>0</v>
      </c>
      <c r="H73" s="172">
        <f>COUNTIF(SEMANA2[22],E73)</f>
        <v>0</v>
      </c>
      <c r="I73" s="426">
        <f t="shared" si="35"/>
        <v>0</v>
      </c>
      <c r="J73" s="173">
        <v>9</v>
      </c>
      <c r="K73" s="172">
        <f>(COUNTIF(SEMANA2[12],J73)*3)</f>
        <v>0</v>
      </c>
      <c r="L73" s="172">
        <f>(COUNTIF(SEMANA2[Columna2],J73)*2)</f>
        <v>0</v>
      </c>
      <c r="M73" s="172">
        <f>COUNTIF(SEMANA2[Columna23],J73)</f>
        <v>1</v>
      </c>
      <c r="N73" s="426">
        <f t="shared" si="36"/>
        <v>1</v>
      </c>
      <c r="O73" s="173">
        <v>10</v>
      </c>
      <c r="P73" s="172">
        <f>(COUNTIF(SEMANA2[Columna4],O73)*3)</f>
        <v>0</v>
      </c>
      <c r="Q73" s="172">
        <f>(COUNTIF(SEMANA2[Columna5],O73)*2)</f>
        <v>0</v>
      </c>
      <c r="R73" s="172">
        <f>COUNTIF(SEMANA2[Columna53],O73)</f>
        <v>1</v>
      </c>
      <c r="S73" s="426">
        <f t="shared" si="37"/>
        <v>1</v>
      </c>
      <c r="T73" s="173">
        <v>8</v>
      </c>
      <c r="U73" s="172">
        <f>(COUNTIF(SEMANA2[Columna7],T73)*3)</f>
        <v>0</v>
      </c>
      <c r="V73" s="172">
        <f>(COUNTIF(SEMANA2[Columna8],T73)*2)</f>
        <v>0</v>
      </c>
      <c r="W73" s="172">
        <f>COUNTIF(SEMANA2[Columna83],T73)</f>
        <v>0</v>
      </c>
      <c r="X73" s="426">
        <f t="shared" si="38"/>
        <v>0</v>
      </c>
      <c r="Y73" s="173">
        <v>10</v>
      </c>
      <c r="Z73" s="172">
        <f>(COUNTIF(SEMANA2[Columna10],Y73)*3)</f>
        <v>0</v>
      </c>
      <c r="AA73" s="172">
        <f>(COUNTIF(SEMANA2[Columna11],Y73)*2)</f>
        <v>0</v>
      </c>
      <c r="AB73" s="172">
        <f>COUNTIF(SEMANA2[Columna113],Y73)</f>
        <v>0</v>
      </c>
      <c r="AC73" s="426">
        <f t="shared" si="39"/>
        <v>0</v>
      </c>
      <c r="AD73" s="173">
        <v>8</v>
      </c>
      <c r="AE73" s="172">
        <f>(COUNTIF(SEMANA2[1RA],AD73)*3)</f>
        <v>0</v>
      </c>
      <c r="AF73" s="172">
        <f>(COUNTIF(SEMANA2[2DA],AD73)*2)</f>
        <v>2</v>
      </c>
      <c r="AG73" s="172">
        <f>COUNTIF(SEMANA2[2DA2],AD73)</f>
        <v>0</v>
      </c>
      <c r="AH73" s="426">
        <f t="shared" si="40"/>
        <v>2</v>
      </c>
      <c r="AI73" s="173">
        <v>4</v>
      </c>
      <c r="AJ73" s="172">
        <f>(COUNTIF(SEMANA2[Columna16],AI73)*3)</f>
        <v>0</v>
      </c>
      <c r="AK73" s="172">
        <f>(COUNTIF(SEMANA2[Columna17],AI73)*2)</f>
        <v>0</v>
      </c>
      <c r="AL73" s="172">
        <f>COUNTIF(SEMANA2[Columna173],AI73)</f>
        <v>1</v>
      </c>
      <c r="AM73" s="426">
        <f t="shared" si="41"/>
        <v>1</v>
      </c>
      <c r="AN73" s="173">
        <v>9</v>
      </c>
      <c r="AO73" s="172">
        <f>(COUNTIF(SEMANA2[123],AN73)*3)</f>
        <v>0</v>
      </c>
      <c r="AP73" s="172">
        <f>(COUNTIF(SEMANA2[555],AN73)*2)</f>
        <v>0</v>
      </c>
      <c r="AQ73" s="172">
        <f>COUNTIF(SEMANA2[556],AN73)</f>
        <v>0</v>
      </c>
      <c r="AR73" s="426">
        <f t="shared" si="42"/>
        <v>0</v>
      </c>
      <c r="AS73" s="173">
        <v>8</v>
      </c>
      <c r="AT73" s="172">
        <f>(COUNTIF(SEMANA2[AAAA],AS73)*3)</f>
        <v>0</v>
      </c>
      <c r="AU73" s="172">
        <f>(COUNTIF(SEMANA2[BBBB],AS73)*2)</f>
        <v>6</v>
      </c>
      <c r="AV73" s="172">
        <f>COUNTIF(SEMANA2[Columna13],AS73)</f>
        <v>2</v>
      </c>
      <c r="AW73" s="426">
        <f t="shared" si="43"/>
        <v>8</v>
      </c>
      <c r="AX73" s="173">
        <v>9</v>
      </c>
      <c r="AY73" s="172">
        <f>(COUNTIF(SEMANA2[Columna25],AX73)*3)</f>
        <v>0</v>
      </c>
      <c r="AZ73" s="172">
        <f>(COUNTIF(SEMANA2[Columna26],AX73)*2)</f>
        <v>2</v>
      </c>
      <c r="BA73" s="172">
        <f>COUNTIF(SEMANA2[Columna263],AX73)</f>
        <v>2</v>
      </c>
      <c r="BB73" s="426">
        <f t="shared" si="44"/>
        <v>4</v>
      </c>
      <c r="BC73" s="173">
        <v>8</v>
      </c>
      <c r="BD73" s="172">
        <f>(COUNTIF(SEMANA2[Columna272],BC73)*3)</f>
        <v>0</v>
      </c>
      <c r="BE73" s="172">
        <f>(COUNTIF(SEMANA2[Columna273],BC73)*2)</f>
        <v>0</v>
      </c>
      <c r="BF73" s="172">
        <f>COUNTIF(SEMANA2[Columna2732],BC73)</f>
        <v>0</v>
      </c>
      <c r="BG73" s="426">
        <f t="shared" si="45"/>
        <v>0</v>
      </c>
      <c r="BH73" s="173">
        <v>9</v>
      </c>
      <c r="BI73" s="172">
        <f>(COUNTIF(SEMANA2[Columna276],BH73)*3)</f>
        <v>0</v>
      </c>
      <c r="BJ73" s="172">
        <f>(COUNTIF(SEMANA2[Columna277],BH73)*2)</f>
        <v>4</v>
      </c>
      <c r="BK73" s="172">
        <f>COUNTIF(SEMANA2[Columna2772],BH73)</f>
        <v>0</v>
      </c>
      <c r="BL73" s="426">
        <f t="shared" si="46"/>
        <v>4</v>
      </c>
      <c r="BM73" s="173">
        <v>6</v>
      </c>
      <c r="BN73" s="172">
        <f>(COUNTIF(SEMANA2[Columna280],BM73)*3)</f>
        <v>0</v>
      </c>
      <c r="BO73" s="172">
        <f>(COUNTIF(SEMANA2[Columna281],BM73)*2)</f>
        <v>0</v>
      </c>
      <c r="BP73" s="172">
        <f>COUNTIF(SEMANA2[Columna2812],BM73)</f>
        <v>1</v>
      </c>
      <c r="BQ73" s="109">
        <f t="shared" si="47"/>
        <v>1</v>
      </c>
      <c r="BR73" s="171">
        <v>3</v>
      </c>
      <c r="BS73" s="108">
        <f>(COUNTIF(SEMANA2[Columna2802],BR73)*3)</f>
        <v>0</v>
      </c>
      <c r="BT73" s="172">
        <f>(COUNTIF(SEMANA2[Columna2813],BR73)*2)</f>
        <v>0</v>
      </c>
      <c r="BU73" s="423">
        <f>COUNTIF(SEMANA2[Columna28124],BR73)</f>
        <v>1</v>
      </c>
      <c r="BV73" s="109">
        <f t="shared" si="48"/>
        <v>1</v>
      </c>
      <c r="BW73" s="173">
        <v>13</v>
      </c>
      <c r="BX73" s="108">
        <f>(COUNTIF(SEMANA2[Columna2803],BW73)*3)</f>
        <v>0</v>
      </c>
      <c r="BY73" s="172">
        <f>(COUNTIF(SEMANA2[Columna2814],BW73)*2)</f>
        <v>0</v>
      </c>
      <c r="BZ73" s="423">
        <f>COUNTIF(SEMANA2[Columna28125],BW73)</f>
        <v>0</v>
      </c>
      <c r="CA73" s="109">
        <f t="shared" si="49"/>
        <v>0</v>
      </c>
      <c r="CB73" s="173">
        <v>13</v>
      </c>
      <c r="CC73" s="108">
        <f>(COUNTIF(SEMANA2[Columna2804],CB73)*3)</f>
        <v>0</v>
      </c>
      <c r="CD73" s="172">
        <f>(COUNTIF(SEMANA2[Columna2815],CB73)*2)</f>
        <v>0</v>
      </c>
      <c r="CE73" s="423">
        <f>COUNTIF(SEMANA2[Columna28126],CB73)</f>
        <v>0</v>
      </c>
      <c r="CF73" s="109">
        <f t="shared" si="50"/>
        <v>0</v>
      </c>
      <c r="CG73" s="103"/>
      <c r="CH73" s="103"/>
      <c r="DP73" s="388"/>
      <c r="DQ73" s="388"/>
      <c r="DR73" s="388"/>
      <c r="EH73" s="388"/>
      <c r="EI73" s="388"/>
      <c r="EJ73" s="388"/>
    </row>
    <row r="74" spans="2:140" ht="27.95" customHeight="1" x14ac:dyDescent="0.4">
      <c r="B74" s="102"/>
      <c r="C74" s="103"/>
      <c r="D74" s="103"/>
      <c r="E74" s="171">
        <v>7</v>
      </c>
      <c r="F74" s="108">
        <f>(COUNTIF(SEMANA2[1],E74)*3)</f>
        <v>0</v>
      </c>
      <c r="G74" s="172">
        <f>(COUNTIF(SEMANA2[2],E74)*2)</f>
        <v>0</v>
      </c>
      <c r="H74" s="172">
        <f>COUNTIF(SEMANA2[22],E74)</f>
        <v>0</v>
      </c>
      <c r="I74" s="426">
        <f t="shared" si="35"/>
        <v>0</v>
      </c>
      <c r="J74" s="173">
        <v>8</v>
      </c>
      <c r="K74" s="172">
        <f>(COUNTIF(SEMANA2[12],J74)*3)</f>
        <v>0</v>
      </c>
      <c r="L74" s="172">
        <f>(COUNTIF(SEMANA2[Columna2],J74)*2)</f>
        <v>0</v>
      </c>
      <c r="M74" s="172">
        <f>COUNTIF(SEMANA2[Columna23],J74)</f>
        <v>0</v>
      </c>
      <c r="N74" s="426">
        <f t="shared" si="36"/>
        <v>0</v>
      </c>
      <c r="O74" s="173">
        <v>6</v>
      </c>
      <c r="P74" s="172">
        <f>(COUNTIF(SEMANA2[Columna4],O74)*3)</f>
        <v>0</v>
      </c>
      <c r="Q74" s="172">
        <f>(COUNTIF(SEMANA2[Columna5],O74)*2)</f>
        <v>0</v>
      </c>
      <c r="R74" s="172">
        <f>COUNTIF(SEMANA2[Columna53],O74)</f>
        <v>0</v>
      </c>
      <c r="S74" s="426">
        <f t="shared" si="37"/>
        <v>0</v>
      </c>
      <c r="T74" s="173">
        <v>9</v>
      </c>
      <c r="U74" s="172">
        <f>(COUNTIF(SEMANA2[Columna7],T74)*3)</f>
        <v>0</v>
      </c>
      <c r="V74" s="172">
        <f>(COUNTIF(SEMANA2[Columna8],T74)*2)</f>
        <v>0</v>
      </c>
      <c r="W74" s="172">
        <f>COUNTIF(SEMANA2[Columna83],T74)</f>
        <v>0</v>
      </c>
      <c r="X74" s="426">
        <f t="shared" si="38"/>
        <v>0</v>
      </c>
      <c r="Y74" s="173">
        <v>8</v>
      </c>
      <c r="Z74" s="172">
        <f>(COUNTIF(SEMANA2[Columna10],Y74)*3)</f>
        <v>0</v>
      </c>
      <c r="AA74" s="172">
        <f>(COUNTIF(SEMANA2[Columna11],Y74)*2)</f>
        <v>0</v>
      </c>
      <c r="AB74" s="172">
        <f>COUNTIF(SEMANA2[Columna113],Y74)</f>
        <v>0</v>
      </c>
      <c r="AC74" s="426">
        <f t="shared" si="39"/>
        <v>0</v>
      </c>
      <c r="AD74" s="173">
        <v>9</v>
      </c>
      <c r="AE74" s="172">
        <f>(COUNTIF(SEMANA2[1RA],AD74)*3)</f>
        <v>0</v>
      </c>
      <c r="AF74" s="172">
        <f>(COUNTIF(SEMANA2[2DA],AD74)*2)</f>
        <v>0</v>
      </c>
      <c r="AG74" s="172">
        <f>COUNTIF(SEMANA2[2DA2],AD74)</f>
        <v>0</v>
      </c>
      <c r="AH74" s="426">
        <f t="shared" si="40"/>
        <v>0</v>
      </c>
      <c r="AI74" s="173">
        <v>10</v>
      </c>
      <c r="AJ74" s="172">
        <f>(COUNTIF(SEMANA2[Columna16],AI74)*3)</f>
        <v>0</v>
      </c>
      <c r="AK74" s="172">
        <f>(COUNTIF(SEMANA2[Columna17],AI74)*2)</f>
        <v>0</v>
      </c>
      <c r="AL74" s="172">
        <f>COUNTIF(SEMANA2[Columna173],AI74)</f>
        <v>1</v>
      </c>
      <c r="AM74" s="426">
        <f t="shared" si="41"/>
        <v>1</v>
      </c>
      <c r="AN74" s="173">
        <v>11</v>
      </c>
      <c r="AO74" s="172">
        <f>(COUNTIF(SEMANA2[123],AN74)*3)</f>
        <v>0</v>
      </c>
      <c r="AP74" s="172">
        <f>(COUNTIF(SEMANA2[555],AN74)*2)</f>
        <v>0</v>
      </c>
      <c r="AQ74" s="172">
        <f>COUNTIF(SEMANA2[556],AN74)</f>
        <v>0</v>
      </c>
      <c r="AR74" s="426">
        <f t="shared" si="42"/>
        <v>0</v>
      </c>
      <c r="AS74" s="173">
        <v>7</v>
      </c>
      <c r="AT74" s="172">
        <f>(COUNTIF(SEMANA2[AAAA],AS74)*3)</f>
        <v>3</v>
      </c>
      <c r="AU74" s="172">
        <f>(COUNTIF(SEMANA2[BBBB],AS74)*2)</f>
        <v>0</v>
      </c>
      <c r="AV74" s="172">
        <f>COUNTIF(SEMANA2[Columna13],AS74)</f>
        <v>0</v>
      </c>
      <c r="AW74" s="426">
        <f t="shared" si="43"/>
        <v>3</v>
      </c>
      <c r="AX74" s="173">
        <v>3</v>
      </c>
      <c r="AY74" s="172">
        <f>(COUNTIF(SEMANA2[Columna25],AX74)*3)</f>
        <v>0</v>
      </c>
      <c r="AZ74" s="172">
        <f>(COUNTIF(SEMANA2[Columna26],AX74)*2)</f>
        <v>4</v>
      </c>
      <c r="BA74" s="172">
        <f>COUNTIF(SEMANA2[Columna263],AX74)</f>
        <v>0</v>
      </c>
      <c r="BB74" s="426">
        <f t="shared" si="44"/>
        <v>4</v>
      </c>
      <c r="BC74" s="173">
        <v>11</v>
      </c>
      <c r="BD74" s="172">
        <f>(COUNTIF(SEMANA2[Columna272],BC74)*3)</f>
        <v>0</v>
      </c>
      <c r="BE74" s="172">
        <f>(COUNTIF(SEMANA2[Columna273],BC74)*2)</f>
        <v>0</v>
      </c>
      <c r="BF74" s="172">
        <f>COUNTIF(SEMANA2[Columna2732],BC74)</f>
        <v>0</v>
      </c>
      <c r="BG74" s="426">
        <f t="shared" si="45"/>
        <v>0</v>
      </c>
      <c r="BH74" s="173">
        <v>3</v>
      </c>
      <c r="BI74" s="172">
        <f>(COUNTIF(SEMANA2[Columna276],BH74)*3)</f>
        <v>0</v>
      </c>
      <c r="BJ74" s="172">
        <f>(COUNTIF(SEMANA2[Columna277],BH74)*2)</f>
        <v>0</v>
      </c>
      <c r="BK74" s="172">
        <f>COUNTIF(SEMANA2[Columna2772],BH74)</f>
        <v>1</v>
      </c>
      <c r="BL74" s="426">
        <f t="shared" si="46"/>
        <v>1</v>
      </c>
      <c r="BM74" s="173">
        <v>12</v>
      </c>
      <c r="BN74" s="172">
        <f>(COUNTIF(SEMANA2[Columna280],BM74)*3)</f>
        <v>0</v>
      </c>
      <c r="BO74" s="172">
        <f>(COUNTIF(SEMANA2[Columna281],BM74)*2)</f>
        <v>0</v>
      </c>
      <c r="BP74" s="172">
        <f>COUNTIF(SEMANA2[Columna2812],BM74)</f>
        <v>0</v>
      </c>
      <c r="BQ74" s="109">
        <f t="shared" si="47"/>
        <v>0</v>
      </c>
      <c r="BR74" s="171">
        <v>12</v>
      </c>
      <c r="BS74" s="108">
        <f>(COUNTIF(SEMANA2[Columna2802],BR74)*3)</f>
        <v>0</v>
      </c>
      <c r="BT74" s="172">
        <f>(COUNTIF(SEMANA2[Columna2813],BR74)*2)</f>
        <v>0</v>
      </c>
      <c r="BU74" s="423">
        <f>COUNTIF(SEMANA2[Columna28124],BR74)</f>
        <v>0</v>
      </c>
      <c r="BV74" s="109">
        <f t="shared" si="48"/>
        <v>0</v>
      </c>
      <c r="BW74" s="173">
        <v>4</v>
      </c>
      <c r="BX74" s="108">
        <f>(COUNTIF(SEMANA2[Columna2803],BW74)*3)</f>
        <v>0</v>
      </c>
      <c r="BY74" s="172">
        <f>(COUNTIF(SEMANA2[Columna2814],BW74)*2)</f>
        <v>0</v>
      </c>
      <c r="BZ74" s="423">
        <f>COUNTIF(SEMANA2[Columna28125],BW74)</f>
        <v>0</v>
      </c>
      <c r="CA74" s="109">
        <f t="shared" si="49"/>
        <v>0</v>
      </c>
      <c r="CB74" s="173">
        <v>4</v>
      </c>
      <c r="CC74" s="108">
        <f>(COUNTIF(SEMANA2[Columna2804],CB74)*3)</f>
        <v>0</v>
      </c>
      <c r="CD74" s="172">
        <f>(COUNTIF(SEMANA2[Columna2815],CB74)*2)</f>
        <v>0</v>
      </c>
      <c r="CE74" s="423">
        <f>COUNTIF(SEMANA2[Columna28126],CB74)</f>
        <v>0</v>
      </c>
      <c r="CF74" s="109">
        <f t="shared" si="50"/>
        <v>0</v>
      </c>
      <c r="CG74" s="103"/>
      <c r="CH74" s="103"/>
      <c r="CY74" s="110"/>
      <c r="DB74" s="110"/>
      <c r="DC74" s="110"/>
      <c r="DD74" s="110"/>
      <c r="DE74" s="110"/>
      <c r="DF74" s="110"/>
      <c r="DG74" s="110"/>
      <c r="DH74" s="110"/>
      <c r="DI74" s="110"/>
      <c r="DJ74" s="110"/>
      <c r="DK74" s="110"/>
      <c r="DL74" s="110"/>
      <c r="DM74" s="110"/>
      <c r="DN74" s="110"/>
      <c r="DO74" s="110"/>
      <c r="DP74" s="391"/>
      <c r="DQ74" s="391"/>
      <c r="DR74" s="391"/>
      <c r="EH74" s="388"/>
      <c r="EI74" s="388"/>
      <c r="EJ74" s="388"/>
    </row>
    <row r="75" spans="2:140" s="110" customFormat="1" ht="27.95" customHeight="1" x14ac:dyDescent="0.4">
      <c r="B75" s="102"/>
      <c r="C75" s="103"/>
      <c r="D75" s="103"/>
      <c r="E75" s="171">
        <v>10</v>
      </c>
      <c r="F75" s="108">
        <f>(COUNTIF(SEMANA2[1],E75)*3)</f>
        <v>0</v>
      </c>
      <c r="G75" s="172">
        <f>(COUNTIF(SEMANA2[2],E75)*2)</f>
        <v>0</v>
      </c>
      <c r="H75" s="172">
        <f>COUNTIF(SEMANA2[22],E75)</f>
        <v>0</v>
      </c>
      <c r="I75" s="426">
        <f t="shared" si="35"/>
        <v>0</v>
      </c>
      <c r="J75" s="173">
        <v>3</v>
      </c>
      <c r="K75" s="172">
        <f>(COUNTIF(SEMANA2[12],J75)*3)</f>
        <v>0</v>
      </c>
      <c r="L75" s="172">
        <f>(COUNTIF(SEMANA2[Columna2],J75)*2)</f>
        <v>0</v>
      </c>
      <c r="M75" s="172">
        <f>COUNTIF(SEMANA2[Columna23],J75)</f>
        <v>0</v>
      </c>
      <c r="N75" s="426">
        <f t="shared" si="36"/>
        <v>0</v>
      </c>
      <c r="O75" s="173">
        <v>2</v>
      </c>
      <c r="P75" s="172">
        <f>(COUNTIF(SEMANA2[Columna4],O75)*3)</f>
        <v>0</v>
      </c>
      <c r="Q75" s="172">
        <f>(COUNTIF(SEMANA2[Columna5],O75)*2)</f>
        <v>0</v>
      </c>
      <c r="R75" s="172">
        <f>COUNTIF(SEMANA2[Columna53],O75)</f>
        <v>0</v>
      </c>
      <c r="S75" s="426">
        <f t="shared" si="37"/>
        <v>0</v>
      </c>
      <c r="T75" s="173">
        <v>10</v>
      </c>
      <c r="U75" s="172">
        <f>(COUNTIF(SEMANA2[Columna7],T75)*3)</f>
        <v>0</v>
      </c>
      <c r="V75" s="172">
        <f>(COUNTIF(SEMANA2[Columna8],T75)*2)</f>
        <v>0</v>
      </c>
      <c r="W75" s="172">
        <f>COUNTIF(SEMANA2[Columna83],T75)</f>
        <v>0</v>
      </c>
      <c r="X75" s="426">
        <f t="shared" si="38"/>
        <v>0</v>
      </c>
      <c r="Y75" s="173">
        <v>9</v>
      </c>
      <c r="Z75" s="172">
        <f>(COUNTIF(SEMANA2[Columna10],Y75)*3)</f>
        <v>0</v>
      </c>
      <c r="AA75" s="172">
        <f>(COUNTIF(SEMANA2[Columna11],Y75)*2)</f>
        <v>0</v>
      </c>
      <c r="AB75" s="172">
        <f>COUNTIF(SEMANA2[Columna113],Y75)</f>
        <v>0</v>
      </c>
      <c r="AC75" s="426">
        <f t="shared" si="39"/>
        <v>0</v>
      </c>
      <c r="AD75" s="173">
        <v>1</v>
      </c>
      <c r="AE75" s="172">
        <f>(COUNTIF(SEMANA2[1RA],AD75)*3)</f>
        <v>0</v>
      </c>
      <c r="AF75" s="172">
        <f>(COUNTIF(SEMANA2[2DA],AD75)*2)</f>
        <v>0</v>
      </c>
      <c r="AG75" s="172">
        <f>COUNTIF(SEMANA2[2DA2],AD75)</f>
        <v>0</v>
      </c>
      <c r="AH75" s="426">
        <f t="shared" si="40"/>
        <v>0</v>
      </c>
      <c r="AI75" s="173">
        <v>5</v>
      </c>
      <c r="AJ75" s="172">
        <f>(COUNTIF(SEMANA2[Columna16],AI75)*3)</f>
        <v>0</v>
      </c>
      <c r="AK75" s="172">
        <f>(COUNTIF(SEMANA2[Columna17],AI75)*2)</f>
        <v>0</v>
      </c>
      <c r="AL75" s="172">
        <f>COUNTIF(SEMANA2[Columna173],AI75)</f>
        <v>0</v>
      </c>
      <c r="AM75" s="426">
        <f t="shared" si="41"/>
        <v>0</v>
      </c>
      <c r="AN75" s="173">
        <v>5</v>
      </c>
      <c r="AO75" s="172">
        <f>(COUNTIF(SEMANA2[123],AN75)*3)</f>
        <v>0</v>
      </c>
      <c r="AP75" s="172">
        <f>(COUNTIF(SEMANA2[555],AN75)*2)</f>
        <v>0</v>
      </c>
      <c r="AQ75" s="172">
        <f>COUNTIF(SEMANA2[556],AN75)</f>
        <v>0</v>
      </c>
      <c r="AR75" s="426">
        <f t="shared" si="42"/>
        <v>0</v>
      </c>
      <c r="AS75" s="173">
        <v>3</v>
      </c>
      <c r="AT75" s="172">
        <f>(COUNTIF(SEMANA2[AAAA],AS75)*3)</f>
        <v>0</v>
      </c>
      <c r="AU75" s="172">
        <f>(COUNTIF(SEMANA2[BBBB],AS75)*2)</f>
        <v>0</v>
      </c>
      <c r="AV75" s="172">
        <f>COUNTIF(SEMANA2[Columna13],AS75)</f>
        <v>0</v>
      </c>
      <c r="AW75" s="426">
        <f t="shared" si="43"/>
        <v>0</v>
      </c>
      <c r="AX75" s="173">
        <v>11</v>
      </c>
      <c r="AY75" s="172">
        <f>(COUNTIF(SEMANA2[Columna25],AX75)*3)</f>
        <v>0</v>
      </c>
      <c r="AZ75" s="172">
        <f>(COUNTIF(SEMANA2[Columna26],AX75)*2)</f>
        <v>0</v>
      </c>
      <c r="BA75" s="172">
        <f>COUNTIF(SEMANA2[Columna263],AX75)</f>
        <v>2</v>
      </c>
      <c r="BB75" s="426">
        <f t="shared" si="44"/>
        <v>2</v>
      </c>
      <c r="BC75" s="173">
        <v>12</v>
      </c>
      <c r="BD75" s="172">
        <f>(COUNTIF(SEMANA2[Columna272],BC75)*3)</f>
        <v>0</v>
      </c>
      <c r="BE75" s="172">
        <f>(COUNTIF(SEMANA2[Columna273],BC75)*2)</f>
        <v>0</v>
      </c>
      <c r="BF75" s="172">
        <f>COUNTIF(SEMANA2[Columna2732],BC75)</f>
        <v>0</v>
      </c>
      <c r="BG75" s="426">
        <f t="shared" si="45"/>
        <v>0</v>
      </c>
      <c r="BH75" s="173">
        <v>10</v>
      </c>
      <c r="BI75" s="172">
        <f>(COUNTIF(SEMANA2[Columna276],BH75)*3)</f>
        <v>0</v>
      </c>
      <c r="BJ75" s="172">
        <f>(COUNTIF(SEMANA2[Columna277],BH75)*2)</f>
        <v>0</v>
      </c>
      <c r="BK75" s="172">
        <f>COUNTIF(SEMANA2[Columna2772],BH75)</f>
        <v>0</v>
      </c>
      <c r="BL75" s="426">
        <f t="shared" si="46"/>
        <v>0</v>
      </c>
      <c r="BM75" s="173">
        <v>10</v>
      </c>
      <c r="BN75" s="172">
        <f>(COUNTIF(SEMANA2[Columna280],BM75)*3)</f>
        <v>0</v>
      </c>
      <c r="BO75" s="172">
        <f>(COUNTIF(SEMANA2[Columna281],BM75)*2)</f>
        <v>0</v>
      </c>
      <c r="BP75" s="172">
        <f>COUNTIF(SEMANA2[Columna2812],BM75)</f>
        <v>0</v>
      </c>
      <c r="BQ75" s="109">
        <f t="shared" si="47"/>
        <v>0</v>
      </c>
      <c r="BR75" s="171">
        <v>13</v>
      </c>
      <c r="BS75" s="108">
        <f>(COUNTIF(SEMANA2[Columna2802],BR75)*3)</f>
        <v>0</v>
      </c>
      <c r="BT75" s="172">
        <f>(COUNTIF(SEMANA2[Columna2813],BR75)*2)</f>
        <v>0</v>
      </c>
      <c r="BU75" s="423">
        <f>COUNTIF(SEMANA2[Columna28124],BR75)</f>
        <v>0</v>
      </c>
      <c r="BV75" s="109">
        <f t="shared" si="48"/>
        <v>0</v>
      </c>
      <c r="BW75" s="173">
        <v>8</v>
      </c>
      <c r="BX75" s="108">
        <f>(COUNTIF(SEMANA2[Columna2803],BW75)*3)</f>
        <v>0</v>
      </c>
      <c r="BY75" s="172">
        <f>(COUNTIF(SEMANA2[Columna2814],BW75)*2)</f>
        <v>0</v>
      </c>
      <c r="BZ75" s="423">
        <f>COUNTIF(SEMANA2[Columna28125],BW75)</f>
        <v>0</v>
      </c>
      <c r="CA75" s="109">
        <f t="shared" si="49"/>
        <v>0</v>
      </c>
      <c r="CB75" s="173">
        <v>8</v>
      </c>
      <c r="CC75" s="108">
        <f>(COUNTIF(SEMANA2[Columna2804],CB75)*3)</f>
        <v>0</v>
      </c>
      <c r="CD75" s="172">
        <f>(COUNTIF(SEMANA2[Columna2815],CB75)*2)</f>
        <v>0</v>
      </c>
      <c r="CE75" s="423">
        <f>COUNTIF(SEMANA2[Columna28126],CB75)</f>
        <v>0</v>
      </c>
      <c r="CF75" s="109">
        <f t="shared" si="50"/>
        <v>0</v>
      </c>
      <c r="CG75" s="103"/>
      <c r="CH75" s="103"/>
      <c r="DP75" s="391"/>
      <c r="DQ75" s="391"/>
      <c r="DR75" s="391"/>
      <c r="EH75" s="391"/>
      <c r="EI75" s="391"/>
      <c r="EJ75" s="391"/>
    </row>
    <row r="76" spans="2:140" s="110" customFormat="1" ht="27.95" customHeight="1" x14ac:dyDescent="0.4">
      <c r="B76" s="102"/>
      <c r="C76" s="103"/>
      <c r="D76" s="103"/>
      <c r="E76" s="171">
        <v>11</v>
      </c>
      <c r="F76" s="108">
        <f>(COUNTIF(SEMANA2[1],E76)*3)</f>
        <v>0</v>
      </c>
      <c r="G76" s="172">
        <f>(COUNTIF(SEMANA2[2],E76)*2)</f>
        <v>0</v>
      </c>
      <c r="H76" s="172">
        <f>COUNTIF(SEMANA2[22],E76)</f>
        <v>0</v>
      </c>
      <c r="I76" s="426">
        <f t="shared" si="35"/>
        <v>0</v>
      </c>
      <c r="J76" s="173">
        <v>11</v>
      </c>
      <c r="K76" s="172">
        <f>(COUNTIF(SEMANA2[12],J76)*3)</f>
        <v>0</v>
      </c>
      <c r="L76" s="172">
        <f>(COUNTIF(SEMANA2[Columna2],J76)*2)</f>
        <v>0</v>
      </c>
      <c r="M76" s="172">
        <f>COUNTIF(SEMANA2[Columna23],J76)</f>
        <v>0</v>
      </c>
      <c r="N76" s="426">
        <f t="shared" si="36"/>
        <v>0</v>
      </c>
      <c r="O76" s="173">
        <v>11</v>
      </c>
      <c r="P76" s="172">
        <f>(COUNTIF(SEMANA2[Columna4],O76)*3)</f>
        <v>0</v>
      </c>
      <c r="Q76" s="172">
        <f>(COUNTIF(SEMANA2[Columna5],O76)*2)</f>
        <v>0</v>
      </c>
      <c r="R76" s="172">
        <f>COUNTIF(SEMANA2[Columna53],O76)</f>
        <v>0</v>
      </c>
      <c r="S76" s="426">
        <f t="shared" si="37"/>
        <v>0</v>
      </c>
      <c r="T76" s="173">
        <v>11</v>
      </c>
      <c r="U76" s="172">
        <f>(COUNTIF(SEMANA2[Columna7],T76)*3)</f>
        <v>0</v>
      </c>
      <c r="V76" s="172">
        <f>(COUNTIF(SEMANA2[Columna8],T76)*2)</f>
        <v>0</v>
      </c>
      <c r="W76" s="172">
        <f>COUNTIF(SEMANA2[Columna83],T76)</f>
        <v>0</v>
      </c>
      <c r="X76" s="426">
        <f t="shared" si="38"/>
        <v>0</v>
      </c>
      <c r="Y76" s="173">
        <v>11</v>
      </c>
      <c r="Z76" s="172">
        <f>(COUNTIF(SEMANA2[Columna10],Y76)*3)</f>
        <v>0</v>
      </c>
      <c r="AA76" s="172">
        <f>(COUNTIF(SEMANA2[Columna11],Y76)*2)</f>
        <v>0</v>
      </c>
      <c r="AB76" s="172">
        <f>COUNTIF(SEMANA2[Columna113],Y76)</f>
        <v>0</v>
      </c>
      <c r="AC76" s="426">
        <f t="shared" si="39"/>
        <v>0</v>
      </c>
      <c r="AD76" s="173">
        <v>11</v>
      </c>
      <c r="AE76" s="172">
        <f>(COUNTIF(SEMANA2[1RA],AD76)*3)</f>
        <v>0</v>
      </c>
      <c r="AF76" s="172">
        <f>(COUNTIF(SEMANA2[2DA],AD76)*2)</f>
        <v>0</v>
      </c>
      <c r="AG76" s="172">
        <f>COUNTIF(SEMANA2[2DA2],AD76)</f>
        <v>0</v>
      </c>
      <c r="AH76" s="426">
        <f t="shared" si="40"/>
        <v>0</v>
      </c>
      <c r="AI76" s="173">
        <v>11</v>
      </c>
      <c r="AJ76" s="172">
        <f>(COUNTIF(SEMANA2[Columna16],AI76)*3)</f>
        <v>0</v>
      </c>
      <c r="AK76" s="172">
        <f>(COUNTIF(SEMANA2[Columna17],AI76)*2)</f>
        <v>0</v>
      </c>
      <c r="AL76" s="172">
        <f>COUNTIF(SEMANA2[Columna173],AI76)</f>
        <v>0</v>
      </c>
      <c r="AM76" s="426">
        <f t="shared" si="41"/>
        <v>0</v>
      </c>
      <c r="AN76" s="173">
        <v>12</v>
      </c>
      <c r="AO76" s="172">
        <f>(COUNTIF(SEMANA2[123],AN76)*3)</f>
        <v>0</v>
      </c>
      <c r="AP76" s="172">
        <f>(COUNTIF(SEMANA2[555],AN76)*2)</f>
        <v>0</v>
      </c>
      <c r="AQ76" s="172">
        <f>COUNTIF(SEMANA2[556],AN76)</f>
        <v>0</v>
      </c>
      <c r="AR76" s="426">
        <f t="shared" si="42"/>
        <v>0</v>
      </c>
      <c r="AS76" s="173">
        <v>4</v>
      </c>
      <c r="AT76" s="172">
        <f>(COUNTIF(SEMANA2[AAAA],AS76)*3)</f>
        <v>0</v>
      </c>
      <c r="AU76" s="172">
        <f>(COUNTIF(SEMANA2[BBBB],AS76)*2)</f>
        <v>0</v>
      </c>
      <c r="AV76" s="172">
        <f>COUNTIF(SEMANA2[Columna13],AS76)</f>
        <v>0</v>
      </c>
      <c r="AW76" s="426">
        <f t="shared" si="43"/>
        <v>0</v>
      </c>
      <c r="AX76" s="173">
        <v>8</v>
      </c>
      <c r="AY76" s="172">
        <f>(COUNTIF(SEMANA2[Columna25],AX76)*3)</f>
        <v>0</v>
      </c>
      <c r="AZ76" s="172">
        <f>(COUNTIF(SEMANA2[Columna26],AX76)*2)</f>
        <v>0</v>
      </c>
      <c r="BA76" s="172">
        <f>COUNTIF(SEMANA2[Columna263],AX76)</f>
        <v>0</v>
      </c>
      <c r="BB76" s="426">
        <f t="shared" si="44"/>
        <v>0</v>
      </c>
      <c r="BC76" s="173">
        <v>9</v>
      </c>
      <c r="BD76" s="172">
        <f>(COUNTIF(SEMANA2[Columna272],BC76)*3)</f>
        <v>0</v>
      </c>
      <c r="BE76" s="172">
        <f>(COUNTIF(SEMANA2[Columna273],BC76)*2)</f>
        <v>0</v>
      </c>
      <c r="BF76" s="172">
        <f>COUNTIF(SEMANA2[Columna2732],BC76)</f>
        <v>0</v>
      </c>
      <c r="BG76" s="426">
        <f t="shared" si="45"/>
        <v>0</v>
      </c>
      <c r="BH76" s="173">
        <v>11</v>
      </c>
      <c r="BI76" s="172">
        <f>(COUNTIF(SEMANA2[Columna276],BH76)*3)</f>
        <v>0</v>
      </c>
      <c r="BJ76" s="172">
        <f>(COUNTIF(SEMANA2[Columna277],BH76)*2)</f>
        <v>0</v>
      </c>
      <c r="BK76" s="172">
        <f>COUNTIF(SEMANA2[Columna2772],BH76)</f>
        <v>0</v>
      </c>
      <c r="BL76" s="426">
        <f t="shared" si="46"/>
        <v>0</v>
      </c>
      <c r="BM76" s="173">
        <v>13</v>
      </c>
      <c r="BN76" s="172">
        <f>(COUNTIF(SEMANA2[Columna280],BM76)*3)</f>
        <v>0</v>
      </c>
      <c r="BO76" s="172">
        <f>(COUNTIF(SEMANA2[Columna281],BM76)*2)</f>
        <v>0</v>
      </c>
      <c r="BP76" s="172">
        <f>COUNTIF(SEMANA2[Columna2812],BM76)</f>
        <v>0</v>
      </c>
      <c r="BQ76" s="109">
        <f t="shared" si="47"/>
        <v>0</v>
      </c>
      <c r="BR76" s="171">
        <v>4</v>
      </c>
      <c r="BS76" s="108">
        <f>(COUNTIF(SEMANA2[Columna2802],BR76)*3)</f>
        <v>0</v>
      </c>
      <c r="BT76" s="172">
        <f>(COUNTIF(SEMANA2[Columna2813],BR76)*2)</f>
        <v>0</v>
      </c>
      <c r="BU76" s="423">
        <f>COUNTIF(SEMANA2[Columna28124],BR76)</f>
        <v>0</v>
      </c>
      <c r="BV76" s="109">
        <f t="shared" si="48"/>
        <v>0</v>
      </c>
      <c r="BW76" s="173">
        <v>6</v>
      </c>
      <c r="BX76" s="108">
        <f>(COUNTIF(SEMANA2[Columna2803],BW76)*3)</f>
        <v>0</v>
      </c>
      <c r="BY76" s="172">
        <f>(COUNTIF(SEMANA2[Columna2814],BW76)*2)</f>
        <v>0</v>
      </c>
      <c r="BZ76" s="423">
        <f>COUNTIF(SEMANA2[Columna28125],BW76)</f>
        <v>0</v>
      </c>
      <c r="CA76" s="109">
        <f t="shared" si="49"/>
        <v>0</v>
      </c>
      <c r="CB76" s="173">
        <v>6</v>
      </c>
      <c r="CC76" s="108">
        <f>(COUNTIF(SEMANA2[Columna2804],CB76)*3)</f>
        <v>0</v>
      </c>
      <c r="CD76" s="172">
        <f>(COUNTIF(SEMANA2[Columna2815],CB76)*2)</f>
        <v>0</v>
      </c>
      <c r="CE76" s="423">
        <f>COUNTIF(SEMANA2[Columna28126],CB76)</f>
        <v>0</v>
      </c>
      <c r="CF76" s="109">
        <f t="shared" si="50"/>
        <v>0</v>
      </c>
      <c r="CG76" s="103"/>
      <c r="CH76" s="103"/>
      <c r="DP76" s="391"/>
      <c r="DQ76" s="391"/>
      <c r="DR76" s="391"/>
      <c r="EH76" s="391"/>
      <c r="EI76" s="391"/>
      <c r="EJ76" s="391"/>
    </row>
    <row r="77" spans="2:140" s="110" customFormat="1" ht="27.95" customHeight="1" x14ac:dyDescent="0.4">
      <c r="B77" s="102"/>
      <c r="C77" s="103"/>
      <c r="D77" s="103"/>
      <c r="E77" s="171">
        <v>12</v>
      </c>
      <c r="F77" s="108">
        <f>(COUNTIF(SEMANA2[1],E77)*3)</f>
        <v>0</v>
      </c>
      <c r="G77" s="172">
        <f>(COUNTIF(SEMANA2[2],E77)*2)</f>
        <v>0</v>
      </c>
      <c r="H77" s="172">
        <f>COUNTIF(SEMANA2[22],E77)</f>
        <v>0</v>
      </c>
      <c r="I77" s="426">
        <f t="shared" si="35"/>
        <v>0</v>
      </c>
      <c r="J77" s="173">
        <v>12</v>
      </c>
      <c r="K77" s="172">
        <f>(COUNTIF(SEMANA2[12],J77)*3)</f>
        <v>0</v>
      </c>
      <c r="L77" s="172">
        <f>(COUNTIF(SEMANA2[Columna2],J77)*2)</f>
        <v>0</v>
      </c>
      <c r="M77" s="172">
        <f>COUNTIF(SEMANA2[Columna23],J77)</f>
        <v>0</v>
      </c>
      <c r="N77" s="426">
        <f t="shared" si="36"/>
        <v>0</v>
      </c>
      <c r="O77" s="173">
        <v>12</v>
      </c>
      <c r="P77" s="172">
        <f>(COUNTIF(SEMANA2[Columna4],O77)*3)</f>
        <v>0</v>
      </c>
      <c r="Q77" s="172">
        <f>(COUNTIF(SEMANA2[Columna5],O77)*2)</f>
        <v>0</v>
      </c>
      <c r="R77" s="172">
        <f>COUNTIF(SEMANA2[Columna53],O77)</f>
        <v>0</v>
      </c>
      <c r="S77" s="426">
        <f t="shared" si="37"/>
        <v>0</v>
      </c>
      <c r="T77" s="173">
        <v>12</v>
      </c>
      <c r="U77" s="172">
        <f>(COUNTIF(SEMANA2[Columna7],T77)*3)</f>
        <v>0</v>
      </c>
      <c r="V77" s="172">
        <f>(COUNTIF(SEMANA2[Columna8],T77)*2)</f>
        <v>0</v>
      </c>
      <c r="W77" s="172">
        <f>COUNTIF(SEMANA2[Columna83],T77)</f>
        <v>0</v>
      </c>
      <c r="X77" s="426">
        <f t="shared" si="38"/>
        <v>0</v>
      </c>
      <c r="Y77" s="173">
        <v>12</v>
      </c>
      <c r="Z77" s="172">
        <f>(COUNTIF(SEMANA2[Columna10],Y77)*3)</f>
        <v>0</v>
      </c>
      <c r="AA77" s="172">
        <f>(COUNTIF(SEMANA2[Columna11],Y77)*2)</f>
        <v>0</v>
      </c>
      <c r="AB77" s="172">
        <f>COUNTIF(SEMANA2[Columna113],Y77)</f>
        <v>0</v>
      </c>
      <c r="AC77" s="426">
        <f t="shared" si="39"/>
        <v>0</v>
      </c>
      <c r="AD77" s="173">
        <v>12</v>
      </c>
      <c r="AE77" s="172">
        <f>(COUNTIF(SEMANA2[1RA],AD77)*3)</f>
        <v>0</v>
      </c>
      <c r="AF77" s="172">
        <f>(COUNTIF(SEMANA2[2DA],AD77)*2)</f>
        <v>0</v>
      </c>
      <c r="AG77" s="172">
        <f>COUNTIF(SEMANA2[2DA2],AD77)</f>
        <v>0</v>
      </c>
      <c r="AH77" s="426">
        <f t="shared" si="40"/>
        <v>0</v>
      </c>
      <c r="AI77" s="173">
        <v>12</v>
      </c>
      <c r="AJ77" s="172">
        <f>(COUNTIF(SEMANA2[Columna16],AI77)*3)</f>
        <v>0</v>
      </c>
      <c r="AK77" s="172">
        <f>(COUNTIF(SEMANA2[Columna17],AI77)*2)</f>
        <v>0</v>
      </c>
      <c r="AL77" s="172">
        <f>COUNTIF(SEMANA2[Columna173],AI77)</f>
        <v>0</v>
      </c>
      <c r="AM77" s="426">
        <f t="shared" si="41"/>
        <v>0</v>
      </c>
      <c r="AN77" s="173">
        <v>10</v>
      </c>
      <c r="AO77" s="172">
        <f>(COUNTIF(SEMANA2[123],AN77)*3)</f>
        <v>0</v>
      </c>
      <c r="AP77" s="172">
        <f>(COUNTIF(SEMANA2[555],AN77)*2)</f>
        <v>0</v>
      </c>
      <c r="AQ77" s="172">
        <f>COUNTIF(SEMANA2[556],AN77)</f>
        <v>0</v>
      </c>
      <c r="AR77" s="426">
        <f t="shared" si="42"/>
        <v>0</v>
      </c>
      <c r="AS77" s="173">
        <v>12</v>
      </c>
      <c r="AT77" s="172">
        <f>(COUNTIF(SEMANA2[AAAA],AS77)*3)</f>
        <v>0</v>
      </c>
      <c r="AU77" s="172">
        <f>(COUNTIF(SEMANA2[BBBB],AS77)*2)</f>
        <v>0</v>
      </c>
      <c r="AV77" s="172">
        <f>COUNTIF(SEMANA2[Columna13],AS77)</f>
        <v>0</v>
      </c>
      <c r="AW77" s="426">
        <f t="shared" si="43"/>
        <v>0</v>
      </c>
      <c r="AX77" s="173">
        <v>12</v>
      </c>
      <c r="AY77" s="172">
        <f>(COUNTIF(SEMANA2[Columna25],AX77)*3)</f>
        <v>0</v>
      </c>
      <c r="AZ77" s="172">
        <f>(COUNTIF(SEMANA2[Columna26],AX77)*2)</f>
        <v>0</v>
      </c>
      <c r="BA77" s="172">
        <f>COUNTIF(SEMANA2[Columna263],AX77)</f>
        <v>0</v>
      </c>
      <c r="BB77" s="426">
        <f t="shared" si="44"/>
        <v>0</v>
      </c>
      <c r="BC77" s="173">
        <v>10</v>
      </c>
      <c r="BD77" s="172">
        <f>(COUNTIF(SEMANA2[Columna272],BC77)*3)</f>
        <v>0</v>
      </c>
      <c r="BE77" s="172">
        <f>(COUNTIF(SEMANA2[Columna273],BC77)*2)</f>
        <v>0</v>
      </c>
      <c r="BF77" s="172">
        <f>COUNTIF(SEMANA2[Columna2732],BC77)</f>
        <v>0</v>
      </c>
      <c r="BG77" s="426">
        <f t="shared" si="45"/>
        <v>0</v>
      </c>
      <c r="BH77" s="173">
        <v>12</v>
      </c>
      <c r="BI77" s="172">
        <f>(COUNTIF(SEMANA2[Columna276],BH77)*3)</f>
        <v>0</v>
      </c>
      <c r="BJ77" s="172">
        <f>(COUNTIF(SEMANA2[Columna277],BH77)*2)</f>
        <v>0</v>
      </c>
      <c r="BK77" s="172">
        <f>COUNTIF(SEMANA2[Columna2772],BH77)</f>
        <v>0</v>
      </c>
      <c r="BL77" s="426">
        <f t="shared" si="46"/>
        <v>0</v>
      </c>
      <c r="BM77" s="173">
        <v>7</v>
      </c>
      <c r="BN77" s="172">
        <f>(COUNTIF(SEMANA2[Columna280],BM77)*3)</f>
        <v>0</v>
      </c>
      <c r="BO77" s="172">
        <f>(COUNTIF(SEMANA2[Columna281],BM77)*2)</f>
        <v>0</v>
      </c>
      <c r="BP77" s="172">
        <f>COUNTIF(SEMANA2[Columna2812],BM77)</f>
        <v>0</v>
      </c>
      <c r="BQ77" s="109">
        <f t="shared" si="47"/>
        <v>0</v>
      </c>
      <c r="BR77" s="171">
        <v>8</v>
      </c>
      <c r="BS77" s="108">
        <f>(COUNTIF(SEMANA2[Columna2802],BR77)*3)</f>
        <v>0</v>
      </c>
      <c r="BT77" s="172">
        <f>(COUNTIF(SEMANA2[Columna2813],BR77)*2)</f>
        <v>0</v>
      </c>
      <c r="BU77" s="423">
        <f>COUNTIF(SEMANA2[Columna28124],BR77)</f>
        <v>0</v>
      </c>
      <c r="BV77" s="109">
        <f t="shared" si="48"/>
        <v>0</v>
      </c>
      <c r="BW77" s="173">
        <v>7</v>
      </c>
      <c r="BX77" s="108">
        <f>(COUNTIF(SEMANA2[Columna2803],BW77)*3)</f>
        <v>0</v>
      </c>
      <c r="BY77" s="172">
        <f>(COUNTIF(SEMANA2[Columna2814],BW77)*2)</f>
        <v>0</v>
      </c>
      <c r="BZ77" s="423">
        <f>COUNTIF(SEMANA2[Columna28125],BW77)</f>
        <v>0</v>
      </c>
      <c r="CA77" s="109">
        <f t="shared" si="49"/>
        <v>0</v>
      </c>
      <c r="CB77" s="173">
        <v>7</v>
      </c>
      <c r="CC77" s="108">
        <f>(COUNTIF(SEMANA2[Columna2804],CB77)*3)</f>
        <v>0</v>
      </c>
      <c r="CD77" s="172">
        <f>(COUNTIF(SEMANA2[Columna2815],CB77)*2)</f>
        <v>0</v>
      </c>
      <c r="CE77" s="423">
        <f>COUNTIF(SEMANA2[Columna28126],CB77)</f>
        <v>0</v>
      </c>
      <c r="CF77" s="109">
        <f t="shared" si="50"/>
        <v>0</v>
      </c>
      <c r="CG77" s="103"/>
      <c r="CH77" s="103"/>
      <c r="DP77" s="391"/>
      <c r="DQ77" s="391"/>
      <c r="DR77" s="391"/>
      <c r="EH77" s="391"/>
      <c r="EI77" s="391"/>
      <c r="EJ77" s="391"/>
    </row>
    <row r="78" spans="2:140" s="110" customFormat="1" ht="27.95" customHeight="1" x14ac:dyDescent="0.4">
      <c r="B78" s="102"/>
      <c r="C78" s="103"/>
      <c r="D78" s="103"/>
      <c r="E78" s="171">
        <v>13</v>
      </c>
      <c r="F78" s="108">
        <f>(COUNTIF(SEMANA2[1],E78)*3)</f>
        <v>0</v>
      </c>
      <c r="G78" s="172">
        <f>(COUNTIF(SEMANA2[2],E78)*2)</f>
        <v>0</v>
      </c>
      <c r="H78" s="172">
        <f>COUNTIF(SEMANA2[22],E78)</f>
        <v>0</v>
      </c>
      <c r="I78" s="426">
        <f t="shared" si="35"/>
        <v>0</v>
      </c>
      <c r="J78" s="173">
        <v>13</v>
      </c>
      <c r="K78" s="172">
        <f>(COUNTIF(SEMANA2[12],J78)*3)</f>
        <v>0</v>
      </c>
      <c r="L78" s="172">
        <f>(COUNTIF(SEMANA2[Columna2],J78)*2)</f>
        <v>0</v>
      </c>
      <c r="M78" s="172">
        <f>COUNTIF(SEMANA2[Columna23],J78)</f>
        <v>0</v>
      </c>
      <c r="N78" s="426">
        <f t="shared" si="36"/>
        <v>0</v>
      </c>
      <c r="O78" s="173">
        <v>13</v>
      </c>
      <c r="P78" s="172">
        <f>(COUNTIF(SEMANA2[Columna4],O78)*3)</f>
        <v>0</v>
      </c>
      <c r="Q78" s="172">
        <f>(COUNTIF(SEMANA2[Columna5],O78)*2)</f>
        <v>0</v>
      </c>
      <c r="R78" s="172">
        <f>COUNTIF(SEMANA2[Columna53],O78)</f>
        <v>0</v>
      </c>
      <c r="S78" s="426">
        <f t="shared" si="37"/>
        <v>0</v>
      </c>
      <c r="T78" s="173">
        <v>13</v>
      </c>
      <c r="U78" s="172">
        <f>(COUNTIF(SEMANA2[Columna7],T78)*3)</f>
        <v>0</v>
      </c>
      <c r="V78" s="172">
        <f>(COUNTIF(SEMANA2[Columna8],T78)*2)</f>
        <v>0</v>
      </c>
      <c r="W78" s="172">
        <f>COUNTIF(SEMANA2[Columna83],T78)</f>
        <v>0</v>
      </c>
      <c r="X78" s="426">
        <f t="shared" si="38"/>
        <v>0</v>
      </c>
      <c r="Y78" s="173">
        <v>13</v>
      </c>
      <c r="Z78" s="172">
        <f>(COUNTIF(SEMANA2[Columna10],Y78)*3)</f>
        <v>0</v>
      </c>
      <c r="AA78" s="172">
        <f>(COUNTIF(SEMANA2[Columna11],Y78)*2)</f>
        <v>0</v>
      </c>
      <c r="AB78" s="172">
        <f>COUNTIF(SEMANA2[Columna113],Y78)</f>
        <v>0</v>
      </c>
      <c r="AC78" s="426">
        <f t="shared" si="39"/>
        <v>0</v>
      </c>
      <c r="AD78" s="173">
        <v>13</v>
      </c>
      <c r="AE78" s="172">
        <f>(COUNTIF(SEMANA2[1RA],AD78)*3)</f>
        <v>0</v>
      </c>
      <c r="AF78" s="172">
        <f>(COUNTIF(SEMANA2[2DA],AD78)*2)</f>
        <v>0</v>
      </c>
      <c r="AG78" s="172">
        <f>COUNTIF(SEMANA2[2DA2],AD78)</f>
        <v>0</v>
      </c>
      <c r="AH78" s="426">
        <f t="shared" si="40"/>
        <v>0</v>
      </c>
      <c r="AI78" s="173">
        <v>13</v>
      </c>
      <c r="AJ78" s="172">
        <f>(COUNTIF(SEMANA2[Columna16],AI78)*3)</f>
        <v>0</v>
      </c>
      <c r="AK78" s="172">
        <f>(COUNTIF(SEMANA2[Columna17],AI78)*2)</f>
        <v>0</v>
      </c>
      <c r="AL78" s="172">
        <f>COUNTIF(SEMANA2[Columna173],AI78)</f>
        <v>0</v>
      </c>
      <c r="AM78" s="426">
        <f t="shared" si="41"/>
        <v>0</v>
      </c>
      <c r="AN78" s="173">
        <v>13</v>
      </c>
      <c r="AO78" s="172">
        <f>(COUNTIF(SEMANA2[123],AN78)*3)</f>
        <v>0</v>
      </c>
      <c r="AP78" s="172">
        <f>(COUNTIF(SEMANA2[555],AN78)*2)</f>
        <v>0</v>
      </c>
      <c r="AQ78" s="172">
        <f>COUNTIF(SEMANA2[556],AN78)</f>
        <v>0</v>
      </c>
      <c r="AR78" s="426">
        <f t="shared" si="42"/>
        <v>0</v>
      </c>
      <c r="AS78" s="173">
        <v>13</v>
      </c>
      <c r="AT78" s="172">
        <f>(COUNTIF(SEMANA2[AAAA],AS78)*3)</f>
        <v>0</v>
      </c>
      <c r="AU78" s="172">
        <f>(COUNTIF(SEMANA2[BBBB],AS78)*2)</f>
        <v>0</v>
      </c>
      <c r="AV78" s="172">
        <f>COUNTIF(SEMANA2[Columna13],AS78)</f>
        <v>0</v>
      </c>
      <c r="AW78" s="426">
        <f t="shared" si="43"/>
        <v>0</v>
      </c>
      <c r="AX78" s="173">
        <v>13</v>
      </c>
      <c r="AY78" s="172">
        <f>(COUNTIF(SEMANA2[Columna25],AX78)*3)</f>
        <v>0</v>
      </c>
      <c r="AZ78" s="172">
        <f>(COUNTIF(SEMANA2[Columna26],AX78)*2)</f>
        <v>0</v>
      </c>
      <c r="BA78" s="172">
        <f>COUNTIF(SEMANA2[Columna263],AX78)</f>
        <v>0</v>
      </c>
      <c r="BB78" s="426">
        <f t="shared" si="44"/>
        <v>0</v>
      </c>
      <c r="BC78" s="173">
        <v>13</v>
      </c>
      <c r="BD78" s="172">
        <f>(COUNTIF(SEMANA2[Columna272],BC78)*3)</f>
        <v>0</v>
      </c>
      <c r="BE78" s="172">
        <f>(COUNTIF(SEMANA2[Columna273],BC78)*2)</f>
        <v>0</v>
      </c>
      <c r="BF78" s="172">
        <f>COUNTIF(SEMANA2[Columna2732],BC78)</f>
        <v>0</v>
      </c>
      <c r="BG78" s="426">
        <f t="shared" si="45"/>
        <v>0</v>
      </c>
      <c r="BH78" s="173">
        <v>13</v>
      </c>
      <c r="BI78" s="172">
        <f>(COUNTIF(SEMANA2[Columna276],BH78)*3)</f>
        <v>0</v>
      </c>
      <c r="BJ78" s="172">
        <f>(COUNTIF(SEMANA2[Columna277],BH78)*2)</f>
        <v>0</v>
      </c>
      <c r="BK78" s="172">
        <f>COUNTIF(SEMANA2[Columna2772],BH78)</f>
        <v>0</v>
      </c>
      <c r="BL78" s="426">
        <f t="shared" si="46"/>
        <v>0</v>
      </c>
      <c r="BM78" s="173">
        <v>11</v>
      </c>
      <c r="BN78" s="172">
        <f>(COUNTIF(SEMANA2[Columna280],BM78)*3)</f>
        <v>0</v>
      </c>
      <c r="BO78" s="172">
        <f>(COUNTIF(SEMANA2[Columna281],BM78)*2)</f>
        <v>0</v>
      </c>
      <c r="BP78" s="172">
        <f>COUNTIF(SEMANA2[Columna2812],BM78)</f>
        <v>0</v>
      </c>
      <c r="BQ78" s="109">
        <f t="shared" si="47"/>
        <v>0</v>
      </c>
      <c r="BR78" s="171">
        <v>6</v>
      </c>
      <c r="BS78" s="108">
        <f>(COUNTIF(SEMANA2[Columna2802],BR78)*3)</f>
        <v>0</v>
      </c>
      <c r="BT78" s="172">
        <f>(COUNTIF(SEMANA2[Columna2813],BR78)*2)</f>
        <v>0</v>
      </c>
      <c r="BU78" s="423">
        <f>COUNTIF(SEMANA2[Columna28124],BR78)</f>
        <v>0</v>
      </c>
      <c r="BV78" s="109">
        <f t="shared" si="48"/>
        <v>0</v>
      </c>
      <c r="BW78" s="173">
        <v>11</v>
      </c>
      <c r="BX78" s="108">
        <f>(COUNTIF(SEMANA2[Columna2803],BW78)*3)</f>
        <v>0</v>
      </c>
      <c r="BY78" s="172">
        <f>(COUNTIF(SEMANA2[Columna2814],BW78)*2)</f>
        <v>0</v>
      </c>
      <c r="BZ78" s="423">
        <f>COUNTIF(SEMANA2[Columna28125],BW78)</f>
        <v>0</v>
      </c>
      <c r="CA78" s="109">
        <f t="shared" si="49"/>
        <v>0</v>
      </c>
      <c r="CB78" s="173">
        <v>11</v>
      </c>
      <c r="CC78" s="108">
        <f>(COUNTIF(SEMANA2[Columna2804],CB78)*3)</f>
        <v>0</v>
      </c>
      <c r="CD78" s="172">
        <f>(COUNTIF(SEMANA2[Columna2815],CB78)*2)</f>
        <v>0</v>
      </c>
      <c r="CE78" s="423">
        <f>COUNTIF(SEMANA2[Columna28126],CB78)</f>
        <v>0</v>
      </c>
      <c r="CF78" s="109">
        <f t="shared" si="50"/>
        <v>0</v>
      </c>
      <c r="CG78" s="103"/>
      <c r="CH78" s="103"/>
      <c r="DP78" s="391"/>
      <c r="DQ78" s="391"/>
      <c r="DR78" s="391"/>
      <c r="EH78" s="391"/>
      <c r="EI78" s="391"/>
      <c r="EJ78" s="391"/>
    </row>
    <row r="79" spans="2:140" s="110" customFormat="1" ht="27.95" customHeight="1" x14ac:dyDescent="0.4">
      <c r="B79" s="102"/>
      <c r="C79" s="103"/>
      <c r="D79" s="103"/>
      <c r="E79" s="174">
        <v>14</v>
      </c>
      <c r="F79" s="112">
        <f>(COUNTIF(SEMANA2[1],E79)*3)</f>
        <v>0</v>
      </c>
      <c r="G79" s="113">
        <f>(COUNTIF(SEMANA2[2],E79)*2)</f>
        <v>0</v>
      </c>
      <c r="H79" s="113">
        <f>COUNTIF(SEMANA2[22],E79)</f>
        <v>0</v>
      </c>
      <c r="I79" s="114">
        <f t="shared" si="35"/>
        <v>0</v>
      </c>
      <c r="J79" s="115">
        <v>14</v>
      </c>
      <c r="K79" s="113">
        <f>(COUNTIF(SEMANA2[12],J79)*3)</f>
        <v>0</v>
      </c>
      <c r="L79" s="113">
        <f>(COUNTIF(SEMANA2[Columna2],J79)*2)</f>
        <v>0</v>
      </c>
      <c r="M79" s="113">
        <f>COUNTIF(SEMANA2[Columna23],J79)</f>
        <v>0</v>
      </c>
      <c r="N79" s="114">
        <f t="shared" si="36"/>
        <v>0</v>
      </c>
      <c r="O79" s="115">
        <v>14</v>
      </c>
      <c r="P79" s="113">
        <f>(COUNTIF(SEMANA2[Columna4],O79)*3)</f>
        <v>0</v>
      </c>
      <c r="Q79" s="113">
        <f>(COUNTIF(SEMANA2[Columna5],O79)*2)</f>
        <v>0</v>
      </c>
      <c r="R79" s="113">
        <f>COUNTIF(SEMANA2[Columna53],O79)</f>
        <v>0</v>
      </c>
      <c r="S79" s="114">
        <f t="shared" si="37"/>
        <v>0</v>
      </c>
      <c r="T79" s="115">
        <v>14</v>
      </c>
      <c r="U79" s="113">
        <f>(COUNTIF(SEMANA2[Columna7],T79)*3)</f>
        <v>0</v>
      </c>
      <c r="V79" s="113">
        <f>(COUNTIF(SEMANA2[Columna8],T79)*2)</f>
        <v>0</v>
      </c>
      <c r="W79" s="113">
        <f>COUNTIF(SEMANA2[Columna83],T79)</f>
        <v>0</v>
      </c>
      <c r="X79" s="114">
        <f t="shared" si="38"/>
        <v>0</v>
      </c>
      <c r="Y79" s="115">
        <v>14</v>
      </c>
      <c r="Z79" s="113">
        <f>(COUNTIF(SEMANA2[Columna10],Y79)*3)</f>
        <v>0</v>
      </c>
      <c r="AA79" s="113">
        <f>(COUNTIF(SEMANA2[Columna11],Y79)*2)</f>
        <v>0</v>
      </c>
      <c r="AB79" s="113">
        <f>COUNTIF(SEMANA2[Columna113],Y79)</f>
        <v>0</v>
      </c>
      <c r="AC79" s="114">
        <f t="shared" si="39"/>
        <v>0</v>
      </c>
      <c r="AD79" s="115">
        <v>14</v>
      </c>
      <c r="AE79" s="113">
        <f>(COUNTIF(SEMANA2[1RA],AD79)*3)</f>
        <v>0</v>
      </c>
      <c r="AF79" s="113">
        <f>(COUNTIF(SEMANA2[2DA],AD79)*2)</f>
        <v>0</v>
      </c>
      <c r="AG79" s="113">
        <f>COUNTIF(SEMANA2[2DA2],AD79)</f>
        <v>0</v>
      </c>
      <c r="AH79" s="114">
        <f t="shared" si="40"/>
        <v>0</v>
      </c>
      <c r="AI79" s="115">
        <v>14</v>
      </c>
      <c r="AJ79" s="113">
        <f>(COUNTIF(SEMANA2[Columna16],AI79)*3)</f>
        <v>0</v>
      </c>
      <c r="AK79" s="113">
        <f>(COUNTIF(SEMANA2[Columna17],AI79)*2)</f>
        <v>0</v>
      </c>
      <c r="AL79" s="113">
        <f>COUNTIF(SEMANA2[Columna173],AI79)</f>
        <v>0</v>
      </c>
      <c r="AM79" s="114">
        <f t="shared" si="41"/>
        <v>0</v>
      </c>
      <c r="AN79" s="115">
        <v>14</v>
      </c>
      <c r="AO79" s="113">
        <f>(COUNTIF(SEMANA2[123],AN79)*3)</f>
        <v>0</v>
      </c>
      <c r="AP79" s="113">
        <f>(COUNTIF(SEMANA2[555],AN79)*2)</f>
        <v>0</v>
      </c>
      <c r="AQ79" s="113">
        <f>COUNTIF(SEMANA2[556],AN79)</f>
        <v>0</v>
      </c>
      <c r="AR79" s="114">
        <f t="shared" si="42"/>
        <v>0</v>
      </c>
      <c r="AS79" s="115">
        <v>14</v>
      </c>
      <c r="AT79" s="113">
        <f>(COUNTIF(SEMANA2[AAAA],AS79)*3)</f>
        <v>0</v>
      </c>
      <c r="AU79" s="113">
        <f>(COUNTIF(SEMANA2[BBBB],AS79)*2)</f>
        <v>0</v>
      </c>
      <c r="AV79" s="113">
        <f>COUNTIF(SEMANA2[Columna13],AS79)</f>
        <v>0</v>
      </c>
      <c r="AW79" s="114">
        <f t="shared" si="43"/>
        <v>0</v>
      </c>
      <c r="AX79" s="115">
        <v>14</v>
      </c>
      <c r="AY79" s="113">
        <f>(COUNTIF(SEMANA2[Columna25],AX79)*3)</f>
        <v>0</v>
      </c>
      <c r="AZ79" s="113">
        <f>(COUNTIF(SEMANA2[Columna26],AX79)*2)</f>
        <v>0</v>
      </c>
      <c r="BA79" s="113">
        <f>COUNTIF(SEMANA2[Columna263],AX79)</f>
        <v>0</v>
      </c>
      <c r="BB79" s="114">
        <f t="shared" si="44"/>
        <v>0</v>
      </c>
      <c r="BC79" s="115">
        <v>14</v>
      </c>
      <c r="BD79" s="113">
        <f>(COUNTIF(SEMANA2[Columna272],BC79)*3)</f>
        <v>0</v>
      </c>
      <c r="BE79" s="113">
        <f>(COUNTIF(SEMANA2[Columna273],BC79)*2)</f>
        <v>0</v>
      </c>
      <c r="BF79" s="113">
        <f>COUNTIF(SEMANA2[Columna2732],BC79)</f>
        <v>0</v>
      </c>
      <c r="BG79" s="114">
        <f t="shared" si="45"/>
        <v>0</v>
      </c>
      <c r="BH79" s="115">
        <v>14</v>
      </c>
      <c r="BI79" s="113">
        <f>(COUNTIF(SEMANA2[Columna276],BH79)*3)</f>
        <v>0</v>
      </c>
      <c r="BJ79" s="113">
        <f>(COUNTIF(SEMANA2[Columna277],BH79)*2)</f>
        <v>0</v>
      </c>
      <c r="BK79" s="113">
        <f>COUNTIF(SEMANA2[Columna2772],BH79)</f>
        <v>0</v>
      </c>
      <c r="BL79" s="114">
        <f t="shared" si="46"/>
        <v>0</v>
      </c>
      <c r="BM79" s="115">
        <v>14</v>
      </c>
      <c r="BN79" s="113">
        <f>(COUNTIF(SEMANA2[Columna280],BM79)*3)</f>
        <v>0</v>
      </c>
      <c r="BO79" s="113">
        <f>(COUNTIF(SEMANA2[Columna281],BM79)*2)</f>
        <v>0</v>
      </c>
      <c r="BP79" s="113">
        <f>COUNTIF(SEMANA2[Columna2812],BM79)</f>
        <v>0</v>
      </c>
      <c r="BQ79" s="116">
        <f t="shared" si="47"/>
        <v>0</v>
      </c>
      <c r="BR79" s="174">
        <v>14</v>
      </c>
      <c r="BS79" s="112">
        <f>(COUNTIF(SEMANA2[Columna2802],BR79)*3)</f>
        <v>0</v>
      </c>
      <c r="BT79" s="113">
        <f>(COUNTIF(SEMANA2[Columna2813],BR79)*2)</f>
        <v>0</v>
      </c>
      <c r="BU79" s="424">
        <f>COUNTIF(SEMANA2[Columna28124],BR79)</f>
        <v>0</v>
      </c>
      <c r="BV79" s="116">
        <f t="shared" si="48"/>
        <v>0</v>
      </c>
      <c r="BW79" s="115">
        <v>14</v>
      </c>
      <c r="BX79" s="112">
        <f>(COUNTIF(SEMANA2[Columna2803],BW79)*3)</f>
        <v>0</v>
      </c>
      <c r="BY79" s="113">
        <f>(COUNTIF(SEMANA2[Columna2814],BW79)*2)</f>
        <v>0</v>
      </c>
      <c r="BZ79" s="424">
        <f>COUNTIF(SEMANA2[Columna28125],BW79)</f>
        <v>0</v>
      </c>
      <c r="CA79" s="116">
        <f t="shared" si="49"/>
        <v>0</v>
      </c>
      <c r="CB79" s="115">
        <v>14</v>
      </c>
      <c r="CC79" s="112">
        <f>(COUNTIF(SEMANA2[Columna2804],CB79)*3)</f>
        <v>0</v>
      </c>
      <c r="CD79" s="113">
        <f>(COUNTIF(SEMANA2[Columna2815],CB79)*2)</f>
        <v>0</v>
      </c>
      <c r="CE79" s="424">
        <f>COUNTIF(SEMANA2[Columna28126],CB79)</f>
        <v>0</v>
      </c>
      <c r="CF79" s="116">
        <f t="shared" si="50"/>
        <v>0</v>
      </c>
      <c r="CG79" s="103"/>
      <c r="CH79" s="103"/>
      <c r="DP79" s="391"/>
      <c r="DQ79" s="391"/>
      <c r="DR79" s="391"/>
      <c r="EH79" s="391"/>
      <c r="EI79" s="391"/>
      <c r="EJ79" s="391"/>
    </row>
    <row r="80" spans="2:140" s="110" customFormat="1" ht="26.25" customHeight="1" x14ac:dyDescent="0.4">
      <c r="B80" s="102"/>
      <c r="C80" s="103"/>
      <c r="D80" s="103"/>
      <c r="E80" s="103"/>
      <c r="F80" s="103"/>
      <c r="G80" s="103">
        <v>1</v>
      </c>
      <c r="H80" s="103"/>
      <c r="I80" s="103"/>
      <c r="J80" s="103"/>
      <c r="K80" s="103"/>
      <c r="L80" s="103">
        <v>2</v>
      </c>
      <c r="M80" s="103"/>
      <c r="N80" s="103"/>
      <c r="O80" s="103"/>
      <c r="P80" s="103"/>
      <c r="Q80" s="103">
        <v>3</v>
      </c>
      <c r="R80" s="103"/>
      <c r="S80" s="103"/>
      <c r="T80" s="103"/>
      <c r="U80" s="103"/>
      <c r="V80" s="103">
        <v>4</v>
      </c>
      <c r="W80" s="103"/>
      <c r="X80" s="103"/>
      <c r="Y80" s="103"/>
      <c r="Z80" s="103"/>
      <c r="AA80" s="103">
        <v>5</v>
      </c>
      <c r="AB80" s="103"/>
      <c r="AC80" s="103"/>
      <c r="AD80" s="103"/>
      <c r="AE80" s="103"/>
      <c r="AF80" s="103">
        <v>6</v>
      </c>
      <c r="AG80" s="103"/>
      <c r="AH80" s="103"/>
      <c r="AI80" s="103"/>
      <c r="AJ80" s="103"/>
      <c r="AK80" s="103">
        <v>7</v>
      </c>
      <c r="AL80" s="103"/>
      <c r="AM80" s="103"/>
      <c r="AN80" s="103"/>
      <c r="AO80" s="103"/>
      <c r="AP80" s="103">
        <v>8</v>
      </c>
      <c r="AQ80" s="103"/>
      <c r="AR80" s="103"/>
      <c r="AS80" s="103"/>
      <c r="AT80" s="103"/>
      <c r="AU80" s="103">
        <v>9</v>
      </c>
      <c r="AV80" s="103"/>
      <c r="AW80" s="103"/>
      <c r="AX80" s="103"/>
      <c r="AY80" s="103"/>
      <c r="AZ80" s="103">
        <v>10</v>
      </c>
      <c r="BA80" s="103"/>
      <c r="BB80" s="103"/>
      <c r="BC80" s="103"/>
      <c r="BD80" s="103"/>
      <c r="BE80" s="103">
        <v>11</v>
      </c>
      <c r="BF80" s="103"/>
      <c r="BG80" s="117"/>
      <c r="BH80" s="103"/>
      <c r="BI80" s="103"/>
      <c r="BJ80" s="103">
        <v>12</v>
      </c>
      <c r="BK80" s="103"/>
      <c r="BL80" s="117"/>
      <c r="BM80" s="103"/>
      <c r="BN80" s="103"/>
      <c r="BO80" s="103">
        <v>13</v>
      </c>
      <c r="BP80" s="103"/>
      <c r="BQ80" s="103"/>
      <c r="BR80" s="103"/>
      <c r="BS80" s="103"/>
      <c r="BT80" s="103">
        <v>14</v>
      </c>
      <c r="BU80" s="103"/>
      <c r="BV80" s="103"/>
      <c r="BW80" s="103"/>
      <c r="BX80" s="103"/>
      <c r="BY80" s="103">
        <v>15</v>
      </c>
      <c r="BZ80" s="103"/>
      <c r="CA80" s="103"/>
      <c r="CB80" s="103"/>
      <c r="CC80" s="103"/>
      <c r="CD80" s="103">
        <v>16</v>
      </c>
      <c r="CE80" s="103"/>
      <c r="CF80" s="103"/>
      <c r="CG80" s="103"/>
      <c r="CH80" s="103"/>
      <c r="DP80" s="388"/>
      <c r="DQ80" s="388"/>
      <c r="DR80" s="388"/>
      <c r="EH80" s="391"/>
      <c r="EI80" s="391"/>
      <c r="EJ80" s="391"/>
    </row>
    <row r="81" spans="1:140" ht="15.75" customHeight="1" thickBot="1" x14ac:dyDescent="0.45">
      <c r="B81" s="102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17"/>
      <c r="BH81" s="103"/>
      <c r="BI81" s="103"/>
      <c r="BJ81" s="103"/>
      <c r="BK81" s="103"/>
      <c r="BL81" s="117"/>
      <c r="BM81" s="103"/>
      <c r="BN81" s="103"/>
      <c r="BO81" s="103"/>
      <c r="BP81" s="103"/>
      <c r="BQ81" s="103"/>
      <c r="BR81" s="103"/>
      <c r="BS81" s="103"/>
      <c r="BT81" s="103"/>
      <c r="BU81" s="103"/>
      <c r="BV81" s="103"/>
      <c r="BW81" s="103"/>
      <c r="BX81" s="103"/>
      <c r="BY81" s="103"/>
      <c r="BZ81" s="103"/>
      <c r="CA81" s="103"/>
      <c r="CB81" s="103"/>
      <c r="CC81" s="103"/>
      <c r="CD81" s="103"/>
      <c r="CE81" s="103"/>
      <c r="CF81" s="103"/>
      <c r="CG81" s="103"/>
      <c r="CH81" s="103"/>
      <c r="DA81" s="110"/>
      <c r="EH81" s="388"/>
      <c r="EI81" s="388"/>
      <c r="EJ81" s="388"/>
    </row>
    <row r="82" spans="1:140" ht="36" customHeight="1" x14ac:dyDescent="0.5">
      <c r="A82" s="3"/>
      <c r="B82" s="118"/>
      <c r="C82" s="119"/>
      <c r="D82" s="120"/>
      <c r="E82" s="120"/>
      <c r="F82" s="120"/>
      <c r="G82" s="120"/>
      <c r="H82" s="120"/>
      <c r="I82" s="119"/>
      <c r="J82" s="119" t="s">
        <v>284</v>
      </c>
      <c r="K82" s="119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19"/>
      <c r="AF82" s="121"/>
      <c r="AG82" s="119" t="s">
        <v>279</v>
      </c>
      <c r="AH82" s="121"/>
      <c r="AI82" s="121"/>
      <c r="AJ82" s="119"/>
      <c r="AK82" s="121"/>
      <c r="AL82" s="122" t="str">
        <f>D3</f>
        <v>13/09/2026</v>
      </c>
      <c r="AM82" s="120"/>
      <c r="AN82" s="120"/>
      <c r="AO82" s="120"/>
      <c r="AP82" s="120"/>
      <c r="AQ82" s="120"/>
      <c r="AR82" s="120"/>
      <c r="AS82" s="120"/>
      <c r="AT82" s="120"/>
      <c r="AU82" s="120"/>
      <c r="AV82" s="120"/>
      <c r="AW82" s="120"/>
      <c r="AX82" s="123"/>
      <c r="AY82" s="120"/>
      <c r="AZ82" s="120"/>
      <c r="BA82" s="120"/>
      <c r="BB82" s="120"/>
      <c r="BC82" s="120"/>
      <c r="BD82" s="120"/>
      <c r="BE82" s="120"/>
      <c r="BF82" s="124"/>
      <c r="BG82" s="123"/>
      <c r="BH82" s="120"/>
      <c r="BI82" s="120"/>
      <c r="BJ82" s="120"/>
      <c r="BK82" s="120"/>
      <c r="BL82" s="120"/>
      <c r="BM82" s="120"/>
      <c r="BN82" s="120"/>
      <c r="BO82" s="124"/>
      <c r="BP82" s="123"/>
      <c r="BQ82" s="103"/>
      <c r="BR82" s="103"/>
      <c r="BS82" s="103"/>
      <c r="BT82" s="103"/>
      <c r="BU82" s="103"/>
      <c r="BV82" s="103"/>
      <c r="BW82" s="103"/>
      <c r="BX82" s="103"/>
      <c r="BY82" s="103"/>
      <c r="BZ82" s="103"/>
      <c r="CA82" s="103"/>
      <c r="CB82" s="103"/>
      <c r="CC82" s="103"/>
      <c r="CD82" s="103"/>
      <c r="CE82" s="103"/>
      <c r="CF82" s="103"/>
      <c r="CG82" s="103"/>
      <c r="EH82" s="388"/>
      <c r="EI82" s="388"/>
      <c r="EJ82" s="388"/>
    </row>
    <row r="83" spans="1:140" ht="36" customHeight="1" x14ac:dyDescent="0.4">
      <c r="A83" s="3"/>
      <c r="B83" s="541">
        <f>E4</f>
        <v>1</v>
      </c>
      <c r="C83" s="181"/>
      <c r="D83" s="181"/>
      <c r="E83" s="182"/>
      <c r="F83" s="542">
        <f>J4</f>
        <v>2</v>
      </c>
      <c r="G83" s="183"/>
      <c r="H83" s="183"/>
      <c r="I83" s="183"/>
      <c r="J83" s="183"/>
      <c r="K83" s="183"/>
      <c r="L83" s="183"/>
      <c r="M83" s="183"/>
      <c r="N83" s="184"/>
      <c r="O83" s="542">
        <f>O4</f>
        <v>3</v>
      </c>
      <c r="P83" s="183"/>
      <c r="Q83" s="183"/>
      <c r="R83" s="183"/>
      <c r="S83" s="183"/>
      <c r="T83" s="183"/>
      <c r="U83" s="183"/>
      <c r="V83" s="183"/>
      <c r="W83" s="184"/>
      <c r="X83" s="542">
        <f>T4</f>
        <v>4</v>
      </c>
      <c r="Y83" s="183"/>
      <c r="Z83" s="183"/>
      <c r="AA83" s="183"/>
      <c r="AB83" s="183"/>
      <c r="AC83" s="183"/>
      <c r="AD83" s="183"/>
      <c r="AE83" s="183"/>
      <c r="AF83" s="184"/>
      <c r="AG83" s="542">
        <f>Y4</f>
        <v>5</v>
      </c>
      <c r="AH83" s="183"/>
      <c r="AI83" s="183"/>
      <c r="AJ83" s="183"/>
      <c r="AK83" s="183"/>
      <c r="AL83" s="183"/>
      <c r="AM83" s="183"/>
      <c r="AN83" s="183"/>
      <c r="AO83" s="184"/>
      <c r="AP83" s="542">
        <f>AD4</f>
        <v>6</v>
      </c>
      <c r="AQ83" s="183"/>
      <c r="AR83" s="183"/>
      <c r="AS83" s="183"/>
      <c r="AT83" s="183"/>
      <c r="AU83" s="183"/>
      <c r="AV83" s="183"/>
      <c r="AW83" s="183"/>
      <c r="AX83" s="184"/>
      <c r="AY83" s="542">
        <f>AI4</f>
        <v>7</v>
      </c>
      <c r="AZ83" s="183"/>
      <c r="BA83" s="183"/>
      <c r="BB83" s="183"/>
      <c r="BC83" s="183"/>
      <c r="BD83" s="183"/>
      <c r="BE83" s="183"/>
      <c r="BF83" s="183"/>
      <c r="BG83" s="184"/>
      <c r="BH83" s="542">
        <f>AN4</f>
        <v>8</v>
      </c>
      <c r="BI83" s="183"/>
      <c r="BJ83" s="183"/>
      <c r="BK83" s="183"/>
      <c r="BL83" s="183"/>
      <c r="BM83" s="183"/>
      <c r="BN83" s="183"/>
      <c r="BO83" s="183"/>
      <c r="BP83" s="184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EH83" s="388"/>
      <c r="EI83" s="388"/>
      <c r="EJ83" s="388"/>
    </row>
    <row r="84" spans="1:140" ht="30" customHeight="1" x14ac:dyDescent="0.4">
      <c r="A84" s="3"/>
      <c r="B84" s="125" t="s">
        <v>280</v>
      </c>
      <c r="C84" s="127" t="s">
        <v>285</v>
      </c>
      <c r="D84" s="127"/>
      <c r="E84" s="126" t="s">
        <v>165</v>
      </c>
      <c r="F84" s="125" t="s">
        <v>280</v>
      </c>
      <c r="G84" s="127" t="s">
        <v>285</v>
      </c>
      <c r="H84" s="127"/>
      <c r="I84" s="127"/>
      <c r="J84" s="127"/>
      <c r="K84" s="127"/>
      <c r="L84" s="127"/>
      <c r="M84" s="127"/>
      <c r="N84" s="126" t="s">
        <v>165</v>
      </c>
      <c r="O84" s="125" t="s">
        <v>280</v>
      </c>
      <c r="P84" s="127" t="s">
        <v>285</v>
      </c>
      <c r="Q84" s="127"/>
      <c r="R84" s="127"/>
      <c r="S84" s="127"/>
      <c r="T84" s="127"/>
      <c r="U84" s="127"/>
      <c r="V84" s="127"/>
      <c r="W84" s="126" t="s">
        <v>165</v>
      </c>
      <c r="X84" s="125" t="s">
        <v>280</v>
      </c>
      <c r="Y84" s="127" t="s">
        <v>285</v>
      </c>
      <c r="Z84" s="127"/>
      <c r="AA84" s="127"/>
      <c r="AB84" s="127"/>
      <c r="AC84" s="127"/>
      <c r="AD84" s="127"/>
      <c r="AE84" s="127"/>
      <c r="AF84" s="126" t="s">
        <v>165</v>
      </c>
      <c r="AG84" s="125" t="s">
        <v>280</v>
      </c>
      <c r="AH84" s="127" t="s">
        <v>285</v>
      </c>
      <c r="AI84" s="127"/>
      <c r="AJ84" s="127"/>
      <c r="AK84" s="127"/>
      <c r="AL84" s="127"/>
      <c r="AM84" s="127"/>
      <c r="AN84" s="127"/>
      <c r="AO84" s="126" t="s">
        <v>165</v>
      </c>
      <c r="AP84" s="125" t="s">
        <v>280</v>
      </c>
      <c r="AQ84" s="127" t="s">
        <v>285</v>
      </c>
      <c r="AR84" s="127"/>
      <c r="AS84" s="127"/>
      <c r="AT84" s="127"/>
      <c r="AU84" s="127"/>
      <c r="AV84" s="127"/>
      <c r="AW84" s="127"/>
      <c r="AX84" s="126" t="s">
        <v>165</v>
      </c>
      <c r="AY84" s="125" t="s">
        <v>280</v>
      </c>
      <c r="AZ84" s="127" t="s">
        <v>285</v>
      </c>
      <c r="BA84" s="127"/>
      <c r="BB84" s="127"/>
      <c r="BC84" s="127"/>
      <c r="BD84" s="127"/>
      <c r="BE84" s="127"/>
      <c r="BF84" s="127"/>
      <c r="BG84" s="126" t="s">
        <v>165</v>
      </c>
      <c r="BH84" s="125" t="s">
        <v>280</v>
      </c>
      <c r="BI84" s="127" t="s">
        <v>285</v>
      </c>
      <c r="BJ84" s="127"/>
      <c r="BK84" s="127"/>
      <c r="BL84" s="127"/>
      <c r="BM84" s="127"/>
      <c r="BN84" s="127"/>
      <c r="BO84" s="127"/>
      <c r="BP84" s="126" t="s">
        <v>165</v>
      </c>
      <c r="BQ84" s="103"/>
      <c r="BR84" s="103"/>
      <c r="BS84" s="103"/>
      <c r="BT84" s="103"/>
      <c r="BU84" s="103"/>
      <c r="BV84" s="103"/>
      <c r="BW84" s="103"/>
      <c r="BX84" s="103"/>
      <c r="BY84" s="103"/>
      <c r="BZ84" s="103"/>
      <c r="CA84" s="103"/>
      <c r="CB84" s="103"/>
      <c r="CC84" s="103"/>
      <c r="CD84" s="103"/>
      <c r="CE84" s="103"/>
      <c r="CF84" s="103"/>
      <c r="CG84" s="103"/>
      <c r="EH84" s="388"/>
      <c r="EI84" s="388"/>
      <c r="EJ84" s="388"/>
    </row>
    <row r="85" spans="1:140" ht="30" customHeight="1" x14ac:dyDescent="0.4">
      <c r="A85" s="3"/>
      <c r="B85" s="128">
        <f t="shared" ref="B85:B90" si="51">E66</f>
        <v>9</v>
      </c>
      <c r="C85" s="175" t="str">
        <f t="array" ref="C85">_xlfn._xlws.FILTER('[1]ALFABETICO SEM'!$M$1:$M$196, ('[1]ALFABETICO SEM'!$L$1:$L$196 = $B$83) * ('[1]ALFABETICO SEM'!$N$1:$N$196 = B85), " - ")</f>
        <v>PAULA DEL CARMEN</v>
      </c>
      <c r="D85" s="103"/>
      <c r="E85" s="129">
        <f t="shared" ref="E85:F90" si="52">I66</f>
        <v>98</v>
      </c>
      <c r="F85" s="128">
        <f t="shared" si="52"/>
        <v>1</v>
      </c>
      <c r="G85" s="175" t="str">
        <f t="array" ref="G85">_xlfn._xlws.FILTER('[1]ALFABETICO SEM'!$M$1:$M$196, ('[1]ALFABETICO SEM'!$L$1:$L$196 = $F$83) * ('[1]ALFABETICO SEM'!$N$1:$N$196 = F85), " - ")</f>
        <v>MOSTAZA</v>
      </c>
      <c r="H85" s="176"/>
      <c r="I85" s="176"/>
      <c r="J85" s="176"/>
      <c r="K85" s="176"/>
      <c r="L85" s="176"/>
      <c r="M85" s="176"/>
      <c r="N85" s="129">
        <f t="shared" ref="N85:O90" si="53">N66</f>
        <v>102</v>
      </c>
      <c r="O85" s="128">
        <f t="shared" si="53"/>
        <v>5</v>
      </c>
      <c r="P85" s="175" t="str">
        <f t="array" ref="P85">_xlfn._xlws.FILTER('[1]ALFABETICO SEM'!$M$1:$M$196, ('[1]ALFABETICO SEM'!$L$1:$L$196 = O$83) * ('[1]ALFABETICO SEM'!$N$1:$N$196 = O85), " - ")</f>
        <v>RED TIME</v>
      </c>
      <c r="Q85" s="176"/>
      <c r="R85" s="176"/>
      <c r="S85" s="176"/>
      <c r="T85" s="176"/>
      <c r="U85" s="176"/>
      <c r="V85" s="176"/>
      <c r="W85" s="129">
        <f t="shared" ref="W85:X90" si="54">S66</f>
        <v>98</v>
      </c>
      <c r="X85" s="128">
        <f t="shared" si="54"/>
        <v>3</v>
      </c>
      <c r="Y85" s="175" t="str">
        <f t="array" ref="Y85">_xlfn._xlws.FILTER('[1]ALFABETICO SEM'!$M$1:$M$196, ('[1]ALFABETICO SEM'!$L$1:$L$196 = X$83) * ('[1]ALFABETICO SEM'!$N$1:$N$196 = X85), " - ")</f>
        <v>STARSHIP GOLD</v>
      </c>
      <c r="Z85" s="142"/>
      <c r="AA85" s="142"/>
      <c r="AB85" s="142"/>
      <c r="AC85" s="142"/>
      <c r="AD85" s="142"/>
      <c r="AE85" s="142"/>
      <c r="AF85" s="141">
        <f t="shared" ref="AF85:AG90" si="55">X66</f>
        <v>89</v>
      </c>
      <c r="AG85" s="128">
        <f t="shared" si="55"/>
        <v>2</v>
      </c>
      <c r="AH85" s="175" t="str">
        <f t="array" ref="AH85">_xlfn._xlws.FILTER('[1]ALFABETICO SEM'!$M$1:$M$196, ('[1]ALFABETICO SEM'!$L$1:$L$196 = AG$83) * ('[1]ALFABETICO SEM'!$N$1:$N$196 = AG85), " - ")</f>
        <v>TOWER STAR</v>
      </c>
      <c r="AI85" s="142"/>
      <c r="AJ85" s="142"/>
      <c r="AK85" s="142"/>
      <c r="AL85" s="142"/>
      <c r="AM85" s="142"/>
      <c r="AN85" s="142"/>
      <c r="AO85" s="141">
        <f t="shared" ref="AO85:AP90" si="56">AC66</f>
        <v>64</v>
      </c>
      <c r="AP85" s="128">
        <f t="shared" si="56"/>
        <v>5</v>
      </c>
      <c r="AQ85" s="175" t="str">
        <f t="array" ref="AQ85">_xlfn._xlws.FILTER('[1]ALFABETICO SEM'!$M$1:$M$196, ('[1]ALFABETICO SEM'!$L$1:$L$196 = AP$83) * ('[1]ALFABETICO SEM'!$N$1:$N$196 = AP85), " - ")</f>
        <v>MAJESTIC SHOT</v>
      </c>
      <c r="AR85" s="176"/>
      <c r="AS85" s="176"/>
      <c r="AT85" s="176"/>
      <c r="AU85" s="176"/>
      <c r="AV85" s="176"/>
      <c r="AW85" s="176"/>
      <c r="AX85" s="129">
        <f t="shared" ref="AX85:AY90" si="57">AH66</f>
        <v>80</v>
      </c>
      <c r="AY85" s="128">
        <f t="shared" si="57"/>
        <v>7</v>
      </c>
      <c r="AZ85" s="175" t="str">
        <f t="array" ref="AZ85">_xlfn._xlws.FILTER('[1]ALFABETICO SEM'!$M$1:$M$196, ('[1]ALFABETICO SEM'!$L$1:$L$196 = AY$83) * ('[1]ALFABETICO SEM'!$N$1:$N$196 = AY85), " - ")</f>
        <v>SILK EYES</v>
      </c>
      <c r="BA85" s="142"/>
      <c r="BB85" s="142"/>
      <c r="BC85" s="142"/>
      <c r="BD85" s="142"/>
      <c r="BE85" s="142"/>
      <c r="BF85" s="142"/>
      <c r="BG85" s="141">
        <f t="shared" ref="BG85:BH90" si="58">AM66</f>
        <v>91</v>
      </c>
      <c r="BH85" s="128">
        <f t="shared" si="58"/>
        <v>8</v>
      </c>
      <c r="BI85" s="175" t="str">
        <f t="array" ref="BI85">_xlfn._xlws.FILTER('[1]ALFABETICO SEM'!$M$1:$M$196, ('[1]ALFABETICO SEM'!$L$1:$L$196 = BH$83) * ('[1]ALFABETICO SEM'!$N$1:$N$196 = BH85), " - ")</f>
        <v>KING NYSOS</v>
      </c>
      <c r="BJ85" s="142"/>
      <c r="BK85" s="142"/>
      <c r="BL85" s="142"/>
      <c r="BM85" s="142"/>
      <c r="BN85" s="142"/>
      <c r="BO85" s="142"/>
      <c r="BP85" s="141">
        <f t="shared" ref="BP85:BP90" si="59">AR66</f>
        <v>114</v>
      </c>
      <c r="BQ85" s="103"/>
      <c r="BR85" s="103"/>
      <c r="BS85" s="103"/>
      <c r="BT85" s="103"/>
      <c r="BU85" s="103"/>
      <c r="BV85" s="103"/>
      <c r="BW85" s="103"/>
      <c r="BX85" s="103"/>
      <c r="BY85" s="103"/>
      <c r="BZ85" s="103"/>
      <c r="CA85" s="103"/>
      <c r="CB85" s="103"/>
      <c r="CC85" s="103"/>
      <c r="CD85" s="103"/>
      <c r="CE85" s="103"/>
      <c r="CF85" s="103"/>
      <c r="CG85" s="103"/>
      <c r="EH85" s="388"/>
      <c r="EI85" s="388"/>
      <c r="EJ85" s="388"/>
    </row>
    <row r="86" spans="1:140" ht="30" customHeight="1" x14ac:dyDescent="0.4">
      <c r="A86" s="3"/>
      <c r="B86" s="128">
        <f t="shared" si="51"/>
        <v>2</v>
      </c>
      <c r="C86" s="175" t="str">
        <f t="array" ref="C86">_xlfn._xlws.FILTER('[1]ALFABETICO SEM'!$M$1:$M$196, ('[1]ALFABETICO SEM'!$L$1:$L$196 = $B$83) * ('[1]ALFABETICO SEM'!$N$1:$N$196 = B86), " - ")</f>
        <v>TALENTOSO</v>
      </c>
      <c r="D86" s="103"/>
      <c r="E86" s="129">
        <f t="shared" si="52"/>
        <v>52</v>
      </c>
      <c r="F86" s="128">
        <f t="shared" si="52"/>
        <v>7</v>
      </c>
      <c r="G86" s="175" t="str">
        <f t="array" ref="G86">_xlfn._xlws.FILTER('[1]ALFABETICO SEM'!$M$1:$M$196, ('[1]ALFABETICO SEM'!$L$1:$L$196 = $F$83) * ('[1]ALFABETICO SEM'!$N$1:$N$196 = F86), " - ")</f>
        <v>SALOME</v>
      </c>
      <c r="H86" s="142"/>
      <c r="I86" s="142"/>
      <c r="J86" s="142"/>
      <c r="K86" s="142"/>
      <c r="L86" s="142"/>
      <c r="M86" s="142"/>
      <c r="N86" s="141">
        <f t="shared" si="53"/>
        <v>43</v>
      </c>
      <c r="O86" s="128">
        <f t="shared" si="53"/>
        <v>1</v>
      </c>
      <c r="P86" s="175" t="str">
        <f t="array" ref="P86">_xlfn._xlws.FILTER('[1]ALFABETICO SEM'!$M$1:$M$196, ('[1]ALFABETICO SEM'!$L$1:$L$196 = O$83) * ('[1]ALFABETICO SEM'!$N$1:$N$196 = O86), " - ")</f>
        <v>FURETTO</v>
      </c>
      <c r="Q86" s="176"/>
      <c r="R86" s="176"/>
      <c r="S86" s="176"/>
      <c r="T86" s="176"/>
      <c r="U86" s="176"/>
      <c r="V86" s="176"/>
      <c r="W86" s="129">
        <f t="shared" si="54"/>
        <v>67</v>
      </c>
      <c r="X86" s="128">
        <f t="shared" si="54"/>
        <v>5</v>
      </c>
      <c r="Y86" s="175" t="str">
        <f t="array" ref="Y86">_xlfn._xlws.FILTER('[1]ALFABETICO SEM'!$M$1:$M$196, ('[1]ALFABETICO SEM'!$L$1:$L$196 = X$83) * ('[1]ALFABETICO SEM'!$N$1:$N$196 = X86), " - ")</f>
        <v>OROLINDA</v>
      </c>
      <c r="Z86" s="176"/>
      <c r="AA86" s="176"/>
      <c r="AB86" s="176"/>
      <c r="AC86" s="176"/>
      <c r="AD86" s="176"/>
      <c r="AE86" s="176"/>
      <c r="AF86" s="129">
        <f t="shared" si="55"/>
        <v>77</v>
      </c>
      <c r="AG86" s="128">
        <f t="shared" si="55"/>
        <v>1</v>
      </c>
      <c r="AH86" s="175" t="str">
        <f t="array" ref="AH86">_xlfn._xlws.FILTER('[1]ALFABETICO SEM'!$M$1:$M$196, ('[1]ALFABETICO SEM'!$L$1:$L$196 = AG$83) * ('[1]ALFABETICO SEM'!$N$1:$N$196 = AG86), " - ")</f>
        <v>TIME REPORT</v>
      </c>
      <c r="AI86" s="176"/>
      <c r="AJ86" s="176"/>
      <c r="AK86" s="176"/>
      <c r="AL86" s="176"/>
      <c r="AM86" s="176"/>
      <c r="AN86" s="176"/>
      <c r="AO86" s="129">
        <f t="shared" si="56"/>
        <v>57</v>
      </c>
      <c r="AP86" s="128">
        <f t="shared" si="56"/>
        <v>4</v>
      </c>
      <c r="AQ86" s="175" t="str">
        <f t="array" ref="AQ86">_xlfn._xlws.FILTER('[1]ALFABETICO SEM'!$M$1:$M$196, ('[1]ALFABETICO SEM'!$L$1:$L$196 = AP$83) * ('[1]ALFABETICO SEM'!$N$1:$N$196 = AP86), " - ")</f>
        <v>HONEY TIME</v>
      </c>
      <c r="AR86" s="142"/>
      <c r="AS86" s="142"/>
      <c r="AT86" s="142"/>
      <c r="AU86" s="142"/>
      <c r="AV86" s="142"/>
      <c r="AW86" s="142"/>
      <c r="AX86" s="141">
        <f t="shared" si="57"/>
        <v>54</v>
      </c>
      <c r="AY86" s="128">
        <f t="shared" si="57"/>
        <v>6</v>
      </c>
      <c r="AZ86" s="175" t="str">
        <f t="array" ref="AZ86">_xlfn._xlws.FILTER('[1]ALFABETICO SEM'!$M$1:$M$196, ('[1]ALFABETICO SEM'!$L$1:$L$196 = AY$83) * ('[1]ALFABETICO SEM'!$N$1:$N$196 = AY86), " - ")</f>
        <v>ZEPPELIN</v>
      </c>
      <c r="BA86" s="176"/>
      <c r="BB86" s="176"/>
      <c r="BC86" s="176"/>
      <c r="BD86" s="176"/>
      <c r="BE86" s="176"/>
      <c r="BF86" s="176"/>
      <c r="BG86" s="129">
        <f t="shared" si="58"/>
        <v>82</v>
      </c>
      <c r="BH86" s="128">
        <f t="shared" si="58"/>
        <v>1</v>
      </c>
      <c r="BI86" s="175" t="str">
        <f t="array" ref="BI86">_xlfn._xlws.FILTER('[1]ALFABETICO SEM'!$M$1:$M$196, ('[1]ALFABETICO SEM'!$L$1:$L$196 = BH$83) * ('[1]ALFABETICO SEM'!$N$1:$N$196 = BH86), " - ")</f>
        <v>KOSHO</v>
      </c>
      <c r="BJ86" s="176"/>
      <c r="BK86" s="176"/>
      <c r="BL86" s="176"/>
      <c r="BM86" s="176"/>
      <c r="BN86" s="176"/>
      <c r="BO86" s="176"/>
      <c r="BP86" s="141">
        <f t="shared" si="59"/>
        <v>41</v>
      </c>
      <c r="BQ86" s="103"/>
      <c r="BR86" s="103"/>
      <c r="BS86" s="103"/>
      <c r="BT86" s="103"/>
      <c r="BU86" s="103"/>
      <c r="BV86" s="103"/>
      <c r="BW86" s="103"/>
      <c r="BX86" s="103"/>
      <c r="BY86" s="103"/>
      <c r="BZ86" s="103"/>
      <c r="CA86" s="103"/>
      <c r="CB86" s="103"/>
      <c r="CC86" s="103"/>
      <c r="CD86" s="103"/>
      <c r="CE86" s="103"/>
      <c r="CF86" s="103"/>
      <c r="CG86" s="103"/>
      <c r="EH86" s="388"/>
      <c r="EI86" s="388"/>
      <c r="EJ86" s="388"/>
    </row>
    <row r="87" spans="1:140" ht="24.75" customHeight="1" x14ac:dyDescent="0.4">
      <c r="A87" s="3"/>
      <c r="B87" s="128">
        <f t="shared" si="51"/>
        <v>6</v>
      </c>
      <c r="C87" s="175" t="str">
        <f t="array" ref="C87">_xlfn._xlws.FILTER('[1]ALFABETICO SEM'!$M$1:$M$196, ('[1]ALFABETICO SEM'!$L$1:$L$196 = $B$83) * ('[1]ALFABETICO SEM'!$N$1:$N$196 = B87), " - ")</f>
        <v>DOCTOR ELY</v>
      </c>
      <c r="D87" s="140"/>
      <c r="E87" s="141">
        <f t="shared" si="52"/>
        <v>39</v>
      </c>
      <c r="F87" s="128">
        <f t="shared" si="52"/>
        <v>2</v>
      </c>
      <c r="G87" s="175" t="str">
        <f t="array" ref="G87">_xlfn._xlws.FILTER('[1]ALFABETICO SEM'!$M$1:$M$196, ('[1]ALFABETICO SEM'!$L$1:$L$196 = $F$83) * ('[1]ALFABETICO SEM'!$N$1:$N$196 = F87), " - ")</f>
        <v>DECIDIDA</v>
      </c>
      <c r="H87" s="176"/>
      <c r="I87" s="176"/>
      <c r="J87" s="176"/>
      <c r="K87" s="176"/>
      <c r="L87" s="176"/>
      <c r="M87" s="176"/>
      <c r="N87" s="129">
        <f t="shared" si="53"/>
        <v>37</v>
      </c>
      <c r="O87" s="128">
        <f t="shared" si="53"/>
        <v>3</v>
      </c>
      <c r="P87" s="175" t="str">
        <f t="array" ref="P87">_xlfn._xlws.FILTER('[1]ALFABETICO SEM'!$M$1:$M$196, ('[1]ALFABETICO SEM'!$L$1:$L$196 = O$83) * ('[1]ALFABETICO SEM'!$N$1:$N$196 = O87), " - ")</f>
        <v>FORTY TIME</v>
      </c>
      <c r="Q87" s="142"/>
      <c r="R87" s="142"/>
      <c r="S87" s="142"/>
      <c r="T87" s="142"/>
      <c r="U87" s="142"/>
      <c r="V87" s="142"/>
      <c r="W87" s="141">
        <f t="shared" si="54"/>
        <v>25</v>
      </c>
      <c r="X87" s="128">
        <f t="shared" si="54"/>
        <v>7</v>
      </c>
      <c r="Y87" s="175" t="str">
        <f t="array" ref="Y87">_xlfn._xlws.FILTER('[1]ALFABETICO SEM'!$M$1:$M$196, ('[1]ALFABETICO SEM'!$L$1:$L$196 = X$83) * ('[1]ALFABETICO SEM'!$N$1:$N$196 = X87), " - ")</f>
        <v>GRAN FERONIA</v>
      </c>
      <c r="Z87" s="176"/>
      <c r="AA87" s="176"/>
      <c r="AB87" s="176"/>
      <c r="AC87" s="176"/>
      <c r="AD87" s="176"/>
      <c r="AE87" s="176"/>
      <c r="AF87" s="129">
        <f t="shared" si="55"/>
        <v>0</v>
      </c>
      <c r="AG87" s="128">
        <f t="shared" si="55"/>
        <v>7</v>
      </c>
      <c r="AH87" s="175" t="str">
        <f t="array" ref="AH87">_xlfn._xlws.FILTER('[1]ALFABETICO SEM'!$M$1:$M$196, ('[1]ALFABETICO SEM'!$L$1:$L$196 = AG$83) * ('[1]ALFABETICO SEM'!$N$1:$N$196 = AG87), " - ")</f>
        <v>BRAVUCON</v>
      </c>
      <c r="AI87" s="176"/>
      <c r="AJ87" s="176"/>
      <c r="AK87" s="176"/>
      <c r="AL87" s="176"/>
      <c r="AM87" s="176"/>
      <c r="AN87" s="176"/>
      <c r="AO87" s="129">
        <f t="shared" si="56"/>
        <v>46</v>
      </c>
      <c r="AP87" s="128">
        <f t="shared" si="56"/>
        <v>10</v>
      </c>
      <c r="AQ87" s="175" t="str">
        <f t="array" ref="AQ87">_xlfn._xlws.FILTER('[1]ALFABETICO SEM'!$M$1:$M$196, ('[1]ALFABETICO SEM'!$L$1:$L$196 = AP$83) * ('[1]ALFABETICO SEM'!$N$1:$N$196 = AP87), " - ")</f>
        <v>LELIZAMAR</v>
      </c>
      <c r="AR87" s="176"/>
      <c r="AS87" s="176"/>
      <c r="AT87" s="176"/>
      <c r="AU87" s="176"/>
      <c r="AV87" s="176"/>
      <c r="AW87" s="176"/>
      <c r="AX87" s="129">
        <f t="shared" si="57"/>
        <v>33</v>
      </c>
      <c r="AY87" s="128">
        <f t="shared" si="57"/>
        <v>8</v>
      </c>
      <c r="AZ87" s="175" t="str">
        <f t="array" ref="AZ87">_xlfn._xlws.FILTER('[1]ALFABETICO SEM'!$M$1:$M$196, ('[1]ALFABETICO SEM'!$L$1:$L$196 = AY$83) * ('[1]ALFABETICO SEM'!$N$1:$N$196 = AY87), " - ")</f>
        <v>LOOK AT DADDY</v>
      </c>
      <c r="BA87" s="176"/>
      <c r="BB87" s="176"/>
      <c r="BC87" s="176"/>
      <c r="BD87" s="176"/>
      <c r="BE87" s="176"/>
      <c r="BF87" s="176"/>
      <c r="BG87" s="129">
        <f t="shared" si="58"/>
        <v>17</v>
      </c>
      <c r="BH87" s="128">
        <f t="shared" si="58"/>
        <v>2</v>
      </c>
      <c r="BI87" s="175" t="str">
        <f t="array" ref="BI87">_xlfn._xlws.FILTER('[1]ALFABETICO SEM'!$M$1:$M$196, ('[1]ALFABETICO SEM'!$L$1:$L$196 = BH$83) * ('[1]ALFABETICO SEM'!$N$1:$N$196 = BH87), " - ")</f>
        <v>BIG SENSATION</v>
      </c>
      <c r="BJ87" s="176"/>
      <c r="BK87" s="176"/>
      <c r="BL87" s="176"/>
      <c r="BM87" s="176"/>
      <c r="BN87" s="176"/>
      <c r="BO87" s="176"/>
      <c r="BP87" s="141">
        <f t="shared" si="59"/>
        <v>16</v>
      </c>
      <c r="BQ87" s="103"/>
      <c r="BR87" s="103"/>
      <c r="BS87" s="103"/>
      <c r="BT87" s="103"/>
      <c r="BU87" s="103"/>
      <c r="BV87" s="103"/>
      <c r="BW87" s="103"/>
      <c r="BX87" s="103"/>
      <c r="BY87" s="103"/>
      <c r="BZ87" s="103"/>
      <c r="CA87" s="103"/>
      <c r="CB87" s="103"/>
      <c r="CC87" s="103"/>
      <c r="CD87" s="103"/>
      <c r="CE87" s="103"/>
      <c r="CF87" s="103"/>
      <c r="CG87" s="103"/>
      <c r="EH87" s="388"/>
      <c r="EI87" s="388"/>
      <c r="EJ87" s="388"/>
    </row>
    <row r="88" spans="1:140" ht="30" customHeight="1" x14ac:dyDescent="0.4">
      <c r="A88" s="3"/>
      <c r="B88" s="128">
        <f t="shared" si="51"/>
        <v>4</v>
      </c>
      <c r="C88" s="175" t="str">
        <f t="array" ref="C88">_xlfn._xlws.FILTER('[1]ALFABETICO SEM'!$M$1:$M$196, ('[1]ALFABETICO SEM'!$L$1:$L$196 = $B$83) * ('[1]ALFABETICO SEM'!$N$1:$N$196 = B88), " - ")</f>
        <v>BELIEVE ANDREW</v>
      </c>
      <c r="D88" s="103"/>
      <c r="E88" s="129">
        <f t="shared" si="52"/>
        <v>13</v>
      </c>
      <c r="F88" s="128">
        <f t="shared" si="52"/>
        <v>4</v>
      </c>
      <c r="G88" s="175" t="str">
        <f t="array" ref="G88">_xlfn._xlws.FILTER('[1]ALFABETICO SEM'!$M$1:$M$196, ('[1]ALFABETICO SEM'!$L$1:$L$196 = $F$83) * ('[1]ALFABETICO SEM'!$N$1:$N$196 = F88), " - ")</f>
        <v>PAINT WHITE</v>
      </c>
      <c r="H88" s="176"/>
      <c r="I88" s="176"/>
      <c r="J88" s="176"/>
      <c r="K88" s="176"/>
      <c r="L88" s="176"/>
      <c r="M88" s="176"/>
      <c r="N88" s="129">
        <f t="shared" si="53"/>
        <v>14</v>
      </c>
      <c r="O88" s="128">
        <f t="shared" si="53"/>
        <v>7</v>
      </c>
      <c r="P88" s="175" t="str">
        <f t="array" ref="P88">_xlfn._xlws.FILTER('[1]ALFABETICO SEM'!$M$1:$M$196, ('[1]ALFABETICO SEM'!$L$1:$L$196 = O$83) * ('[1]ALFABETICO SEM'!$N$1:$N$196 = O88), " - ")</f>
        <v>MAHOMES</v>
      </c>
      <c r="Q88" s="176"/>
      <c r="R88" s="176"/>
      <c r="S88" s="176"/>
      <c r="T88" s="176"/>
      <c r="U88" s="176"/>
      <c r="V88" s="176"/>
      <c r="W88" s="129">
        <f t="shared" si="54"/>
        <v>23</v>
      </c>
      <c r="X88" s="128">
        <f t="shared" si="54"/>
        <v>4</v>
      </c>
      <c r="Y88" s="175" t="str">
        <f t="array" ref="Y88">_xlfn._xlws.FILTER('[1]ALFABETICO SEM'!$M$1:$M$196, ('[1]ALFABETICO SEM'!$L$1:$L$196 = X$83) * ('[1]ALFABETICO SEM'!$N$1:$N$196 = X88), " - ")</f>
        <v>FRANCISS ROSE</v>
      </c>
      <c r="Z88" s="176"/>
      <c r="AA88" s="176"/>
      <c r="AB88" s="176"/>
      <c r="AC88" s="176"/>
      <c r="AD88" s="176"/>
      <c r="AE88" s="176"/>
      <c r="AF88" s="129">
        <f t="shared" si="55"/>
        <v>45</v>
      </c>
      <c r="AG88" s="128">
        <f t="shared" si="55"/>
        <v>4</v>
      </c>
      <c r="AH88" s="175" t="str">
        <f t="array" ref="AH88">_xlfn._xlws.FILTER('[1]ALFABETICO SEM'!$M$1:$M$196, ('[1]ALFABETICO SEM'!$L$1:$L$196 = AG$83) * ('[1]ALFABETICO SEM'!$N$1:$N$196 = AG88), " - ")</f>
        <v>MAXIMUS FORTUNE</v>
      </c>
      <c r="AI88" s="176"/>
      <c r="AJ88" s="176"/>
      <c r="AK88" s="176"/>
      <c r="AL88" s="176"/>
      <c r="AM88" s="176"/>
      <c r="AN88" s="176"/>
      <c r="AO88" s="129">
        <f t="shared" si="56"/>
        <v>35</v>
      </c>
      <c r="AP88" s="128">
        <f t="shared" si="56"/>
        <v>3</v>
      </c>
      <c r="AQ88" s="175" t="str">
        <f t="array" ref="AQ88">_xlfn._xlws.FILTER('[1]ALFABETICO SEM'!$M$1:$M$196, ('[1]ALFABETICO SEM'!$L$1:$L$196 = AP$83) * ('[1]ALFABETICO SEM'!$N$1:$N$196 = AP88), " - ")</f>
        <v>WAY TOO MUCH</v>
      </c>
      <c r="AR88" s="176"/>
      <c r="AS88" s="176"/>
      <c r="AT88" s="176"/>
      <c r="AU88" s="176"/>
      <c r="AV88" s="176"/>
      <c r="AW88" s="176"/>
      <c r="AX88" s="129">
        <f t="shared" si="57"/>
        <v>30</v>
      </c>
      <c r="AY88" s="128">
        <f t="shared" si="57"/>
        <v>2</v>
      </c>
      <c r="AZ88" s="175" t="str">
        <f t="array" ref="AZ88">_xlfn._xlws.FILTER('[1]ALFABETICO SEM'!$M$1:$M$196, ('[1]ALFABETICO SEM'!$L$1:$L$196 = AY$83) * ('[1]ALFABETICO SEM'!$N$1:$N$196 = AY88), " - ")</f>
        <v>ABUELO</v>
      </c>
      <c r="BA88" s="176"/>
      <c r="BB88" s="176"/>
      <c r="BC88" s="176"/>
      <c r="BD88" s="176"/>
      <c r="BE88" s="176"/>
      <c r="BF88" s="176"/>
      <c r="BG88" s="129">
        <f t="shared" si="58"/>
        <v>11</v>
      </c>
      <c r="BH88" s="128">
        <f t="shared" si="58"/>
        <v>6</v>
      </c>
      <c r="BI88" s="175" t="str">
        <f t="array" ref="BI88">_xlfn._xlws.FILTER('[1]ALFABETICO SEM'!$M$1:$M$196, ('[1]ALFABETICO SEM'!$L$1:$L$196 = BH$83) * ('[1]ALFABETICO SEM'!$N$1:$N$196 = BH88), " - ")</f>
        <v>BUCEFALO</v>
      </c>
      <c r="BJ88" s="176"/>
      <c r="BK88" s="176"/>
      <c r="BL88" s="176"/>
      <c r="BM88" s="176"/>
      <c r="BN88" s="176"/>
      <c r="BO88" s="176"/>
      <c r="BP88" s="141">
        <f t="shared" si="59"/>
        <v>5</v>
      </c>
      <c r="BQ88" s="103"/>
      <c r="BR88" s="103"/>
      <c r="BS88" s="103"/>
      <c r="BT88" s="103"/>
      <c r="BU88" s="103"/>
      <c r="BV88" s="103"/>
      <c r="BW88" s="103"/>
      <c r="BX88" s="103"/>
      <c r="BY88" s="103"/>
      <c r="BZ88" s="103"/>
      <c r="CA88" s="103"/>
      <c r="CB88" s="103"/>
      <c r="CC88" s="103"/>
      <c r="CD88" s="103"/>
      <c r="CE88" s="103"/>
      <c r="CF88" s="103"/>
      <c r="CG88" s="103"/>
      <c r="EH88" s="388"/>
      <c r="EI88" s="388"/>
      <c r="EJ88" s="388"/>
    </row>
    <row r="89" spans="1:140" ht="30" customHeight="1" x14ac:dyDescent="0.4">
      <c r="A89" s="3"/>
      <c r="B89" s="128">
        <f t="shared" si="51"/>
        <v>3</v>
      </c>
      <c r="C89" s="175" t="str">
        <f t="array" ref="C89">_xlfn._xlws.FILTER('[1]ALFABETICO SEM'!$M$1:$M$196, ('[1]ALFABETICO SEM'!$L$1:$L$196 = $B$83) * ('[1]ALFABETICO SEM'!$N$1:$N$196 = B89), " - ")</f>
        <v>CEDSRUNNER</v>
      </c>
      <c r="D89" s="103"/>
      <c r="E89" s="129">
        <f t="shared" si="52"/>
        <v>7</v>
      </c>
      <c r="F89" s="128">
        <f t="shared" si="52"/>
        <v>6</v>
      </c>
      <c r="G89" s="175" t="str">
        <f t="array" ref="G89">_xlfn._xlws.FILTER('[1]ALFABETICO SEM'!$M$1:$M$196, ('[1]ALFABETICO SEM'!$L$1:$L$196 = $F$83) * ('[1]ALFABETICO SEM'!$N$1:$N$196 = F89), " - ")</f>
        <v>IMPETUOSA</v>
      </c>
      <c r="H89" s="176"/>
      <c r="I89" s="176"/>
      <c r="J89" s="176"/>
      <c r="K89" s="176"/>
      <c r="L89" s="176"/>
      <c r="M89" s="176"/>
      <c r="N89" s="129">
        <f t="shared" si="53"/>
        <v>10</v>
      </c>
      <c r="O89" s="128">
        <f t="shared" si="53"/>
        <v>8</v>
      </c>
      <c r="P89" s="175" t="str">
        <f t="array" ref="P89">_xlfn._xlws.FILTER('[1]ALFABETICO SEM'!$M$1:$M$196, ('[1]ALFABETICO SEM'!$L$1:$L$196 = O$83) * ('[1]ALFABETICO SEM'!$N$1:$N$196 = O89), " - ")</f>
        <v>DEEP ATTACK</v>
      </c>
      <c r="Q89" s="176"/>
      <c r="R89" s="176"/>
      <c r="S89" s="176"/>
      <c r="T89" s="176"/>
      <c r="U89" s="176"/>
      <c r="V89" s="176"/>
      <c r="W89" s="129">
        <f t="shared" si="54"/>
        <v>18</v>
      </c>
      <c r="X89" s="128">
        <f t="shared" si="54"/>
        <v>1</v>
      </c>
      <c r="Y89" s="175" t="str">
        <f t="array" ref="Y89">_xlfn._xlws.FILTER('[1]ALFABETICO SEM'!$M$1:$M$196, ('[1]ALFABETICO SEM'!$L$1:$L$196 = X$83) * ('[1]ALFABETICO SEM'!$N$1:$N$196 = X89), " - ")</f>
        <v>RUE DU BAC</v>
      </c>
      <c r="Z89" s="176"/>
      <c r="AA89" s="176"/>
      <c r="AB89" s="176"/>
      <c r="AC89" s="176"/>
      <c r="AD89" s="176"/>
      <c r="AE89" s="176"/>
      <c r="AF89" s="129">
        <f t="shared" si="55"/>
        <v>22</v>
      </c>
      <c r="AG89" s="128">
        <f t="shared" si="55"/>
        <v>5</v>
      </c>
      <c r="AH89" s="175" t="str">
        <f t="array" ref="AH89">_xlfn._xlws.FILTER('[1]ALFABETICO SEM'!$M$1:$M$196, ('[1]ALFABETICO SEM'!$L$1:$L$196 = AG$83) * ('[1]ALFABETICO SEM'!$N$1:$N$196 = AG89), " - ")</f>
        <v>EL GRAN ELADIO</v>
      </c>
      <c r="AI89" s="176"/>
      <c r="AJ89" s="176"/>
      <c r="AK89" s="176"/>
      <c r="AL89" s="176"/>
      <c r="AM89" s="176"/>
      <c r="AN89" s="176"/>
      <c r="AO89" s="129">
        <f t="shared" si="56"/>
        <v>31</v>
      </c>
      <c r="AP89" s="128">
        <f t="shared" si="56"/>
        <v>7</v>
      </c>
      <c r="AQ89" s="175" t="str">
        <f t="array" ref="AQ89">_xlfn._xlws.FILTER('[1]ALFABETICO SEM'!$M$1:$M$196, ('[1]ALFABETICO SEM'!$L$1:$L$196 = AP$83) * ('[1]ALFABETICO SEM'!$N$1:$N$196 = AP89), " - ")</f>
        <v>ALANA</v>
      </c>
      <c r="AR89" s="176"/>
      <c r="AS89" s="176"/>
      <c r="AT89" s="176"/>
      <c r="AU89" s="176"/>
      <c r="AV89" s="176"/>
      <c r="AW89" s="176"/>
      <c r="AX89" s="129">
        <f t="shared" si="57"/>
        <v>22</v>
      </c>
      <c r="AY89" s="128">
        <f t="shared" si="57"/>
        <v>9</v>
      </c>
      <c r="AZ89" s="175">
        <f t="array" ref="AZ89">_xlfn._xlws.FILTER('[1]ALFABETICO SEM'!$M$1:$M$196, ('[1]ALFABETICO SEM'!$L$1:$L$196 = AY$83) * ('[1]ALFABETICO SEM'!$N$1:$N$196 = AY89), " - ")</f>
        <v>0</v>
      </c>
      <c r="BA89" s="176"/>
      <c r="BB89" s="176"/>
      <c r="BC89" s="176"/>
      <c r="BD89" s="176"/>
      <c r="BE89" s="176"/>
      <c r="BF89" s="176"/>
      <c r="BG89" s="129">
        <f t="shared" si="58"/>
        <v>11</v>
      </c>
      <c r="BH89" s="128">
        <f t="shared" si="58"/>
        <v>4</v>
      </c>
      <c r="BI89" s="175" t="str">
        <f t="array" ref="BI89">_xlfn._xlws.FILTER('[1]ALFABETICO SEM'!$M$1:$M$196, ('[1]ALFABETICO SEM'!$L$1:$L$196 = BH$83) * ('[1]ALFABETICO SEM'!$N$1:$N$196 = BH89), " - ")</f>
        <v>KILIMANJARO</v>
      </c>
      <c r="BJ89" s="176"/>
      <c r="BK89" s="176"/>
      <c r="BL89" s="176"/>
      <c r="BM89" s="176"/>
      <c r="BN89" s="176"/>
      <c r="BO89" s="176"/>
      <c r="BP89" s="141">
        <f t="shared" si="59"/>
        <v>5</v>
      </c>
      <c r="BQ89" s="103"/>
      <c r="BR89" s="103"/>
      <c r="BS89" s="103"/>
      <c r="BT89" s="103"/>
      <c r="BU89" s="103"/>
      <c r="BV89" s="103"/>
      <c r="BW89" s="103"/>
      <c r="BX89" s="103"/>
      <c r="BY89" s="103"/>
      <c r="BZ89" s="103"/>
      <c r="CA89" s="103"/>
      <c r="CB89" s="103"/>
      <c r="CC89" s="103"/>
      <c r="CD89" s="103"/>
      <c r="CE89" s="103"/>
      <c r="CF89" s="103"/>
      <c r="CG89" s="103"/>
      <c r="EH89" s="388"/>
      <c r="EI89" s="388"/>
      <c r="EJ89" s="388"/>
    </row>
    <row r="90" spans="1:140" ht="24.75" customHeight="1" x14ac:dyDescent="0.4">
      <c r="A90" s="3"/>
      <c r="B90" s="130">
        <f t="shared" si="51"/>
        <v>5</v>
      </c>
      <c r="C90" s="175" t="str">
        <f t="array" ref="C90">_xlfn._xlws.FILTER('[1]ALFABETICO SEM'!$M$1:$M$196, ('[1]ALFABETICO SEM'!$L$1:$L$196 = $B$83) * ('[1]ALFABETICO SEM'!$N$1:$N$196 = B90), " - ")</f>
        <v>VISION</v>
      </c>
      <c r="D90" s="132"/>
      <c r="E90" s="133">
        <f t="shared" si="52"/>
        <v>3</v>
      </c>
      <c r="F90" s="130">
        <f t="shared" si="52"/>
        <v>10</v>
      </c>
      <c r="G90" s="175" t="str">
        <f t="array" ref="G90">_xlfn._xlws.FILTER('[1]ALFABETICO SEM'!$M$1:$M$196, ('[1]ALFABETICO SEM'!$L$1:$L$196 = $F$83) * ('[1]ALFABETICO SEM'!$N$1:$N$196 = F90), " - ")</f>
        <v>SICARIGUA</v>
      </c>
      <c r="H90" s="134"/>
      <c r="I90" s="134"/>
      <c r="J90" s="134"/>
      <c r="K90" s="134"/>
      <c r="L90" s="134"/>
      <c r="M90" s="134"/>
      <c r="N90" s="133">
        <f t="shared" si="53"/>
        <v>10</v>
      </c>
      <c r="O90" s="130">
        <f t="shared" si="53"/>
        <v>4</v>
      </c>
      <c r="P90" s="175" t="str">
        <f t="array" ref="P90">_xlfn._xlws.FILTER('[1]ALFABETICO SEM'!$M$1:$M$196, ('[1]ALFABETICO SEM'!$L$1:$L$196 = O$83) * ('[1]ALFABETICO SEM'!$N$1:$N$196 = O90), " - ")</f>
        <v>ABU PEPE</v>
      </c>
      <c r="Q90" s="134"/>
      <c r="R90" s="134"/>
      <c r="S90" s="134"/>
      <c r="T90" s="134"/>
      <c r="U90" s="134"/>
      <c r="V90" s="134"/>
      <c r="W90" s="133">
        <f t="shared" si="54"/>
        <v>1</v>
      </c>
      <c r="X90" s="130">
        <f t="shared" si="54"/>
        <v>2</v>
      </c>
      <c r="Y90" s="175" t="str">
        <f t="array" ref="Y90">_xlfn._xlws.FILTER('[1]ALFABETICO SEM'!$M$1:$M$196, ('[1]ALFABETICO SEM'!$L$1:$L$196 = X$83) * ('[1]ALFABETICO SEM'!$N$1:$N$196 = X90), " - ")</f>
        <v>MIA SOPHIA</v>
      </c>
      <c r="Z90" s="134"/>
      <c r="AA90" s="134"/>
      <c r="AB90" s="134"/>
      <c r="AC90" s="134"/>
      <c r="AD90" s="134"/>
      <c r="AE90" s="134"/>
      <c r="AF90" s="133">
        <f t="shared" si="55"/>
        <v>0</v>
      </c>
      <c r="AG90" s="130">
        <f t="shared" si="55"/>
        <v>6</v>
      </c>
      <c r="AH90" s="175" t="str">
        <f t="array" ref="AH90">_xlfn._xlws.FILTER('[1]ALFABETICO SEM'!$M$1:$M$196, ('[1]ALFABETICO SEM'!$L$1:$L$196 = AG$83) * ('[1]ALFABETICO SEM'!$N$1:$N$196 = AG90), " - ")</f>
        <v>TUCO SALAMANCA</v>
      </c>
      <c r="AI90" s="134"/>
      <c r="AJ90" s="134"/>
      <c r="AK90" s="134"/>
      <c r="AL90" s="134"/>
      <c r="AM90" s="134"/>
      <c r="AN90" s="134"/>
      <c r="AO90" s="133">
        <f t="shared" si="56"/>
        <v>1</v>
      </c>
      <c r="AP90" s="128">
        <f t="shared" si="56"/>
        <v>2</v>
      </c>
      <c r="AQ90" s="175" t="str">
        <f t="array" ref="AQ90">_xlfn._xlws.FILTER('[1]ALFABETICO SEM'!$M$1:$M$196, ('[1]ALFABETICO SEM'!$L$1:$L$196 = AP$83) * ('[1]ALFABETICO SEM'!$N$1:$N$196 = AP90), " - ")</f>
        <v>YANKEE LAKE</v>
      </c>
      <c r="AR90" s="134"/>
      <c r="AS90" s="134"/>
      <c r="AT90" s="134"/>
      <c r="AU90" s="134"/>
      <c r="AV90" s="134"/>
      <c r="AW90" s="134"/>
      <c r="AX90" s="129">
        <f t="shared" si="57"/>
        <v>9</v>
      </c>
      <c r="AY90" s="128">
        <f t="shared" si="57"/>
        <v>3</v>
      </c>
      <c r="AZ90" s="175" t="str">
        <f t="array" ref="AZ90">_xlfn._xlws.FILTER('[1]ALFABETICO SEM'!$M$1:$M$196, ('[1]ALFABETICO SEM'!$L$1:$L$196 = AY$83) * ('[1]ALFABETICO SEM'!$N$1:$N$196 = AY90), " - ")</f>
        <v>GRANDIOSSUS</v>
      </c>
      <c r="BA90" s="176"/>
      <c r="BB90" s="176"/>
      <c r="BC90" s="176"/>
      <c r="BD90" s="176"/>
      <c r="BE90" s="176"/>
      <c r="BF90" s="176"/>
      <c r="BG90" s="129">
        <f t="shared" si="58"/>
        <v>11</v>
      </c>
      <c r="BH90" s="128">
        <f t="shared" si="58"/>
        <v>7</v>
      </c>
      <c r="BI90" s="175" t="str">
        <f t="array" ref="BI90">_xlfn._xlws.FILTER('[1]ALFABETICO SEM'!$M$1:$M$196, ('[1]ALFABETICO SEM'!$L$1:$L$196 = BH$83) * ('[1]ALFABETICO SEM'!$N$1:$N$196 = BH90), " - ")</f>
        <v>SIEMPRE</v>
      </c>
      <c r="BJ90" s="176"/>
      <c r="BK90" s="176"/>
      <c r="BL90" s="176"/>
      <c r="BM90" s="176"/>
      <c r="BN90" s="176"/>
      <c r="BO90" s="176"/>
      <c r="BP90" s="141">
        <f t="shared" si="59"/>
        <v>4</v>
      </c>
      <c r="BQ90" s="103"/>
      <c r="BR90" s="103"/>
      <c r="BS90" s="103"/>
      <c r="BT90" s="103"/>
      <c r="BU90" s="103"/>
      <c r="BV90" s="103"/>
      <c r="BW90" s="103"/>
      <c r="BX90" s="103"/>
      <c r="BY90" s="103"/>
      <c r="BZ90" s="103"/>
      <c r="CA90" s="103"/>
      <c r="CB90" s="103"/>
      <c r="CC90" s="103"/>
      <c r="CD90" s="103"/>
      <c r="CE90" s="103"/>
      <c r="CF90" s="103"/>
      <c r="CG90" s="103"/>
      <c r="EH90" s="388"/>
      <c r="EI90" s="388"/>
      <c r="EJ90" s="388"/>
    </row>
    <row r="91" spans="1:140" ht="30" customHeight="1" x14ac:dyDescent="0.4">
      <c r="A91" s="3"/>
      <c r="B91" s="541">
        <f>(B5 + 1)</f>
        <v>8</v>
      </c>
      <c r="C91" s="183"/>
      <c r="D91" s="183"/>
      <c r="E91" s="184"/>
      <c r="F91" s="541">
        <f>(B5+ 2)</f>
        <v>9</v>
      </c>
      <c r="G91" s="183"/>
      <c r="H91" s="183"/>
      <c r="I91" s="183"/>
      <c r="J91" s="183"/>
      <c r="K91" s="183"/>
      <c r="L91" s="183"/>
      <c r="M91" s="183"/>
      <c r="N91" s="184"/>
      <c r="O91" s="541">
        <f>(B5 + 3)</f>
        <v>10</v>
      </c>
      <c r="P91" s="183"/>
      <c r="Q91" s="183"/>
      <c r="R91" s="183"/>
      <c r="S91" s="183"/>
      <c r="T91" s="183"/>
      <c r="U91" s="183"/>
      <c r="V91" s="183"/>
      <c r="W91" s="184"/>
      <c r="X91" s="541">
        <f>(B5 + 4)</f>
        <v>11</v>
      </c>
      <c r="Y91" s="183"/>
      <c r="Z91" s="183"/>
      <c r="AA91" s="183"/>
      <c r="AB91" s="183"/>
      <c r="AC91" s="183"/>
      <c r="AD91" s="183"/>
      <c r="AE91" s="183"/>
      <c r="AF91" s="184"/>
      <c r="AG91" s="541">
        <f>(B5 + 5)</f>
        <v>12</v>
      </c>
      <c r="AH91" s="183"/>
      <c r="AI91" s="183"/>
      <c r="AJ91" s="183"/>
      <c r="AK91" s="183"/>
      <c r="AL91" s="183"/>
      <c r="AM91" s="183"/>
      <c r="AN91" s="183"/>
      <c r="AO91" s="184"/>
      <c r="AP91" s="541">
        <f>(B5 + 6)</f>
        <v>13</v>
      </c>
      <c r="AQ91" s="183"/>
      <c r="AR91" s="183"/>
      <c r="AS91" s="183"/>
      <c r="AT91" s="183"/>
      <c r="AU91" s="183"/>
      <c r="AV91" s="183"/>
      <c r="AW91" s="183"/>
      <c r="AX91" s="184"/>
      <c r="AY91" s="541">
        <f>(B5 + 7)</f>
        <v>14</v>
      </c>
      <c r="AZ91" s="183"/>
      <c r="BA91" s="183"/>
      <c r="BB91" s="183"/>
      <c r="BC91" s="183"/>
      <c r="BD91" s="183"/>
      <c r="BE91" s="183"/>
      <c r="BF91" s="183"/>
      <c r="BG91" s="184"/>
      <c r="BH91" s="541">
        <f>(B5 + 8)</f>
        <v>15</v>
      </c>
      <c r="BI91" s="183"/>
      <c r="BJ91" s="183"/>
      <c r="BK91" s="183"/>
      <c r="BL91" s="183"/>
      <c r="BM91" s="183"/>
      <c r="BN91" s="183"/>
      <c r="BO91" s="183"/>
      <c r="BP91" s="184"/>
      <c r="EH91" s="388"/>
      <c r="EI91" s="388"/>
      <c r="EJ91" s="388"/>
    </row>
    <row r="92" spans="1:140" ht="30" customHeight="1" x14ac:dyDescent="0.35">
      <c r="A92" s="3"/>
      <c r="B92" s="269" t="s">
        <v>280</v>
      </c>
      <c r="C92" s="178" t="s">
        <v>285</v>
      </c>
      <c r="D92" s="178"/>
      <c r="E92" s="135" t="s">
        <v>165</v>
      </c>
      <c r="F92" s="269" t="s">
        <v>280</v>
      </c>
      <c r="G92" s="178" t="s">
        <v>285</v>
      </c>
      <c r="H92" s="178"/>
      <c r="I92" s="178"/>
      <c r="J92" s="178"/>
      <c r="K92" s="178"/>
      <c r="L92" s="178"/>
      <c r="M92" s="178"/>
      <c r="N92" s="135" t="s">
        <v>165</v>
      </c>
      <c r="O92" s="269" t="s">
        <v>280</v>
      </c>
      <c r="P92" s="178" t="s">
        <v>285</v>
      </c>
      <c r="Q92" s="178"/>
      <c r="R92" s="178"/>
      <c r="S92" s="178"/>
      <c r="T92" s="178"/>
      <c r="U92" s="178"/>
      <c r="V92" s="178"/>
      <c r="W92" s="135" t="s">
        <v>165</v>
      </c>
      <c r="X92" s="269" t="s">
        <v>280</v>
      </c>
      <c r="Y92" s="178" t="s">
        <v>285</v>
      </c>
      <c r="Z92" s="178"/>
      <c r="AA92" s="178"/>
      <c r="AB92" s="178"/>
      <c r="AC92" s="178"/>
      <c r="AD92" s="178"/>
      <c r="AE92" s="178"/>
      <c r="AF92" s="135" t="s">
        <v>165</v>
      </c>
      <c r="AG92" s="269" t="s">
        <v>280</v>
      </c>
      <c r="AH92" s="178" t="s">
        <v>285</v>
      </c>
      <c r="AI92" s="178"/>
      <c r="AJ92" s="178"/>
      <c r="AK92" s="178"/>
      <c r="AL92" s="178"/>
      <c r="AM92" s="178"/>
      <c r="AN92" s="178"/>
      <c r="AO92" s="177" t="s">
        <v>165</v>
      </c>
      <c r="AP92" s="269" t="s">
        <v>280</v>
      </c>
      <c r="AQ92" s="178" t="s">
        <v>285</v>
      </c>
      <c r="AR92" s="178"/>
      <c r="AS92" s="178"/>
      <c r="AT92" s="178"/>
      <c r="AU92" s="178"/>
      <c r="AV92" s="178"/>
      <c r="AW92" s="178"/>
      <c r="AX92" s="135" t="s">
        <v>165</v>
      </c>
      <c r="AY92" s="269" t="s">
        <v>280</v>
      </c>
      <c r="AZ92" s="178" t="s">
        <v>285</v>
      </c>
      <c r="BA92" s="178"/>
      <c r="BB92" s="178"/>
      <c r="BC92" s="178"/>
      <c r="BD92" s="178"/>
      <c r="BE92" s="178"/>
      <c r="BF92" s="178"/>
      <c r="BG92" s="135" t="s">
        <v>165</v>
      </c>
      <c r="BH92" s="269" t="s">
        <v>280</v>
      </c>
      <c r="BI92" s="178" t="s">
        <v>285</v>
      </c>
      <c r="BJ92" s="178"/>
      <c r="BK92" s="178"/>
      <c r="BL92" s="178"/>
      <c r="BM92" s="178"/>
      <c r="BN92" s="178"/>
      <c r="BO92" s="178"/>
      <c r="BP92" s="135" t="s">
        <v>165</v>
      </c>
      <c r="EH92" s="388"/>
      <c r="EI92" s="388"/>
      <c r="EJ92" s="388"/>
    </row>
    <row r="93" spans="1:140" ht="24.75" customHeight="1" x14ac:dyDescent="0.4">
      <c r="A93" s="3"/>
      <c r="B93" s="179">
        <f t="array" ref="B93">INDEX(66:66,$B$5* 5 + 5)</f>
        <v>8</v>
      </c>
      <c r="C93" s="431" t="str">
        <f t="array" ref="C93">_xlfn._xlws.FILTER('[1]ALFABETICO SEM'!$M$1:$M$196, ('[1]ALFABETICO SEM'!$L$1:$L$196 = B$91) * ('[1]ALFABETICO SEM'!$N$1:$N$196 = B93), " - ")</f>
        <v>KING NYSOS</v>
      </c>
      <c r="D93" s="180"/>
      <c r="E93" s="180">
        <f t="array" ref="E93">INDEX(66:66,$B$5* 5 + 9)</f>
        <v>114</v>
      </c>
      <c r="F93" s="179">
        <f t="array" ref="F93">INDEX(66:66,$B$5* 5+1 + 9)</f>
        <v>2</v>
      </c>
      <c r="G93" s="431" t="str">
        <f t="array" ref="G93">_xlfn._xlws.FILTER('[1]ALFABETICO SEM'!$M$1:$M$196, ('[1]ALFABETICO SEM'!$L$1:$L$196 = F$91) * ('[1]ALFABETICO SEM'!$N$1:$N$196 = F93), " - ")</f>
        <v>SOY SABANERO</v>
      </c>
      <c r="H93" s="180"/>
      <c r="I93" s="180"/>
      <c r="J93" s="180"/>
      <c r="K93" s="180"/>
      <c r="L93" s="180"/>
      <c r="M93" s="180"/>
      <c r="N93" s="138">
        <f t="array" ref="N93">INDEX(66:66,$B$5* 5 + 14)</f>
        <v>64</v>
      </c>
      <c r="O93" s="179">
        <f t="array" ref="O93">INDEX(66:66,$B$5* 5+1 + 14)</f>
        <v>1</v>
      </c>
      <c r="P93" s="431" t="str">
        <f t="array" ref="P93">_xlfn._xlws.FILTER('[1]ALFABETICO SEM'!$M$1:$M$196, ('[1]ALFABETICO SEM'!$L$1:$L$196 = O$91) * ('[1]ALFABETICO SEM'!$N$1:$N$196 = O93), " - ")</f>
        <v>KING JULIEN</v>
      </c>
      <c r="Q93" s="180"/>
      <c r="R93" s="180"/>
      <c r="S93" s="180"/>
      <c r="T93" s="180"/>
      <c r="U93" s="180"/>
      <c r="V93" s="180"/>
      <c r="W93" s="138">
        <f t="array" ref="W93">INDEX(66:66,$B$5* 5 + 19)</f>
        <v>67</v>
      </c>
      <c r="X93" s="179">
        <f t="array" ref="X93">INDEX(66:66,$B$5* 5+1 + 19)</f>
        <v>7</v>
      </c>
      <c r="Y93" s="431" t="str">
        <f t="array" ref="Y93">_xlfn._xlws.FILTER('[1]ALFABETICO SEM'!$M$1:$M$196, ('[1]ALFABETICO SEM'!$L$1:$L$196 = X$91) * ('[1]ALFABETICO SEM'!$N$1:$N$196 = X93), " - ")</f>
        <v>MOON WHITE</v>
      </c>
      <c r="Z93" s="180"/>
      <c r="AA93" s="180"/>
      <c r="AB93" s="180"/>
      <c r="AC93" s="180"/>
      <c r="AD93" s="180"/>
      <c r="AE93" s="180"/>
      <c r="AF93" s="138">
        <f t="array" ref="AF93">INDEX(66:66,$B$5* 5 + 24)</f>
        <v>107</v>
      </c>
      <c r="AG93" s="179">
        <f t="array" ref="AG93">INDEX(66:66,$B$5* 5+1 + 24)</f>
        <v>6</v>
      </c>
      <c r="AH93" s="431" t="str">
        <f t="array" ref="AH93">_xlfn._xlws.FILTER('[1]ALFABETICO SEM'!$M$1:$M$196, ('[1]ALFABETICO SEM'!$L$1:$L$196 = AG$91) * ('[1]ALFABETICO SEM'!$N$1:$N$196 = AG93), " - ")</f>
        <v>PAN DE AZUCAR</v>
      </c>
      <c r="AI93" s="180"/>
      <c r="AJ93" s="180"/>
      <c r="AK93" s="180"/>
      <c r="AL93" s="180"/>
      <c r="AM93" s="180"/>
      <c r="AN93" s="180"/>
      <c r="AO93" s="138">
        <f t="array" ref="AO93">INDEX(66:66,$B$5* 5 + 29)</f>
        <v>91</v>
      </c>
      <c r="AP93" s="179">
        <f t="array" ref="AP93">INDEX(66:66,$B$5* 5+1 + 29)</f>
        <v>4</v>
      </c>
      <c r="AQ93" s="431" t="str">
        <f t="array" ref="AQ93">_xlfn._xlws.FILTER('[1]ALFABETICO SEM'!$M$1:$M$196, ('[1]ALFABETICO SEM'!$L$1:$L$196 = AP$91) * ('[1]ALFABETICO SEM'!$N$1:$N$196 = AP93), " - ")</f>
        <v>SPICY GUACAMOLE</v>
      </c>
      <c r="AR93" s="180"/>
      <c r="AS93" s="180"/>
      <c r="AT93" s="180"/>
      <c r="AU93" s="180"/>
      <c r="AV93" s="180"/>
      <c r="AW93" s="180"/>
      <c r="AX93" s="138">
        <f t="array" ref="AX93">INDEX(66:66,$B$5* 5 + 34)</f>
        <v>84</v>
      </c>
      <c r="AY93" s="179">
        <f t="array" ref="AY93">INDEX(66:66,$B$5* 5+1 + 34)</f>
        <v>11</v>
      </c>
      <c r="AZ93" s="431" t="str">
        <f t="array" ref="AZ93">_xlfn._xlws.FILTER('[1]ALFABETICO SEM'!$M$1:$M$196, ('[1]ALFABETICO SEM'!$L$1:$L$196 = AY$91) * ('[1]ALFABETICO SEM'!$N$1:$N$196 = AY93), " - ")</f>
        <v>KERRY LADY</v>
      </c>
      <c r="BA93" s="180"/>
      <c r="BB93" s="180"/>
      <c r="BC93" s="180"/>
      <c r="BD93" s="180"/>
      <c r="BE93" s="180"/>
      <c r="BF93" s="180"/>
      <c r="BG93" s="138">
        <f t="array" ref="BG93">INDEX(66:66,B5* 5 + 39)</f>
        <v>60</v>
      </c>
      <c r="BH93" s="430">
        <f t="array" ref="BH93">INDEX(66:66,$B$5* 5+1 + 34)</f>
        <v>11</v>
      </c>
      <c r="BI93" s="431" t="str">
        <f t="array" ref="BI93">_xlfn._xlws.FILTER('[1]ALFABETICO SEM'!$M$1:$M$196, ('[1]ALFABETICO SEM'!$L$1:$L$196 = BH$91) * ('[1]ALFABETICO SEM'!$N$1:$N$196 = BH93), " - ")</f>
        <v xml:space="preserve"> - </v>
      </c>
      <c r="BJ93" s="180"/>
      <c r="BK93" s="180"/>
      <c r="BL93" s="180"/>
      <c r="BM93" s="180"/>
      <c r="BN93" s="180"/>
      <c r="BO93" s="180"/>
      <c r="BP93" s="138">
        <f t="array" ref="BP93">INDEX(66:66,$B$5* 5 + 39)</f>
        <v>60</v>
      </c>
      <c r="EH93" s="388"/>
      <c r="EI93" s="388"/>
      <c r="EJ93" s="388"/>
    </row>
    <row r="94" spans="1:140" ht="27.75" customHeight="1" x14ac:dyDescent="0.4">
      <c r="A94" s="3"/>
      <c r="B94" s="179">
        <f t="array" ref="B94">INDEX(67:67,$B$5* 5 + 5)</f>
        <v>1</v>
      </c>
      <c r="C94" s="432" t="str">
        <f t="array" ref="C94">_xlfn._xlws.FILTER('[1]ALFABETICO SEM'!$M$1:$M$196, ('[1]ALFABETICO SEM'!$L$1:$L$196 = B$91) * ('[1]ALFABETICO SEM'!$N$1:$N$196 = B94), " - ")</f>
        <v>KOSHO</v>
      </c>
      <c r="D94" s="176"/>
      <c r="E94" s="176">
        <f t="array" ref="E94">INDEX(67:67,$B$5* 5 + 9)</f>
        <v>41</v>
      </c>
      <c r="F94" s="179">
        <f t="array" ref="F94">INDEX(67:67,$B$5* 5+1 + 9)</f>
        <v>10</v>
      </c>
      <c r="G94" s="432" t="str">
        <f t="array" ref="G94">_xlfn._xlws.FILTER('[1]ALFABETICO SEM'!$M$1:$M$196, ('[1]ALFABETICO SEM'!$L$1:$L$196 = F$91) * ('[1]ALFABETICO SEM'!$N$1:$N$196 = F94), " - ")</f>
        <v>EL GRAN SECH</v>
      </c>
      <c r="H94" s="176"/>
      <c r="I94" s="176"/>
      <c r="J94" s="176"/>
      <c r="K94" s="176"/>
      <c r="L94" s="176"/>
      <c r="M94" s="176"/>
      <c r="N94" s="129">
        <f t="array" ref="N94">INDEX(67:67,$B$5* 5 + 14)</f>
        <v>51</v>
      </c>
      <c r="O94" s="179">
        <f t="array" ref="O94">INDEX(67:67,$B$5* 5+1 + 14)</f>
        <v>10</v>
      </c>
      <c r="P94" s="432" t="str">
        <f t="array" ref="P94">_xlfn._xlws.FILTER('[1]ALFABETICO SEM'!$M$1:$M$196, ('[1]ALFABETICO SEM'!$L$1:$L$196 = O$91) * ('[1]ALFABETICO SEM'!$N$1:$N$196 = O94), " - ")</f>
        <v>ATHLETIC TIME</v>
      </c>
      <c r="Q94" s="176"/>
      <c r="R94" s="176"/>
      <c r="S94" s="176"/>
      <c r="T94" s="176"/>
      <c r="U94" s="176"/>
      <c r="V94" s="176"/>
      <c r="W94" s="129">
        <f t="array" ref="W94">INDEX(67:67,$B$5* 5 + 19)</f>
        <v>61</v>
      </c>
      <c r="X94" s="179">
        <f t="array" ref="X94">INDEX(67:67,$B$5* 5+1 + 19)</f>
        <v>5</v>
      </c>
      <c r="Y94" s="432" t="str">
        <f t="array" ref="Y94">_xlfn._xlws.FILTER('[1]ALFABETICO SEM'!$M$1:$M$196, ('[1]ALFABETICO SEM'!$L$1:$L$196 = X$91) * ('[1]ALFABETICO SEM'!$N$1:$N$196 = X94), " - ")</f>
        <v>MEHEBLE</v>
      </c>
      <c r="Z94" s="176"/>
      <c r="AA94" s="176"/>
      <c r="AB94" s="176"/>
      <c r="AC94" s="176"/>
      <c r="AD94" s="176"/>
      <c r="AE94" s="176"/>
      <c r="AF94" s="129">
        <f t="array" ref="AF94">INDEX(67:67,$B$5* 5 + 24)</f>
        <v>46</v>
      </c>
      <c r="AG94" s="179">
        <f t="array" ref="AG94">INDEX(67:67,$B$5* 5+1 + 24)</f>
        <v>1</v>
      </c>
      <c r="AH94" s="432" t="str">
        <f t="array" ref="AH94">_xlfn._xlws.FILTER('[1]ALFABETICO SEM'!$M$1:$M$196, ('[1]ALFABETICO SEM'!$L$1:$L$196 = AG$91) * ('[1]ALFABETICO SEM'!$N$1:$N$196 = AG94), " - ")</f>
        <v>INVADER</v>
      </c>
      <c r="AI94" s="176"/>
      <c r="AJ94" s="176"/>
      <c r="AK94" s="176"/>
      <c r="AL94" s="176"/>
      <c r="AM94" s="176"/>
      <c r="AN94" s="176"/>
      <c r="AO94" s="129">
        <f t="array" ref="AO94">INDEX(67:67,$B$5* 5 + 29)</f>
        <v>62</v>
      </c>
      <c r="AP94" s="179">
        <f t="array" ref="AP94">INDEX(67:67,$B$5* 5+1 + 29)</f>
        <v>1</v>
      </c>
      <c r="AQ94" s="432" t="str">
        <f t="array" ref="AQ94">_xlfn._xlws.FILTER('[1]ALFABETICO SEM'!$M$1:$M$196, ('[1]ALFABETICO SEM'!$L$1:$L$196 = AP$91) * ('[1]ALFABETICO SEM'!$N$1:$N$196 = AP94), " - ")</f>
        <v>FURIA</v>
      </c>
      <c r="AR94" s="176"/>
      <c r="AS94" s="176"/>
      <c r="AT94" s="176"/>
      <c r="AU94" s="176"/>
      <c r="AV94" s="176"/>
      <c r="AW94" s="176"/>
      <c r="AX94" s="129">
        <f t="array" ref="AX94">INDEX(67:67,$B$5* 5 + 34)</f>
        <v>52</v>
      </c>
      <c r="AY94" s="179">
        <f t="array" ref="AY94">INDEX(67:67,$B$5* 5+1 + 34)</f>
        <v>5</v>
      </c>
      <c r="AZ94" s="432" t="str">
        <f t="array" ref="AZ94">_xlfn._xlws.FILTER('[1]ALFABETICO SEM'!$M$1:$M$196, ('[1]ALFABETICO SEM'!$L$1:$L$196 = AY$91) * ('[1]ALFABETICO SEM'!$N$1:$N$196 = AY94), " - ")</f>
        <v>MACARENA</v>
      </c>
      <c r="BA94" s="176"/>
      <c r="BB94" s="176"/>
      <c r="BC94" s="176"/>
      <c r="BD94" s="176"/>
      <c r="BE94" s="176"/>
      <c r="BF94" s="176"/>
      <c r="BG94" s="129">
        <f t="array" ref="BG94">INDEX(67:67,B6* 5 + 39)</f>
        <v>61</v>
      </c>
      <c r="BH94" s="430">
        <f t="array" ref="BH94">INDEX(67:67,$B$5* 5+1 + 34)</f>
        <v>5</v>
      </c>
      <c r="BI94" s="432" t="str">
        <f t="array" ref="BI94">_xlfn._xlws.FILTER('[1]ALFABETICO SEM'!$M$1:$M$196, ('[1]ALFABETICO SEM'!$L$1:$L$196 = BH$91) * ('[1]ALFABETICO SEM'!$N$1:$N$196 = BH94), " - ")</f>
        <v xml:space="preserve"> - </v>
      </c>
      <c r="BJ94" s="176"/>
      <c r="BK94" s="176"/>
      <c r="BL94" s="176"/>
      <c r="BM94" s="176"/>
      <c r="BN94" s="176"/>
      <c r="BO94" s="176"/>
      <c r="BP94" s="129">
        <f t="array" ref="BP94">INDEX(67:67,$B$5* 5 + 39)</f>
        <v>51</v>
      </c>
      <c r="EH94" s="388"/>
      <c r="EI94" s="388"/>
      <c r="EJ94" s="388"/>
    </row>
    <row r="95" spans="1:140" ht="27.75" customHeight="1" x14ac:dyDescent="0.4">
      <c r="A95" s="3"/>
      <c r="B95" s="179">
        <f t="array" ref="B95">INDEX(68:68,$B$5* 5 + 5)</f>
        <v>2</v>
      </c>
      <c r="C95" s="432" t="str">
        <f t="array" ref="C95">_xlfn._xlws.FILTER('[1]ALFABETICO SEM'!$M$1:$M$196, ('[1]ALFABETICO SEM'!$L$1:$L$196 = B$91) * ('[1]ALFABETICO SEM'!$N$1:$N$196 = B95), " - ")</f>
        <v>BIG SENSATION</v>
      </c>
      <c r="D95" s="176"/>
      <c r="E95" s="176">
        <f t="array" ref="E95">INDEX(68:68,$B$5* 5 + 9)</f>
        <v>16</v>
      </c>
      <c r="F95" s="179">
        <f t="array" ref="F95">INDEX(68:68,$B$5* 5+1 + 9)</f>
        <v>1</v>
      </c>
      <c r="G95" s="432" t="str">
        <f t="array" ref="G95">_xlfn._xlws.FILTER('[1]ALFABETICO SEM'!$M$1:$M$196, ('[1]ALFABETICO SEM'!$L$1:$L$196 = F$91) * ('[1]ALFABETICO SEM'!$N$1:$N$196 = F95), " - ")</f>
        <v>EL GRAN CAMPEON</v>
      </c>
      <c r="H95" s="176"/>
      <c r="I95" s="176"/>
      <c r="J95" s="176"/>
      <c r="K95" s="176"/>
      <c r="L95" s="176"/>
      <c r="M95" s="176"/>
      <c r="N95" s="129">
        <f t="array" ref="N95">INDEX(68:68,$B$5* 5 + 14)</f>
        <v>44</v>
      </c>
      <c r="O95" s="179">
        <f t="array" ref="O95">INDEX(68:68,$B$5* 5+1 + 14)</f>
        <v>6</v>
      </c>
      <c r="P95" s="432" t="str">
        <f t="array" ref="P95">_xlfn._xlws.FILTER('[1]ALFABETICO SEM'!$M$1:$M$196, ('[1]ALFABETICO SEM'!$L$1:$L$196 = O$91) * ('[1]ALFABETICO SEM'!$N$1:$N$196 = O95), " - ")</f>
        <v>MAPLE GROVE</v>
      </c>
      <c r="Q95" s="176"/>
      <c r="R95" s="176"/>
      <c r="S95" s="176"/>
      <c r="T95" s="176"/>
      <c r="U95" s="176"/>
      <c r="V95" s="176"/>
      <c r="W95" s="129">
        <f t="array" ref="W95">INDEX(68:68,$B$5* 5 + 19)</f>
        <v>42</v>
      </c>
      <c r="X95" s="179">
        <f t="array" ref="X95">INDEX(68:68,$B$5* 5+1 + 19)</f>
        <v>6</v>
      </c>
      <c r="Y95" s="432" t="str">
        <f t="array" ref="Y95">_xlfn._xlws.FILTER('[1]ALFABETICO SEM'!$M$1:$M$196, ('[1]ALFABETICO SEM'!$L$1:$L$196 = X$91) * ('[1]ALFABETICO SEM'!$N$1:$N$196 = X95), " - ")</f>
        <v>BELLA VIDA</v>
      </c>
      <c r="Z95" s="176"/>
      <c r="AA95" s="176"/>
      <c r="AB95" s="176"/>
      <c r="AC95" s="176"/>
      <c r="AD95" s="176"/>
      <c r="AE95" s="176"/>
      <c r="AF95" s="129">
        <f t="array" ref="AF95">INDEX(68:68,$B$5* 5 + 24)</f>
        <v>24</v>
      </c>
      <c r="AG95" s="179">
        <f t="array" ref="AG95">INDEX(68:68,$B$5* 5+1 + 24)</f>
        <v>2</v>
      </c>
      <c r="AH95" s="432" t="str">
        <f t="array" ref="AH95">_xlfn._xlws.FILTER('[1]ALFABETICO SEM'!$M$1:$M$196, ('[1]ALFABETICO SEM'!$L$1:$L$196 = AG$91) * ('[1]ALFABETICO SEM'!$N$1:$N$196 = AG95), " - ")</f>
        <v>MUFASA</v>
      </c>
      <c r="AI95" s="176"/>
      <c r="AJ95" s="176"/>
      <c r="AK95" s="176"/>
      <c r="AL95" s="176"/>
      <c r="AM95" s="176"/>
      <c r="AN95" s="176"/>
      <c r="AO95" s="129">
        <f t="array" ref="AO95">INDEX(68:68,$B$5* 5 + 29)</f>
        <v>50</v>
      </c>
      <c r="AP95" s="179">
        <f t="array" ref="AP95">INDEX(68:68,$B$5* 5+1 + 29)</f>
        <v>9</v>
      </c>
      <c r="AQ95" s="432" t="str">
        <f t="array" ref="AQ95">_xlfn._xlws.FILTER('[1]ALFABETICO SEM'!$M$1:$M$196, ('[1]ALFABETICO SEM'!$L$1:$L$196 = AP$91) * ('[1]ALFABETICO SEM'!$N$1:$N$196 = AP95), " - ")</f>
        <v>ETERNA AMANDA</v>
      </c>
      <c r="AR95" s="176"/>
      <c r="AS95" s="176"/>
      <c r="AT95" s="176"/>
      <c r="AU95" s="176"/>
      <c r="AV95" s="176"/>
      <c r="AW95" s="176"/>
      <c r="AX95" s="129">
        <f t="array" ref="AX95">INDEX(68:68,$B$5* 5 + 34)</f>
        <v>48</v>
      </c>
      <c r="AY95" s="179">
        <f t="array" ref="AY95">INDEX(68:68,$B$5* 5+1 + 34)</f>
        <v>1</v>
      </c>
      <c r="AZ95" s="432" t="str">
        <f t="array" ref="AZ95">_xlfn._xlws.FILTER('[1]ALFABETICO SEM'!$M$1:$M$196, ('[1]ALFABETICO SEM'!$L$1:$L$196 = AY$91) * ('[1]ALFABETICO SEM'!$N$1:$N$196 = AY95), " - ")</f>
        <v>GRAN CUMANESA</v>
      </c>
      <c r="BA95" s="176"/>
      <c r="BB95" s="176"/>
      <c r="BC95" s="176"/>
      <c r="BD95" s="176"/>
      <c r="BE95" s="176"/>
      <c r="BF95" s="176"/>
      <c r="BG95" s="129">
        <f t="array" ref="BG95">INDEX(68:68,B7* 5 + 39)</f>
        <v>17</v>
      </c>
      <c r="BH95" s="430">
        <f t="array" ref="BH95">INDEX(68:68,$B$5* 5+1 + 34)</f>
        <v>1</v>
      </c>
      <c r="BI95" s="432" t="str">
        <f t="array" ref="BI95">_xlfn._xlws.FILTER('[1]ALFABETICO SEM'!$M$1:$M$196, ('[1]ALFABETICO SEM'!$L$1:$L$196 = BH$91) * ('[1]ALFABETICO SEM'!$N$1:$N$196 = BH95), " - ")</f>
        <v xml:space="preserve"> - </v>
      </c>
      <c r="BJ95" s="176"/>
      <c r="BK95" s="176"/>
      <c r="BL95" s="176"/>
      <c r="BM95" s="176"/>
      <c r="BN95" s="176"/>
      <c r="BO95" s="176"/>
      <c r="BP95" s="129">
        <f t="array" ref="BP95">INDEX(68:68,$B$5* 5 + 39)</f>
        <v>48</v>
      </c>
      <c r="EH95" s="388"/>
      <c r="EI95" s="388"/>
      <c r="EJ95" s="388"/>
    </row>
    <row r="96" spans="1:140" ht="27.75" customHeight="1" x14ac:dyDescent="0.4">
      <c r="A96" s="3"/>
      <c r="B96" s="179">
        <f t="array" ref="B96">INDEX(69:69,$B$5* 5 + 5)</f>
        <v>6</v>
      </c>
      <c r="C96" s="432" t="str">
        <f t="array" ref="C96">_xlfn._xlws.FILTER('[1]ALFABETICO SEM'!$M$1:$M$196, ('[1]ALFABETICO SEM'!$L$1:$L$196 = B$91) * ('[1]ALFABETICO SEM'!$N$1:$N$196 = B96), " - ")</f>
        <v>BUCEFALO</v>
      </c>
      <c r="D96" s="176"/>
      <c r="E96" s="176">
        <f t="array" ref="E96">INDEX(69:69,$B$5* 5 + 9)</f>
        <v>5</v>
      </c>
      <c r="F96" s="179">
        <f t="array" ref="F96">INDEX(69:69,$B$5* 5+1 + 9)</f>
        <v>9</v>
      </c>
      <c r="G96" s="432" t="str">
        <f t="array" ref="G96">_xlfn._xlws.FILTER('[1]ALFABETICO SEM'!$M$1:$M$196, ('[1]ALFABETICO SEM'!$L$1:$L$196 = F$91) * ('[1]ALFABETICO SEM'!$N$1:$N$196 = F96), " - ")</f>
        <v>BLACK ANTHONY</v>
      </c>
      <c r="H96" s="176"/>
      <c r="I96" s="176"/>
      <c r="J96" s="176"/>
      <c r="K96" s="176"/>
      <c r="L96" s="176"/>
      <c r="M96" s="176"/>
      <c r="N96" s="129">
        <f t="array" ref="N96">INDEX(69:69,$B$5* 5 + 14)</f>
        <v>18</v>
      </c>
      <c r="O96" s="179">
        <f t="array" ref="O96">INDEX(69:69,$B$5* 5+1 + 14)</f>
        <v>2</v>
      </c>
      <c r="P96" s="432" t="str">
        <f t="array" ref="P96">_xlfn._xlws.FILTER('[1]ALFABETICO SEM'!$M$1:$M$196, ('[1]ALFABETICO SEM'!$L$1:$L$196 = O$91) * ('[1]ALFABETICO SEM'!$N$1:$N$196 = O96), " - ")</f>
        <v>NEIGH SAYER</v>
      </c>
      <c r="Q96" s="176"/>
      <c r="R96" s="176"/>
      <c r="S96" s="176"/>
      <c r="T96" s="176"/>
      <c r="U96" s="176"/>
      <c r="V96" s="176"/>
      <c r="W96" s="129">
        <f t="array" ref="W96">INDEX(69:69,$B$5* 5 + 19)</f>
        <v>34</v>
      </c>
      <c r="X96" s="179">
        <f t="array" ref="X96">INDEX(69:69,$B$5* 5+1 + 19)</f>
        <v>3</v>
      </c>
      <c r="Y96" s="432" t="str">
        <f t="array" ref="Y96">_xlfn._xlws.FILTER('[1]ALFABETICO SEM'!$M$1:$M$196, ('[1]ALFABETICO SEM'!$L$1:$L$196 = X$91) * ('[1]ALFABETICO SEM'!$N$1:$N$196 = X96), " - ")</f>
        <v>RYBAKINA</v>
      </c>
      <c r="Z96" s="176"/>
      <c r="AA96" s="176"/>
      <c r="AB96" s="176"/>
      <c r="AC96" s="176"/>
      <c r="AD96" s="176"/>
      <c r="AE96" s="176"/>
      <c r="AF96" s="129">
        <f t="array" ref="AF96">INDEX(69:69,$B$5* 5 + 24)</f>
        <v>23</v>
      </c>
      <c r="AG96" s="179">
        <f t="array" ref="AG96">INDEX(69:69,$B$5* 5+1 + 24)</f>
        <v>5</v>
      </c>
      <c r="AH96" s="432" t="str">
        <f t="array" ref="AH96">_xlfn._xlws.FILTER('[1]ALFABETICO SEM'!$M$1:$M$196, ('[1]ALFABETICO SEM'!$L$1:$L$196 = AG$91) * ('[1]ALFABETICO SEM'!$N$1:$N$196 = AG96), " - ")</f>
        <v>THE FIELDHER JR.</v>
      </c>
      <c r="AI96" s="176"/>
      <c r="AJ96" s="176"/>
      <c r="AK96" s="176"/>
      <c r="AL96" s="176"/>
      <c r="AM96" s="176"/>
      <c r="AN96" s="176"/>
      <c r="AO96" s="129">
        <f t="array" ref="AO96">INDEX(69:69,$B$5* 5 + 29)</f>
        <v>9</v>
      </c>
      <c r="AP96" s="179">
        <f t="array" ref="AP96">INDEX(69:69,$B$5* 5+1 + 29)</f>
        <v>3</v>
      </c>
      <c r="AQ96" s="432" t="str">
        <f t="array" ref="AQ96">_xlfn._xlws.FILTER('[1]ALFABETICO SEM'!$M$1:$M$196, ('[1]ALFABETICO SEM'!$L$1:$L$196 = AP$91) * ('[1]ALFABETICO SEM'!$N$1:$N$196 = AP96), " - ")</f>
        <v>EMPLOYEEOFTHEMONTH</v>
      </c>
      <c r="AR96" s="176"/>
      <c r="AS96" s="176"/>
      <c r="AT96" s="176"/>
      <c r="AU96" s="176"/>
      <c r="AV96" s="176"/>
      <c r="AW96" s="176"/>
      <c r="AX96" s="129">
        <f t="array" ref="AX96">INDEX(69:69,$B$5* 5 + 34)</f>
        <v>30</v>
      </c>
      <c r="AY96" s="179">
        <f t="array" ref="AY96">INDEX(69:69,$B$5* 5+1 + 34)</f>
        <v>2</v>
      </c>
      <c r="AZ96" s="432" t="str">
        <f t="array" ref="AZ96">_xlfn._xlws.FILTER('[1]ALFABETICO SEM'!$M$1:$M$196, ('[1]ALFABETICO SEM'!$L$1:$L$196 = AY$91) * ('[1]ALFABETICO SEM'!$N$1:$N$196 = AY96), " - ")</f>
        <v>SPRING CLEAN</v>
      </c>
      <c r="BA96" s="176"/>
      <c r="BB96" s="176"/>
      <c r="BC96" s="176"/>
      <c r="BD96" s="176"/>
      <c r="BE96" s="176"/>
      <c r="BF96" s="176"/>
      <c r="BG96" s="129">
        <f t="array" ref="BG96">INDEX(69:69,B8* 5 + 39)</f>
        <v>5</v>
      </c>
      <c r="BH96" s="430">
        <f t="array" ref="BH96">INDEX(69:69,$B$5* 5+1 + 34)</f>
        <v>2</v>
      </c>
      <c r="BI96" s="432" t="str">
        <f t="array" ref="BI96">_xlfn._xlws.FILTER('[1]ALFABETICO SEM'!$M$1:$M$196, ('[1]ALFABETICO SEM'!$L$1:$L$196 = BH$91) * ('[1]ALFABETICO SEM'!$N$1:$N$196 = BH96), " - ")</f>
        <v xml:space="preserve"> - </v>
      </c>
      <c r="BJ96" s="176"/>
      <c r="BK96" s="176"/>
      <c r="BL96" s="176"/>
      <c r="BM96" s="176"/>
      <c r="BN96" s="176"/>
      <c r="BO96" s="176"/>
      <c r="BP96" s="129">
        <f t="array" ref="BP96">INDEX(69:69,$B$5* 5 + 39)</f>
        <v>42</v>
      </c>
      <c r="EH96" s="388"/>
      <c r="EI96" s="388"/>
      <c r="EJ96" s="388"/>
    </row>
    <row r="97" spans="1:140" ht="27.75" customHeight="1" x14ac:dyDescent="0.4">
      <c r="A97" s="3"/>
      <c r="B97" s="179">
        <f t="array" ref="B97">INDEX(70:70,$B$5* 5 + 5)</f>
        <v>4</v>
      </c>
      <c r="C97" s="432" t="str">
        <f t="array" ref="C97">_xlfn._xlws.FILTER('[1]ALFABETICO SEM'!$M$1:$M$196, ('[1]ALFABETICO SEM'!$L$1:$L$196 = B$91) * ('[1]ALFABETICO SEM'!$N$1:$N$196 = B97), " - ")</f>
        <v>KILIMANJARO</v>
      </c>
      <c r="D97" s="176"/>
      <c r="E97" s="176">
        <f t="array" ref="E97">INDEX(70:70,$B$5* 5 + 9)</f>
        <v>5</v>
      </c>
      <c r="F97" s="179">
        <f t="array" ref="F97">INDEX(70:70,$B$5* 5+1 + 9)</f>
        <v>11</v>
      </c>
      <c r="G97" s="432" t="str">
        <f t="array" ref="G97">_xlfn._xlws.FILTER('[1]ALFABETICO SEM'!$M$1:$M$196, ('[1]ALFABETICO SEM'!$L$1:$L$196 = F$91) * ('[1]ALFABETICO SEM'!$N$1:$N$196 = F97), " - ")</f>
        <v>LOUIS THE DUKE</v>
      </c>
      <c r="H97" s="176"/>
      <c r="I97" s="176"/>
      <c r="J97" s="176"/>
      <c r="K97" s="176"/>
      <c r="L97" s="176"/>
      <c r="M97" s="176"/>
      <c r="N97" s="129">
        <f t="array" ref="N97">INDEX(70:70,$B$5* 5 + 14)</f>
        <v>17</v>
      </c>
      <c r="O97" s="179">
        <f t="array" ref="O97">INDEX(70:70,$B$5* 5+1 + 14)</f>
        <v>5</v>
      </c>
      <c r="P97" s="432" t="str">
        <f t="array" ref="P97">_xlfn._xlws.FILTER('[1]ALFABETICO SEM'!$M$1:$M$196, ('[1]ALFABETICO SEM'!$L$1:$L$196 = O$91) * ('[1]ALFABETICO SEM'!$N$1:$N$196 = O97), " - ")</f>
        <v>LUMIERE</v>
      </c>
      <c r="Q97" s="176"/>
      <c r="R97" s="176"/>
      <c r="S97" s="176"/>
      <c r="T97" s="176"/>
      <c r="U97" s="176"/>
      <c r="V97" s="176"/>
      <c r="W97" s="129">
        <f t="array" ref="W97">INDEX(70:70,$B$5* 5 + 19)</f>
        <v>9</v>
      </c>
      <c r="X97" s="179">
        <f t="array" ref="X97">INDEX(70:70,$B$5* 5+1 + 19)</f>
        <v>2</v>
      </c>
      <c r="Y97" s="432" t="str">
        <f t="array" ref="Y97">_xlfn._xlws.FILTER('[1]ALFABETICO SEM'!$M$1:$M$196, ('[1]ALFABETICO SEM'!$L$1:$L$196 = X$91) * ('[1]ALFABETICO SEM'!$N$1:$N$196 = X97), " - ")</f>
        <v>NONNA YACHINTA</v>
      </c>
      <c r="Z97" s="176"/>
      <c r="AA97" s="176"/>
      <c r="AB97" s="176"/>
      <c r="AC97" s="176"/>
      <c r="AD97" s="176"/>
      <c r="AE97" s="176"/>
      <c r="AF97" s="129">
        <f t="array" ref="AF97">INDEX(70:70,$B$5* 5 + 24)</f>
        <v>17</v>
      </c>
      <c r="AG97" s="179">
        <f t="array" ref="AG97">INDEX(70:70,$B$5* 5+1 + 24)</f>
        <v>8</v>
      </c>
      <c r="AH97" s="432" t="str">
        <f t="array" ref="AH97">_xlfn._xlws.FILTER('[1]ALFABETICO SEM'!$M$1:$M$196, ('[1]ALFABETICO SEM'!$L$1:$L$196 = AG$91) * ('[1]ALFABETICO SEM'!$N$1:$N$196 = AG97), " - ")</f>
        <v>TORO SALVAJE</v>
      </c>
      <c r="AI97" s="176"/>
      <c r="AJ97" s="176"/>
      <c r="AK97" s="176"/>
      <c r="AL97" s="176"/>
      <c r="AM97" s="176"/>
      <c r="AN97" s="176"/>
      <c r="AO97" s="129">
        <f t="array" ref="AO97">INDEX(70:70,$B$5* 5 + 29)</f>
        <v>6</v>
      </c>
      <c r="AP97" s="179">
        <f t="array" ref="AP97">INDEX(70:70,$B$5* 5+1 + 29)</f>
        <v>5</v>
      </c>
      <c r="AQ97" s="432" t="str">
        <f t="array" ref="AQ97">_xlfn._xlws.FILTER('[1]ALFABETICO SEM'!$M$1:$M$196, ('[1]ALFABETICO SEM'!$L$1:$L$196 = AP$91) * ('[1]ALFABETICO SEM'!$N$1:$N$196 = AP97), " - ")</f>
        <v>CHIQUINQUIREÑA</v>
      </c>
      <c r="AR97" s="176"/>
      <c r="AS97" s="176"/>
      <c r="AT97" s="176"/>
      <c r="AU97" s="176"/>
      <c r="AV97" s="176"/>
      <c r="AW97" s="176"/>
      <c r="AX97" s="129">
        <f t="array" ref="AX97">INDEX(70:70,$B$5* 5 + 34)</f>
        <v>8</v>
      </c>
      <c r="AY97" s="179">
        <f t="array" ref="AY97">INDEX(70:70,$B$5* 5+1 + 34)</f>
        <v>9</v>
      </c>
      <c r="AZ97" s="432" t="str">
        <f t="array" ref="AZ97">_xlfn._xlws.FILTER('[1]ALFABETICO SEM'!$M$1:$M$196, ('[1]ALFABETICO SEM'!$L$1:$L$196 = AY$91) * ('[1]ALFABETICO SEM'!$N$1:$N$196 = AY97), " - ")</f>
        <v>BARBARA GUADALUPE</v>
      </c>
      <c r="BA97" s="176"/>
      <c r="BB97" s="176"/>
      <c r="BC97" s="176"/>
      <c r="BD97" s="176"/>
      <c r="BE97" s="176"/>
      <c r="BF97" s="176"/>
      <c r="BG97" s="129">
        <f t="array" ref="BG97">INDEX(70:70,B9* 5 + 39)</f>
        <v>17</v>
      </c>
      <c r="BH97" s="430">
        <f t="array" ref="BH97">INDEX(70:70,$B$5* 5+1 + 34)</f>
        <v>9</v>
      </c>
      <c r="BI97" s="432" t="str">
        <f t="array" ref="BI97">_xlfn._xlws.FILTER('[1]ALFABETICO SEM'!$M$1:$M$196, ('[1]ALFABETICO SEM'!$L$1:$L$196 = BH$91) * ('[1]ALFABETICO SEM'!$N$1:$N$196 = BH97), " - ")</f>
        <v xml:space="preserve"> - </v>
      </c>
      <c r="BJ97" s="176"/>
      <c r="BK97" s="176"/>
      <c r="BL97" s="176"/>
      <c r="BM97" s="176"/>
      <c r="BN97" s="176"/>
      <c r="BO97" s="176"/>
      <c r="BP97" s="129">
        <f t="array" ref="BP97">INDEX(70:70,$B$5* 5 + 39)</f>
        <v>16</v>
      </c>
      <c r="EH97" s="388"/>
      <c r="EI97" s="388"/>
      <c r="EJ97" s="388"/>
    </row>
    <row r="98" spans="1:140" ht="27.75" customHeight="1" x14ac:dyDescent="0.4">
      <c r="A98" s="1"/>
      <c r="B98" s="139">
        <f t="array" ref="B98">INDEX(71:71,$B$5* 5 + 5)</f>
        <v>7</v>
      </c>
      <c r="C98" s="433" t="str">
        <f t="array" ref="C98">_xlfn._xlws.FILTER('[1]ALFABETICO SEM'!$M$1:$M$196, ('[1]ALFABETICO SEM'!$L$1:$L$196 = B$91) * ('[1]ALFABETICO SEM'!$N$1:$N$196 = B98), " - ")</f>
        <v>SIEMPRE</v>
      </c>
      <c r="D98" s="134"/>
      <c r="E98" s="134">
        <f t="array" ref="E98">INDEX(71:71,$B$5* 5 + 9)</f>
        <v>4</v>
      </c>
      <c r="F98" s="139">
        <f t="array" ref="F98">INDEX(71:71,$B$5* 5+1 + 9)</f>
        <v>5</v>
      </c>
      <c r="G98" s="433" t="str">
        <f t="array" ref="G98">_xlfn._xlws.FILTER('[1]ALFABETICO SEM'!$M$1:$M$196, ('[1]ALFABETICO SEM'!$L$1:$L$196 = F$91) * ('[1]ALFABETICO SEM'!$N$1:$N$196 = F98), " - ")</f>
        <v>COMING HOME</v>
      </c>
      <c r="H98" s="134"/>
      <c r="I98" s="134"/>
      <c r="J98" s="134"/>
      <c r="K98" s="134"/>
      <c r="L98" s="134"/>
      <c r="M98" s="134"/>
      <c r="N98" s="133">
        <f t="array" ref="N98">INDEX(71:71,$B$5* 5 + 14)</f>
        <v>15</v>
      </c>
      <c r="O98" s="139">
        <f t="array" ref="O98">INDEX(71:71,$B$5* 5+1 + 14)</f>
        <v>7</v>
      </c>
      <c r="P98" s="433" t="str">
        <f t="array" ref="P98">_xlfn._xlws.FILTER('[1]ALFABETICO SEM'!$M$1:$M$196, ('[1]ALFABETICO SEM'!$L$1:$L$196 = O$91) * ('[1]ALFABETICO SEM'!$N$1:$N$196 = O98), " - ")</f>
        <v>EL GRAN BARLOVENTO</v>
      </c>
      <c r="Q98" s="134"/>
      <c r="R98" s="134"/>
      <c r="S98" s="134"/>
      <c r="T98" s="134"/>
      <c r="U98" s="134"/>
      <c r="V98" s="134"/>
      <c r="W98" s="133">
        <f t="array" ref="W98">INDEX(71:71,$B$5* 5 + 19)</f>
        <v>6</v>
      </c>
      <c r="X98" s="139">
        <f t="array" ref="X98">INDEX(71:71,$B$5* 5+1 + 19)</f>
        <v>4</v>
      </c>
      <c r="Y98" s="433" t="str">
        <f t="array" ref="Y98">_xlfn._xlws.FILTER('[1]ALFABETICO SEM'!$M$1:$M$196, ('[1]ALFABETICO SEM'!$L$1:$L$196 = X$91) * ('[1]ALFABETICO SEM'!$N$1:$N$196 = X98), " - ")</f>
        <v>AURA ROMANA</v>
      </c>
      <c r="Z98" s="134"/>
      <c r="AA98" s="134"/>
      <c r="AB98" s="134"/>
      <c r="AC98" s="134"/>
      <c r="AD98" s="134"/>
      <c r="AE98" s="134"/>
      <c r="AF98" s="133">
        <f t="array" ref="AF98">INDEX(71:71,$B$5* 5 + 24)</f>
        <v>8</v>
      </c>
      <c r="AG98" s="139">
        <f t="array" ref="AG98">INDEX(71:71,$B$5* 5+1 + 24)</f>
        <v>4</v>
      </c>
      <c r="AH98" s="433" t="str">
        <f t="array" ref="AH98">_xlfn._xlws.FILTER('[1]ALFABETICO SEM'!$M$1:$M$196, ('[1]ALFABETICO SEM'!$L$1:$L$196 = AG$91) * ('[1]ALFABETICO SEM'!$N$1:$N$196 = AG98), " - ")</f>
        <v>FIRST TIME</v>
      </c>
      <c r="AI98" s="134"/>
      <c r="AJ98" s="134"/>
      <c r="AK98" s="134"/>
      <c r="AL98" s="134"/>
      <c r="AM98" s="134"/>
      <c r="AN98" s="134"/>
      <c r="AO98" s="133">
        <f t="array" ref="AO98">INDEX(71:71,$B$5* 5 + 29)</f>
        <v>4</v>
      </c>
      <c r="AP98" s="139">
        <f t="array" ref="AP98">INDEX(71:71,$B$5* 5+1 + 29)</f>
        <v>2</v>
      </c>
      <c r="AQ98" s="433" t="str">
        <f t="array" ref="AQ98">_xlfn._xlws.FILTER('[1]ALFABETICO SEM'!$M$1:$M$196, ('[1]ALFABETICO SEM'!$L$1:$L$196 = AP$91) * ('[1]ALFABETICO SEM'!$N$1:$N$196 = AP98), " - ")</f>
        <v>POTENCIADA</v>
      </c>
      <c r="AR98" s="134"/>
      <c r="AS98" s="134"/>
      <c r="AT98" s="134"/>
      <c r="AU98" s="134"/>
      <c r="AV98" s="134"/>
      <c r="AW98" s="134"/>
      <c r="AX98" s="133">
        <f t="array" ref="AX98">INDEX(71:71,$B$5* 5 + 34)</f>
        <v>1</v>
      </c>
      <c r="AY98" s="139">
        <f t="array" ref="AY98">INDEX(71:71,$B$5* 5+1 + 34)</f>
        <v>7</v>
      </c>
      <c r="AZ98" s="433" t="str">
        <f t="array" ref="AZ98">_xlfn._xlws.FILTER('[1]ALFABETICO SEM'!$M$1:$M$196, ('[1]ALFABETICO SEM'!$L$1:$L$196 = AY$91) * ('[1]ALFABETICO SEM'!$N$1:$N$196 = AY98), " - ")</f>
        <v>ABUSIVA</v>
      </c>
      <c r="BA98" s="134"/>
      <c r="BB98" s="134"/>
      <c r="BC98" s="134"/>
      <c r="BD98" s="134"/>
      <c r="BE98" s="134"/>
      <c r="BF98" s="134"/>
      <c r="BG98" s="133">
        <f t="array" ref="BG98">INDEX(71:71,B10* 5 + 39)</f>
        <v>6</v>
      </c>
      <c r="BH98" s="363">
        <f t="array" ref="BH98">INDEX(71:71,$B$5* 5+1 + 34)</f>
        <v>7</v>
      </c>
      <c r="BI98" s="433" t="str">
        <f t="array" ref="BI98">_xlfn._xlws.FILTER('[1]ALFABETICO SEM'!$M$1:$M$196, ('[1]ALFABETICO SEM'!$L$1:$L$196 = BH$91) * ('[1]ALFABETICO SEM'!$N$1:$N$196 = BH98), " - ")</f>
        <v xml:space="preserve"> - </v>
      </c>
      <c r="BJ98" s="134"/>
      <c r="BK98" s="134"/>
      <c r="BL98" s="134"/>
      <c r="BM98" s="134"/>
      <c r="BN98" s="134"/>
      <c r="BO98" s="134"/>
      <c r="BP98" s="133">
        <f t="array" ref="BP98">INDEX(71:71,$B$5* 5 + 39)</f>
        <v>4</v>
      </c>
      <c r="EH98" s="388"/>
      <c r="EI98" s="388"/>
      <c r="EJ98" s="388"/>
    </row>
    <row r="99" spans="1:140" ht="27.75" customHeight="1" x14ac:dyDescent="0.35">
      <c r="A99" s="1"/>
      <c r="EH99" s="388"/>
      <c r="EI99" s="388"/>
      <c r="EJ99" s="388"/>
    </row>
    <row r="100" spans="1:140" ht="30" customHeight="1" x14ac:dyDescent="0.35">
      <c r="EH100" s="388"/>
      <c r="EI100" s="388"/>
      <c r="EJ100" s="388"/>
    </row>
    <row r="101" spans="1:140" ht="31.5" customHeight="1" x14ac:dyDescent="0.35">
      <c r="B101" s="159" t="s">
        <v>286</v>
      </c>
      <c r="C101" s="154" t="s">
        <v>253</v>
      </c>
      <c r="D101" s="172" t="s">
        <v>287</v>
      </c>
      <c r="F101" s="157" t="s">
        <v>288</v>
      </c>
      <c r="G101" s="158"/>
      <c r="H101" s="160">
        <v>100</v>
      </c>
      <c r="I101" s="161"/>
      <c r="BI101" s="351"/>
      <c r="BN101" s="351"/>
      <c r="EH101" s="388"/>
      <c r="EI101" s="388"/>
      <c r="EJ101" s="388"/>
    </row>
    <row r="102" spans="1:140" ht="30" customHeight="1" x14ac:dyDescent="0.35">
      <c r="B102" s="156">
        <f>1/5</f>
        <v>0.2</v>
      </c>
      <c r="C102" s="156">
        <f>1/5</f>
        <v>0.2</v>
      </c>
      <c r="D102" s="155">
        <f>(DIVIDENDO[[#This Row],[FACTOR]]*$H$101)+$H$101</f>
        <v>120</v>
      </c>
      <c r="BC102" s="351"/>
      <c r="BH102" s="351"/>
      <c r="EH102" s="388"/>
      <c r="EI102" s="388"/>
      <c r="EJ102" s="388"/>
    </row>
    <row r="103" spans="1:140" ht="30" customHeight="1" x14ac:dyDescent="0.35">
      <c r="B103" s="156">
        <f>2/5</f>
        <v>0.4</v>
      </c>
      <c r="C103" s="156">
        <f>2/5</f>
        <v>0.4</v>
      </c>
      <c r="D103" s="155">
        <f>(DIVIDENDO[[#This Row],[FACTOR]]*$H$101)+$H$101</f>
        <v>140</v>
      </c>
      <c r="BC103" s="351"/>
      <c r="BH103" s="351"/>
      <c r="EH103" s="388"/>
      <c r="EI103" s="388"/>
      <c r="EJ103" s="388"/>
    </row>
    <row r="104" spans="1:140" ht="30" customHeight="1" x14ac:dyDescent="0.35">
      <c r="B104" s="156">
        <f>1/2</f>
        <v>0.5</v>
      </c>
      <c r="C104" s="156">
        <f>1/2</f>
        <v>0.5</v>
      </c>
      <c r="D104" s="155">
        <f>(DIVIDENDO[[#This Row],[FACTOR]]*$H$101)+$H$101</f>
        <v>150</v>
      </c>
      <c r="BC104" s="351"/>
      <c r="BH104" s="351"/>
      <c r="EH104" s="388"/>
      <c r="EI104" s="388"/>
      <c r="EJ104" s="388"/>
    </row>
    <row r="105" spans="1:140" ht="30" customHeight="1" x14ac:dyDescent="0.35">
      <c r="B105" s="156">
        <f>3/5</f>
        <v>0.6</v>
      </c>
      <c r="C105" s="156">
        <f>3/5</f>
        <v>0.6</v>
      </c>
      <c r="D105" s="155">
        <f>(DIVIDENDO[[#This Row],[FACTOR]]*$H$101)+$H$101</f>
        <v>160</v>
      </c>
      <c r="BC105" s="351"/>
      <c r="BH105" s="351"/>
      <c r="EH105" s="388"/>
      <c r="EI105" s="388"/>
      <c r="EJ105" s="388"/>
    </row>
    <row r="106" spans="1:140" ht="30" customHeight="1" x14ac:dyDescent="0.35">
      <c r="B106" s="156">
        <f>4/5</f>
        <v>0.8</v>
      </c>
      <c r="C106" s="156">
        <f>4/5</f>
        <v>0.8</v>
      </c>
      <c r="D106" s="155">
        <f>(DIVIDENDO[[#This Row],[FACTOR]]*$H$101)+$H$101</f>
        <v>180</v>
      </c>
      <c r="BC106" s="351"/>
      <c r="BH106" s="351"/>
      <c r="EH106" s="388"/>
      <c r="EI106" s="388"/>
      <c r="EJ106" s="388"/>
    </row>
    <row r="107" spans="1:140" ht="30" customHeight="1" x14ac:dyDescent="0.35">
      <c r="B107" s="156">
        <v>1</v>
      </c>
      <c r="C107" s="156">
        <v>1</v>
      </c>
      <c r="D107" s="155">
        <f>(DIVIDENDO[[#This Row],[FACTOR]]*$H$101)+$H$101</f>
        <v>200</v>
      </c>
      <c r="BC107" s="351"/>
      <c r="BH107" s="351"/>
      <c r="EH107" s="388"/>
      <c r="EI107" s="388"/>
      <c r="EJ107" s="388"/>
    </row>
    <row r="108" spans="1:140" ht="30" customHeight="1" x14ac:dyDescent="0.35">
      <c r="B108" s="156">
        <f>7/5</f>
        <v>1.4</v>
      </c>
      <c r="C108" s="156" t="s">
        <v>289</v>
      </c>
      <c r="D108" s="155">
        <f>(DIVIDENDO[[#This Row],[FACTOR]]*$H$101)+$H$101</f>
        <v>240</v>
      </c>
      <c r="EH108" s="388"/>
      <c r="EI108" s="388"/>
      <c r="EJ108" s="388"/>
    </row>
    <row r="109" spans="1:140" ht="30" customHeight="1" x14ac:dyDescent="0.35">
      <c r="B109" s="156">
        <f>3/2</f>
        <v>1.5</v>
      </c>
      <c r="C109" s="156" t="s">
        <v>290</v>
      </c>
      <c r="D109" s="155">
        <f>(DIVIDENDO[[#This Row],[FACTOR]]*$H$101)+$H$101</f>
        <v>250</v>
      </c>
      <c r="EH109" s="388"/>
      <c r="EI109" s="388"/>
      <c r="EJ109" s="388"/>
    </row>
    <row r="110" spans="1:140" ht="30" customHeight="1" x14ac:dyDescent="0.35">
      <c r="B110" s="156">
        <f>8/5</f>
        <v>1.6</v>
      </c>
      <c r="C110" s="156" t="s">
        <v>291</v>
      </c>
      <c r="D110" s="155">
        <f>(DIVIDENDO[[#This Row],[FACTOR]]*$H$101)+$H$101</f>
        <v>260</v>
      </c>
      <c r="EH110" s="388"/>
      <c r="EI110" s="388"/>
      <c r="EJ110" s="388"/>
    </row>
    <row r="111" spans="1:140" ht="30" customHeight="1" x14ac:dyDescent="0.35">
      <c r="B111" s="156">
        <f>9/5</f>
        <v>1.8</v>
      </c>
      <c r="C111" s="156" t="s">
        <v>292</v>
      </c>
      <c r="D111" s="155">
        <f>(DIVIDENDO[[#This Row],[FACTOR]]*$H$101)+$H$101</f>
        <v>280</v>
      </c>
      <c r="EH111" s="388"/>
      <c r="EI111" s="388"/>
      <c r="EJ111" s="388"/>
    </row>
    <row r="112" spans="1:140" ht="30" customHeight="1" x14ac:dyDescent="0.35">
      <c r="B112" s="156">
        <v>2</v>
      </c>
      <c r="C112" s="156">
        <v>2</v>
      </c>
      <c r="D112" s="155">
        <f>(DIVIDENDO[[#This Row],[FACTOR]]*$H$101)+$H$101</f>
        <v>300</v>
      </c>
      <c r="EH112" s="388"/>
      <c r="EI112" s="388"/>
      <c r="EJ112" s="388"/>
    </row>
    <row r="113" spans="2:140" ht="30" customHeight="1" x14ac:dyDescent="0.35">
      <c r="B113" s="156">
        <f>5/2</f>
        <v>2.5</v>
      </c>
      <c r="C113" s="156" t="s">
        <v>293</v>
      </c>
      <c r="D113" s="155">
        <f>(DIVIDENDO[[#This Row],[FACTOR]]*$H$101)+$H$101</f>
        <v>350</v>
      </c>
      <c r="EH113" s="388"/>
      <c r="EI113" s="388"/>
      <c r="EJ113" s="388"/>
    </row>
    <row r="114" spans="2:140" ht="30" customHeight="1" x14ac:dyDescent="0.35">
      <c r="B114" s="156">
        <f>7/2</f>
        <v>3.5</v>
      </c>
      <c r="C114" s="156" t="s">
        <v>294</v>
      </c>
      <c r="D114" s="155">
        <f>(DIVIDENDO[[#This Row],[FACTOR]]*$H$101)+$H$101</f>
        <v>450</v>
      </c>
      <c r="BF114" s="351"/>
      <c r="BK114" s="351"/>
      <c r="EH114" s="388"/>
      <c r="EI114" s="388"/>
      <c r="EJ114" s="388"/>
    </row>
    <row r="115" spans="2:140" ht="30" customHeight="1" x14ac:dyDescent="0.35">
      <c r="B115" s="156">
        <v>4</v>
      </c>
      <c r="C115" s="156">
        <v>4</v>
      </c>
      <c r="D115" s="155">
        <f>(DIVIDENDO[[#This Row],[FACTOR]]*$H$101)+$H$101</f>
        <v>500</v>
      </c>
      <c r="BF115" s="351"/>
      <c r="BK115" s="351"/>
      <c r="EH115" s="388"/>
      <c r="EI115" s="388"/>
      <c r="EJ115" s="388"/>
    </row>
    <row r="116" spans="2:140" ht="30" customHeight="1" x14ac:dyDescent="0.35">
      <c r="B116" s="156">
        <f>9/2</f>
        <v>4.5</v>
      </c>
      <c r="C116" s="156" t="s">
        <v>295</v>
      </c>
      <c r="D116" s="155">
        <f>(DIVIDENDO[[#This Row],[FACTOR]]*$H$101)+$H$101</f>
        <v>550</v>
      </c>
      <c r="BF116" s="351"/>
      <c r="BK116" s="351"/>
      <c r="EH116" s="388"/>
      <c r="EI116" s="388"/>
      <c r="EJ116" s="388"/>
    </row>
    <row r="117" spans="2:140" ht="30" customHeight="1" x14ac:dyDescent="0.35">
      <c r="B117" s="156">
        <v>5</v>
      </c>
      <c r="C117" s="156">
        <v>5</v>
      </c>
      <c r="D117" s="155">
        <f>(DIVIDENDO[[#This Row],[FACTOR]]*$H$101)+$H$101</f>
        <v>600</v>
      </c>
      <c r="BF117" s="351"/>
      <c r="BK117" s="351"/>
      <c r="EH117" s="388"/>
      <c r="EI117" s="388"/>
      <c r="EJ117" s="388"/>
    </row>
    <row r="118" spans="2:140" ht="30" customHeight="1" x14ac:dyDescent="0.35">
      <c r="B118" s="156">
        <v>6</v>
      </c>
      <c r="C118" s="156">
        <v>6</v>
      </c>
      <c r="D118" s="155">
        <f>(DIVIDENDO[[#This Row],[FACTOR]]*$H$101)+$H$101</f>
        <v>700</v>
      </c>
      <c r="BF118" s="351"/>
      <c r="BK118" s="351"/>
      <c r="EH118" s="388"/>
      <c r="EI118" s="388"/>
      <c r="EJ118" s="388"/>
    </row>
    <row r="119" spans="2:140" ht="30" customHeight="1" x14ac:dyDescent="0.35">
      <c r="B119" s="156">
        <v>7</v>
      </c>
      <c r="C119" s="156">
        <v>7</v>
      </c>
      <c r="D119" s="155">
        <f>(DIVIDENDO[[#This Row],[FACTOR]]*$H$101)+$H$101</f>
        <v>800</v>
      </c>
      <c r="BF119" s="351"/>
      <c r="BK119" s="351"/>
      <c r="EH119" s="388"/>
      <c r="EI119" s="388"/>
      <c r="EJ119" s="388"/>
    </row>
    <row r="120" spans="2:140" ht="30" customHeight="1" x14ac:dyDescent="0.35">
      <c r="B120" s="156">
        <v>9</v>
      </c>
      <c r="C120" s="156">
        <v>9</v>
      </c>
      <c r="D120" s="155">
        <f>(DIVIDENDO[[#This Row],[FACTOR]]*$H$101)+$H$101</f>
        <v>1000</v>
      </c>
      <c r="EH120" s="388"/>
      <c r="EI120" s="388"/>
      <c r="EJ120" s="388"/>
    </row>
    <row r="121" spans="2:140" ht="30" customHeight="1" x14ac:dyDescent="0.35">
      <c r="B121" s="156">
        <v>10</v>
      </c>
      <c r="C121" s="156">
        <v>10</v>
      </c>
      <c r="D121" s="155">
        <f>(DIVIDENDO[[#This Row],[FACTOR]]*$H$101)+$H$101</f>
        <v>1100</v>
      </c>
      <c r="EH121" s="388"/>
      <c r="EI121" s="388"/>
      <c r="EJ121" s="388"/>
    </row>
    <row r="122" spans="2:140" ht="30" customHeight="1" x14ac:dyDescent="0.35">
      <c r="B122" s="156">
        <v>11</v>
      </c>
      <c r="C122" s="156">
        <v>11</v>
      </c>
      <c r="D122" s="155">
        <f>(DIVIDENDO[[#This Row],[FACTOR]]*$H$101)+$H$101</f>
        <v>1200</v>
      </c>
      <c r="EH122" s="388"/>
      <c r="EI122" s="388"/>
      <c r="EJ122" s="388"/>
    </row>
    <row r="123" spans="2:140" ht="30" customHeight="1" x14ac:dyDescent="0.35">
      <c r="B123" s="156">
        <v>12</v>
      </c>
      <c r="C123" s="156">
        <v>12</v>
      </c>
      <c r="D123" s="155">
        <f>(DIVIDENDO[[#This Row],[FACTOR]]*$H$101)+$H$101</f>
        <v>1300</v>
      </c>
      <c r="EH123" s="388"/>
      <c r="EI123" s="388"/>
      <c r="EJ123" s="388"/>
    </row>
    <row r="124" spans="2:140" ht="30" customHeight="1" x14ac:dyDescent="0.35">
      <c r="B124" s="156">
        <v>13</v>
      </c>
      <c r="C124" s="156">
        <v>13</v>
      </c>
      <c r="D124" s="155">
        <f>(DIVIDENDO[[#This Row],[FACTOR]]*$H$101)+$H$101</f>
        <v>1400</v>
      </c>
      <c r="EH124" s="388"/>
      <c r="EI124" s="388"/>
      <c r="EJ124" s="388"/>
    </row>
    <row r="125" spans="2:140" ht="30" customHeight="1" x14ac:dyDescent="0.35">
      <c r="B125" s="156">
        <v>14</v>
      </c>
      <c r="C125" s="156">
        <v>14</v>
      </c>
      <c r="D125" s="155">
        <f>(DIVIDENDO[[#This Row],[FACTOR]]*$H$101)+$H$101</f>
        <v>1500</v>
      </c>
      <c r="EH125" s="388"/>
      <c r="EI125" s="388"/>
      <c r="EJ125" s="388"/>
    </row>
    <row r="126" spans="2:140" ht="30" customHeight="1" x14ac:dyDescent="0.35">
      <c r="B126" s="156">
        <v>16</v>
      </c>
      <c r="C126" s="156">
        <v>16</v>
      </c>
      <c r="D126" s="155">
        <f>(DIVIDENDO[[#This Row],[FACTOR]]*$H$101)+$H$101</f>
        <v>1700</v>
      </c>
      <c r="EH126" s="388"/>
      <c r="EI126" s="388"/>
      <c r="EJ126" s="388"/>
    </row>
    <row r="127" spans="2:140" ht="30" customHeight="1" x14ac:dyDescent="0.35">
      <c r="B127" s="156">
        <v>17</v>
      </c>
      <c r="C127" s="156">
        <v>17</v>
      </c>
      <c r="D127" s="155">
        <f>(DIVIDENDO[[#This Row],[FACTOR]]*$H$101)+$H$101</f>
        <v>1800</v>
      </c>
      <c r="EH127" s="388"/>
      <c r="EI127" s="388"/>
      <c r="EJ127" s="388"/>
    </row>
    <row r="128" spans="2:140" ht="30" customHeight="1" x14ac:dyDescent="0.35">
      <c r="B128" s="156">
        <v>18</v>
      </c>
      <c r="C128" s="156">
        <v>18</v>
      </c>
      <c r="D128" s="155">
        <f>(DIVIDENDO[[#This Row],[FACTOR]]*$H$101)+$H$101</f>
        <v>1900</v>
      </c>
      <c r="EH128" s="388"/>
      <c r="EI128" s="388"/>
      <c r="EJ128" s="388"/>
    </row>
    <row r="129" spans="2:140" ht="30" customHeight="1" x14ac:dyDescent="0.35">
      <c r="B129" s="156">
        <v>19</v>
      </c>
      <c r="C129" s="156">
        <v>19</v>
      </c>
      <c r="D129" s="155">
        <f>(DIVIDENDO[[#This Row],[FACTOR]]*$H$101)+$H$101</f>
        <v>2000</v>
      </c>
      <c r="EH129" s="388"/>
      <c r="EI129" s="388"/>
      <c r="EJ129" s="388"/>
    </row>
    <row r="130" spans="2:140" ht="30" customHeight="1" x14ac:dyDescent="0.35">
      <c r="EH130" s="388"/>
      <c r="EI130" s="388"/>
      <c r="EJ130" s="388"/>
    </row>
    <row r="131" spans="2:140" ht="30" customHeight="1" x14ac:dyDescent="0.35">
      <c r="EH131" s="388"/>
      <c r="EI131" s="388"/>
      <c r="EJ131" s="388"/>
    </row>
    <row r="132" spans="2:140" ht="30" customHeight="1" x14ac:dyDescent="0.35">
      <c r="EH132" s="388"/>
      <c r="EI132" s="388"/>
      <c r="EJ132" s="388"/>
    </row>
    <row r="133" spans="2:140" ht="30" customHeight="1" x14ac:dyDescent="0.35">
      <c r="EH133" s="388"/>
      <c r="EI133" s="388"/>
      <c r="EJ133" s="388"/>
    </row>
    <row r="134" spans="2:140" ht="30" customHeight="1" x14ac:dyDescent="0.35">
      <c r="EH134" s="388"/>
      <c r="EI134" s="388"/>
      <c r="EJ134" s="388"/>
    </row>
    <row r="135" spans="2:140" ht="30" customHeight="1" x14ac:dyDescent="0.35">
      <c r="EH135" s="388"/>
      <c r="EI135" s="388"/>
      <c r="EJ135" s="388"/>
    </row>
    <row r="136" spans="2:140" ht="30" customHeight="1" x14ac:dyDescent="0.35">
      <c r="EH136" s="388"/>
      <c r="EI136" s="388"/>
      <c r="EJ136" s="388"/>
    </row>
    <row r="137" spans="2:140" ht="30" customHeight="1" x14ac:dyDescent="0.35">
      <c r="EH137" s="388"/>
      <c r="EI137" s="388"/>
      <c r="EJ137" s="388"/>
    </row>
    <row r="138" spans="2:140" ht="30" customHeight="1" x14ac:dyDescent="0.35">
      <c r="EH138" s="388"/>
      <c r="EI138" s="388"/>
      <c r="EJ138" s="388"/>
    </row>
    <row r="139" spans="2:140" ht="30" customHeight="1" x14ac:dyDescent="0.35">
      <c r="EH139" s="388"/>
      <c r="EI139" s="388"/>
      <c r="EJ139" s="388"/>
    </row>
    <row r="140" spans="2:140" ht="30" customHeight="1" x14ac:dyDescent="0.35">
      <c r="EH140" s="388"/>
      <c r="EI140" s="388"/>
      <c r="EJ140" s="388"/>
    </row>
    <row r="141" spans="2:140" ht="30" customHeight="1" x14ac:dyDescent="0.35">
      <c r="EH141" s="388"/>
      <c r="EI141" s="388"/>
      <c r="EJ141" s="388"/>
    </row>
    <row r="142" spans="2:140" ht="30" customHeight="1" x14ac:dyDescent="0.35">
      <c r="EH142" s="388"/>
      <c r="EI142" s="388"/>
      <c r="EJ142" s="388"/>
    </row>
    <row r="143" spans="2:140" ht="30" customHeight="1" x14ac:dyDescent="0.35">
      <c r="EH143" s="388"/>
      <c r="EI143" s="388"/>
      <c r="EJ143" s="388"/>
    </row>
    <row r="144" spans="2:140" ht="30" customHeight="1" x14ac:dyDescent="0.35">
      <c r="EH144" s="388"/>
      <c r="EI144" s="388"/>
      <c r="EJ144" s="388"/>
    </row>
    <row r="145" spans="138:140" ht="30" customHeight="1" x14ac:dyDescent="0.35">
      <c r="EH145" s="388"/>
      <c r="EI145" s="388"/>
      <c r="EJ145" s="388"/>
    </row>
    <row r="146" spans="138:140" ht="30" customHeight="1" x14ac:dyDescent="0.35">
      <c r="EH146" s="388"/>
      <c r="EI146" s="388"/>
      <c r="EJ146" s="388"/>
    </row>
    <row r="147" spans="138:140" ht="30" customHeight="1" x14ac:dyDescent="0.35">
      <c r="EH147" s="388"/>
      <c r="EI147" s="388"/>
      <c r="EJ147" s="388"/>
    </row>
    <row r="148" spans="138:140" ht="30" customHeight="1" x14ac:dyDescent="0.35">
      <c r="EH148" s="388"/>
      <c r="EI148" s="388"/>
      <c r="EJ148" s="388"/>
    </row>
    <row r="149" spans="138:140" ht="30" customHeight="1" x14ac:dyDescent="0.35">
      <c r="EH149" s="388"/>
      <c r="EI149" s="388"/>
      <c r="EJ149" s="388"/>
    </row>
    <row r="150" spans="138:140" ht="30" customHeight="1" x14ac:dyDescent="0.35">
      <c r="EH150" s="388"/>
      <c r="EI150" s="388"/>
      <c r="EJ150" s="388"/>
    </row>
    <row r="151" spans="138:140" ht="30" customHeight="1" x14ac:dyDescent="0.35">
      <c r="EH151" s="388"/>
      <c r="EI151" s="388"/>
      <c r="EJ151" s="388"/>
    </row>
    <row r="152" spans="138:140" ht="30" customHeight="1" x14ac:dyDescent="0.35">
      <c r="EH152" s="388"/>
      <c r="EI152" s="388"/>
      <c r="EJ152" s="388"/>
    </row>
    <row r="153" spans="138:140" ht="30" customHeight="1" x14ac:dyDescent="0.25"/>
    <row r="154" spans="138:140" ht="30" customHeight="1" x14ac:dyDescent="0.25"/>
    <row r="155" spans="138:140" ht="30" customHeight="1" x14ac:dyDescent="0.25"/>
    <row r="156" spans="138:140" ht="30" customHeight="1" x14ac:dyDescent="0.25"/>
    <row r="157" spans="138:140" ht="30" customHeight="1" x14ac:dyDescent="0.25"/>
    <row r="158" spans="138:140" ht="30" customHeight="1" x14ac:dyDescent="0.25"/>
    <row r="159" spans="138:140" ht="30" customHeight="1" x14ac:dyDescent="0.25"/>
    <row r="160" spans="138:14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</sheetData>
  <mergeCells count="8">
    <mergeCell ref="CT61:CU61"/>
    <mergeCell ref="AN61:AW61"/>
    <mergeCell ref="AN60:AW60"/>
    <mergeCell ref="T3:AB3"/>
    <mergeCell ref="CT59:CU59"/>
    <mergeCell ref="AH3:AM3"/>
    <mergeCell ref="CT58:CU58"/>
    <mergeCell ref="CT60:CU60"/>
  </mergeCells>
  <conditionalFormatting sqref="B85:B90 F85:F90 O85:O90 X85:X90 AG85:AG90 AP85:AP90 F93:F98 O93:O98 X93:X98 AG93:AG98">
    <cfRule type="cellIs" dxfId="305" priority="174" operator="equal">
      <formula>10</formula>
    </cfRule>
    <cfRule type="cellIs" dxfId="304" priority="173" operator="equal">
      <formula>11</formula>
    </cfRule>
    <cfRule type="cellIs" dxfId="303" priority="182" operator="equal">
      <formula>2</formula>
    </cfRule>
    <cfRule type="cellIs" dxfId="302" priority="180" operator="equal">
      <formula>4</formula>
    </cfRule>
    <cfRule type="cellIs" dxfId="301" priority="179" operator="equal">
      <formula>5</formula>
    </cfRule>
    <cfRule type="cellIs" dxfId="300" priority="181" operator="equal">
      <formula>3</formula>
    </cfRule>
    <cfRule type="cellIs" dxfId="299" priority="172" operator="equal">
      <formula>12</formula>
    </cfRule>
    <cfRule type="cellIs" dxfId="298" priority="177" operator="equal">
      <formula>7</formula>
    </cfRule>
    <cfRule type="cellIs" dxfId="297" priority="170" operator="equal">
      <formula>14</formula>
    </cfRule>
    <cfRule type="cellIs" dxfId="296" priority="171" operator="equal">
      <formula>13</formula>
    </cfRule>
    <cfRule type="cellIs" dxfId="295" priority="183" operator="equal">
      <formula>1</formula>
    </cfRule>
    <cfRule type="cellIs" dxfId="294" priority="178" operator="equal">
      <formula>6</formula>
    </cfRule>
    <cfRule type="cellIs" dxfId="293" priority="176" operator="equal">
      <formula>8</formula>
    </cfRule>
    <cfRule type="cellIs" dxfId="292" priority="175" operator="equal">
      <formula>9</formula>
    </cfRule>
  </conditionalFormatting>
  <conditionalFormatting sqref="B93:B98">
    <cfRule type="cellIs" dxfId="291" priority="159" operator="equal">
      <formula>11</formula>
    </cfRule>
    <cfRule type="cellIs" dxfId="290" priority="163" operator="equal">
      <formula>7</formula>
    </cfRule>
    <cfRule type="cellIs" dxfId="289" priority="162" operator="equal">
      <formula>8</formula>
    </cfRule>
    <cfRule type="cellIs" dxfId="288" priority="161" operator="equal">
      <formula>9</formula>
    </cfRule>
    <cfRule type="cellIs" dxfId="287" priority="160" operator="equal">
      <formula>10</formula>
    </cfRule>
    <cfRule type="cellIs" dxfId="286" priority="166" operator="equal">
      <formula>4</formula>
    </cfRule>
    <cfRule type="cellIs" dxfId="285" priority="158" operator="equal">
      <formula>12</formula>
    </cfRule>
    <cfRule type="cellIs" dxfId="284" priority="157" operator="equal">
      <formula>13</formula>
    </cfRule>
    <cfRule type="cellIs" dxfId="283" priority="156" operator="equal">
      <formula>14</formula>
    </cfRule>
    <cfRule type="cellIs" dxfId="282" priority="164" operator="equal">
      <formula>6</formula>
    </cfRule>
    <cfRule type="cellIs" dxfId="281" priority="169" operator="equal">
      <formula>1</formula>
    </cfRule>
    <cfRule type="cellIs" dxfId="280" priority="168" operator="equal">
      <formula>2</formula>
    </cfRule>
    <cfRule type="cellIs" dxfId="279" priority="167" operator="equal">
      <formula>3</formula>
    </cfRule>
    <cfRule type="cellIs" dxfId="278" priority="165" operator="equal">
      <formula>5</formula>
    </cfRule>
  </conditionalFormatting>
  <conditionalFormatting sqref="C8:C57">
    <cfRule type="expression" dxfId="277" priority="184">
      <formula>$CM8&gt;$CN8</formula>
    </cfRule>
  </conditionalFormatting>
  <conditionalFormatting sqref="D8:D57">
    <cfRule type="containsText" dxfId="276" priority="139" operator="containsText" text="PENDIENTE">
      <formula>NOT(ISERROR(SEARCH("PENDIENTE",D8)))</formula>
    </cfRule>
    <cfRule type="containsText" dxfId="275" priority="187" operator="containsText" text="PREMIO">
      <formula>NOT(ISERROR(SEARCH("PREMIO",D8)))</formula>
    </cfRule>
    <cfRule type="containsText" dxfId="274" priority="185" operator="containsText" text="NO ENVIÓ">
      <formula>NOT(ISERROR(SEARCH("NO ENVIÓ",D8)))</formula>
    </cfRule>
    <cfRule type="containsText" dxfId="273" priority="186" operator="containsText" text="MEETING">
      <formula>NOT(ISERROR(SEARCH("MEETING",D8)))</formula>
    </cfRule>
  </conditionalFormatting>
  <conditionalFormatting sqref="E8:E57">
    <cfRule type="expression" dxfId="272" priority="140">
      <formula>AND(H8="F")</formula>
    </cfRule>
    <cfRule type="expression" dxfId="271" priority="141">
      <formula>AND(H8="SF")</formula>
    </cfRule>
  </conditionalFormatting>
  <conditionalFormatting sqref="J8:J57">
    <cfRule type="expression" dxfId="270" priority="30">
      <formula>AND(M8="SF")</formula>
    </cfRule>
    <cfRule type="expression" dxfId="269" priority="29">
      <formula>AND(M8="F")</formula>
    </cfRule>
  </conditionalFormatting>
  <conditionalFormatting sqref="O8:O57">
    <cfRule type="expression" dxfId="268" priority="27">
      <formula>AND(R8="F")</formula>
    </cfRule>
    <cfRule type="expression" dxfId="267" priority="28">
      <formula>AND(R8="SF")</formula>
    </cfRule>
  </conditionalFormatting>
  <conditionalFormatting sqref="T8:T57">
    <cfRule type="expression" dxfId="266" priority="25">
      <formula>AND(W8="F")</formula>
    </cfRule>
    <cfRule type="expression" dxfId="265" priority="26">
      <formula>AND(W8="SF")</formula>
    </cfRule>
  </conditionalFormatting>
  <conditionalFormatting sqref="Y8:Y57">
    <cfRule type="expression" dxfId="264" priority="23">
      <formula>AND(AB8="F")</formula>
    </cfRule>
    <cfRule type="expression" dxfId="263" priority="24">
      <formula>AND(AB8="SF")</formula>
    </cfRule>
  </conditionalFormatting>
  <conditionalFormatting sqref="AD8:AD57">
    <cfRule type="expression" dxfId="262" priority="22">
      <formula>AND(AG8="SF")</formula>
    </cfRule>
    <cfRule type="expression" dxfId="261" priority="21">
      <formula>AND(AG8="F")</formula>
    </cfRule>
  </conditionalFormatting>
  <conditionalFormatting sqref="AI8:AI57">
    <cfRule type="expression" dxfId="260" priority="19">
      <formula>AND(AL8="F")</formula>
    </cfRule>
    <cfRule type="expression" dxfId="259" priority="20">
      <formula>AND(AL8="SF")</formula>
    </cfRule>
  </conditionalFormatting>
  <conditionalFormatting sqref="AN8:AN57">
    <cfRule type="expression" dxfId="258" priority="18">
      <formula>AND(AQ8="SF")</formula>
    </cfRule>
    <cfRule type="expression" dxfId="257" priority="17">
      <formula>AND(AQ8="F")</formula>
    </cfRule>
  </conditionalFormatting>
  <conditionalFormatting sqref="AP93:AP98">
    <cfRule type="cellIs" dxfId="256" priority="126" operator="equal">
      <formula>7</formula>
    </cfRule>
    <cfRule type="cellIs" dxfId="255" priority="130" operator="equal">
      <formula>3</formula>
    </cfRule>
    <cfRule type="cellIs" dxfId="254" priority="124" operator="equal">
      <formula>9</formula>
    </cfRule>
    <cfRule type="cellIs" dxfId="253" priority="123" operator="equal">
      <formula>10</formula>
    </cfRule>
    <cfRule type="cellIs" dxfId="252" priority="122" operator="equal">
      <formula>11</formula>
    </cfRule>
    <cfRule type="cellIs" dxfId="251" priority="121" operator="equal">
      <formula>12</formula>
    </cfRule>
    <cfRule type="cellIs" dxfId="250" priority="120" operator="equal">
      <formula>13</formula>
    </cfRule>
    <cfRule type="cellIs" dxfId="249" priority="119" operator="equal">
      <formula>14</formula>
    </cfRule>
    <cfRule type="cellIs" dxfId="248" priority="125" operator="equal">
      <formula>8</formula>
    </cfRule>
    <cfRule type="cellIs" dxfId="247" priority="132" operator="equal">
      <formula>1</formula>
    </cfRule>
    <cfRule type="cellIs" dxfId="246" priority="131" operator="equal">
      <formula>2</formula>
    </cfRule>
    <cfRule type="cellIs" dxfId="245" priority="129" operator="equal">
      <formula>4</formula>
    </cfRule>
    <cfRule type="cellIs" dxfId="244" priority="128" operator="equal">
      <formula>5</formula>
    </cfRule>
    <cfRule type="cellIs" dxfId="243" priority="127" operator="equal">
      <formula>6</formula>
    </cfRule>
  </conditionalFormatting>
  <conditionalFormatting sqref="AS8:AS57">
    <cfRule type="expression" dxfId="242" priority="16">
      <formula>AND(AV8="SF")</formula>
    </cfRule>
    <cfRule type="expression" dxfId="241" priority="15">
      <formula>AND(AV8="F")</formula>
    </cfRule>
  </conditionalFormatting>
  <conditionalFormatting sqref="AX8:AX57">
    <cfRule type="expression" dxfId="240" priority="14">
      <formula>AND(BA8="SF")</formula>
    </cfRule>
    <cfRule type="expression" dxfId="239" priority="13">
      <formula>AND(BA8="F")</formula>
    </cfRule>
  </conditionalFormatting>
  <conditionalFormatting sqref="AY85:AY90">
    <cfRule type="cellIs" dxfId="238" priority="142" operator="equal">
      <formula>14</formula>
    </cfRule>
    <cfRule type="cellIs" dxfId="237" priority="146" operator="equal">
      <formula>10</formula>
    </cfRule>
    <cfRule type="cellIs" dxfId="236" priority="147" operator="equal">
      <formula>9</formula>
    </cfRule>
    <cfRule type="cellIs" dxfId="235" priority="148" operator="equal">
      <formula>8</formula>
    </cfRule>
    <cfRule type="cellIs" dxfId="234" priority="149" operator="equal">
      <formula>7</formula>
    </cfRule>
    <cfRule type="cellIs" dxfId="233" priority="150" operator="equal">
      <formula>6</formula>
    </cfRule>
    <cfRule type="cellIs" dxfId="232" priority="151" operator="equal">
      <formula>5</formula>
    </cfRule>
    <cfRule type="cellIs" dxfId="231" priority="154" operator="equal">
      <formula>2</formula>
    </cfRule>
    <cfRule type="cellIs" dxfId="230" priority="152" operator="equal">
      <formula>4</formula>
    </cfRule>
    <cfRule type="cellIs" dxfId="229" priority="153" operator="equal">
      <formula>3</formula>
    </cfRule>
    <cfRule type="cellIs" dxfId="228" priority="143" operator="equal">
      <formula>13</formula>
    </cfRule>
    <cfRule type="cellIs" dxfId="227" priority="144" operator="equal">
      <formula>12</formula>
    </cfRule>
    <cfRule type="cellIs" dxfId="226" priority="145" operator="equal">
      <formula>11</formula>
    </cfRule>
    <cfRule type="cellIs" dxfId="225" priority="155" operator="equal">
      <formula>1</formula>
    </cfRule>
  </conditionalFormatting>
  <conditionalFormatting sqref="AY93:AY98">
    <cfRule type="cellIs" dxfId="224" priority="114" operator="equal">
      <formula>5</formula>
    </cfRule>
    <cfRule type="cellIs" dxfId="223" priority="115" operator="equal">
      <formula>4</formula>
    </cfRule>
    <cfRule type="cellIs" dxfId="222" priority="116" operator="equal">
      <formula>3</formula>
    </cfRule>
    <cfRule type="cellIs" dxfId="221" priority="117" operator="equal">
      <formula>2</formula>
    </cfRule>
    <cfRule type="cellIs" dxfId="220" priority="118" operator="equal">
      <formula>1</formula>
    </cfRule>
    <cfRule type="cellIs" dxfId="219" priority="105" operator="equal">
      <formula>14</formula>
    </cfRule>
    <cfRule type="cellIs" dxfId="218" priority="106" operator="equal">
      <formula>13</formula>
    </cfRule>
    <cfRule type="cellIs" dxfId="217" priority="107" operator="equal">
      <formula>12</formula>
    </cfRule>
    <cfRule type="cellIs" dxfId="216" priority="108" operator="equal">
      <formula>11</formula>
    </cfRule>
    <cfRule type="cellIs" dxfId="215" priority="109" operator="equal">
      <formula>10</formula>
    </cfRule>
    <cfRule type="cellIs" dxfId="214" priority="110" operator="equal">
      <formula>9</formula>
    </cfRule>
    <cfRule type="cellIs" dxfId="213" priority="111" operator="equal">
      <formula>8</formula>
    </cfRule>
    <cfRule type="cellIs" dxfId="212" priority="112" operator="equal">
      <formula>7</formula>
    </cfRule>
    <cfRule type="cellIs" dxfId="211" priority="113" operator="equal">
      <formula>6</formula>
    </cfRule>
  </conditionalFormatting>
  <conditionalFormatting sqref="BC8:BC57">
    <cfRule type="expression" dxfId="210" priority="12">
      <formula>AND(BF8="SF")</formula>
    </cfRule>
    <cfRule type="expression" dxfId="209" priority="11">
      <formula>AND(BF8="F")</formula>
    </cfRule>
  </conditionalFormatting>
  <conditionalFormatting sqref="BH8:BH57">
    <cfRule type="expression" dxfId="208" priority="10">
      <formula>AND(BK8="SF")</formula>
    </cfRule>
    <cfRule type="expression" dxfId="207" priority="9">
      <formula>AND(BK8="F")</formula>
    </cfRule>
  </conditionalFormatting>
  <conditionalFormatting sqref="BH85:BH90">
    <cfRule type="cellIs" dxfId="206" priority="100" operator="equal">
      <formula>5</formula>
    </cfRule>
    <cfRule type="cellIs" dxfId="205" priority="103" operator="equal">
      <formula>2</formula>
    </cfRule>
    <cfRule type="cellIs" dxfId="204" priority="92" operator="equal">
      <formula>13</formula>
    </cfRule>
    <cfRule type="cellIs" dxfId="203" priority="102" operator="equal">
      <formula>3</formula>
    </cfRule>
    <cfRule type="cellIs" dxfId="202" priority="101" operator="equal">
      <formula>4</formula>
    </cfRule>
    <cfRule type="cellIs" dxfId="201" priority="98" operator="equal">
      <formula>7</formula>
    </cfRule>
    <cfRule type="cellIs" dxfId="200" priority="93" operator="equal">
      <formula>12</formula>
    </cfRule>
    <cfRule type="cellIs" dxfId="199" priority="94" operator="equal">
      <formula>11</formula>
    </cfRule>
    <cfRule type="cellIs" dxfId="198" priority="95" operator="equal">
      <formula>10</formula>
    </cfRule>
    <cfRule type="cellIs" dxfId="197" priority="96" operator="equal">
      <formula>9</formula>
    </cfRule>
    <cfRule type="cellIs" dxfId="196" priority="97" operator="equal">
      <formula>8</formula>
    </cfRule>
    <cfRule type="cellIs" dxfId="195" priority="99" operator="equal">
      <formula>6</formula>
    </cfRule>
    <cfRule type="cellIs" dxfId="194" priority="104" operator="equal">
      <formula>1</formula>
    </cfRule>
    <cfRule type="cellIs" dxfId="193" priority="91" operator="equal">
      <formula>14</formula>
    </cfRule>
  </conditionalFormatting>
  <conditionalFormatting sqref="BH93:BH98">
    <cfRule type="cellIs" dxfId="192" priority="78" operator="equal">
      <formula>13</formula>
    </cfRule>
    <cfRule type="cellIs" dxfId="191" priority="77" operator="equal">
      <formula>14</formula>
    </cfRule>
    <cfRule type="cellIs" dxfId="190" priority="81" operator="equal">
      <formula>10</formula>
    </cfRule>
    <cfRule type="cellIs" dxfId="189" priority="79" operator="equal">
      <formula>12</formula>
    </cfRule>
    <cfRule type="cellIs" dxfId="188" priority="80" operator="equal">
      <formula>11</formula>
    </cfRule>
    <cfRule type="cellIs" dxfId="187" priority="90" operator="equal">
      <formula>1</formula>
    </cfRule>
    <cfRule type="cellIs" dxfId="186" priority="89" operator="equal">
      <formula>2</formula>
    </cfRule>
    <cfRule type="cellIs" dxfId="185" priority="88" operator="equal">
      <formula>3</formula>
    </cfRule>
    <cfRule type="cellIs" dxfId="184" priority="87" operator="equal">
      <formula>4</formula>
    </cfRule>
    <cfRule type="cellIs" dxfId="183" priority="86" operator="equal">
      <formula>5</formula>
    </cfRule>
    <cfRule type="cellIs" dxfId="182" priority="85" operator="equal">
      <formula>6</formula>
    </cfRule>
    <cfRule type="cellIs" dxfId="181" priority="84" operator="equal">
      <formula>7</formula>
    </cfRule>
    <cfRule type="cellIs" dxfId="180" priority="83" operator="equal">
      <formula>8</formula>
    </cfRule>
    <cfRule type="cellIs" dxfId="179" priority="82" operator="equal">
      <formula>9</formula>
    </cfRule>
  </conditionalFormatting>
  <conditionalFormatting sqref="BM8:BM57">
    <cfRule type="expression" dxfId="178" priority="7">
      <formula>AND(BP8="F")</formula>
    </cfRule>
    <cfRule type="expression" dxfId="177" priority="8">
      <formula>AND(BP8="SF")</formula>
    </cfRule>
  </conditionalFormatting>
  <conditionalFormatting sqref="BR8:BR57">
    <cfRule type="expression" dxfId="176" priority="5">
      <formula>AND(BU8="F")</formula>
    </cfRule>
    <cfRule type="expression" dxfId="175" priority="6">
      <formula>AND(BU8="SF")</formula>
    </cfRule>
  </conditionalFormatting>
  <conditionalFormatting sqref="BW8:BW57">
    <cfRule type="expression" dxfId="174" priority="4">
      <formula>AND(BZ8="SF")</formula>
    </cfRule>
    <cfRule type="expression" dxfId="173" priority="3">
      <formula>AND(BZ8="F")</formula>
    </cfRule>
  </conditionalFormatting>
  <conditionalFormatting sqref="CB8:CB57">
    <cfRule type="expression" dxfId="172" priority="1">
      <formula>AND(CE8="F")</formula>
    </cfRule>
    <cfRule type="expression" dxfId="171" priority="2">
      <formula>AND(CE8="SF")</formula>
    </cfRule>
  </conditionalFormatting>
  <pageMargins left="0.25" right="0.25" top="0.75" bottom="0.75" header="0.3" footer="0.3"/>
  <pageSetup paperSize="3" scale="27" fitToHeight="0" orientation="landscape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T191"/>
  <sheetViews>
    <sheetView showGridLines="0" topLeftCell="A142" zoomScale="97" zoomScaleNormal="97" zoomScaleSheetLayoutView="96" workbookViewId="0">
      <selection activeCell="C156" sqref="C156"/>
    </sheetView>
  </sheetViews>
  <sheetFormatPr baseColWidth="10" defaultRowHeight="15" outlineLevelRow="2" x14ac:dyDescent="0.25"/>
  <cols>
    <col min="1" max="1" width="2.5703125" style="514" customWidth="1"/>
    <col min="2" max="2" width="5.140625" style="9" customWidth="1"/>
    <col min="3" max="3" width="10.7109375" style="514" customWidth="1"/>
    <col min="4" max="4" width="39.7109375" style="514" customWidth="1"/>
    <col min="5" max="6" width="7.7109375" style="514" customWidth="1"/>
    <col min="7" max="7" width="11.7109375" style="514" customWidth="1"/>
    <col min="8" max="9" width="6.7109375" style="514" customWidth="1"/>
    <col min="10" max="10" width="11.7109375" style="514" customWidth="1"/>
    <col min="11" max="12" width="7.7109375" style="514" customWidth="1"/>
    <col min="13" max="13" width="12.7109375" style="514" customWidth="1"/>
    <col min="14" max="15" width="7.7109375" style="514" customWidth="1"/>
    <col min="16" max="16" width="12.7109375" style="514" customWidth="1"/>
    <col min="17" max="17" width="15.7109375" style="514" customWidth="1"/>
    <col min="18" max="18" width="2.85546875" style="514" customWidth="1"/>
    <col min="41" max="41" width="13" style="514" bestFit="1" customWidth="1"/>
  </cols>
  <sheetData>
    <row r="1" spans="1:22" ht="3.75" customHeight="1" x14ac:dyDescent="0.25">
      <c r="R1" s="3"/>
    </row>
    <row r="2" spans="1:22" s="278" customFormat="1" ht="56.25" customHeight="1" x14ac:dyDescent="0.25">
      <c r="A2" s="277"/>
      <c r="B2" s="583" t="s">
        <v>326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84"/>
    </row>
    <row r="3" spans="1:22" ht="39" customHeight="1" x14ac:dyDescent="0.4">
      <c r="A3" s="1"/>
      <c r="B3" s="344" t="str">
        <f>CONTROL!D2</f>
        <v>3ER MEETING 2026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585" t="str">
        <f>'SEM 2'!D3</f>
        <v>13/09/2026</v>
      </c>
      <c r="O3" s="560"/>
      <c r="P3" s="560"/>
      <c r="Q3" s="584"/>
      <c r="R3" s="3"/>
    </row>
    <row r="4" spans="1:22" s="515" customFormat="1" ht="20.25" customHeight="1" x14ac:dyDescent="0.25">
      <c r="A4" s="280"/>
      <c r="B4" s="281">
        <v>0</v>
      </c>
      <c r="C4" s="282" t="s">
        <v>159</v>
      </c>
      <c r="D4" s="283" t="s">
        <v>10</v>
      </c>
      <c r="E4" s="284" t="s">
        <v>149</v>
      </c>
      <c r="F4" s="285"/>
      <c r="G4" s="285"/>
      <c r="H4" s="284" t="s">
        <v>150</v>
      </c>
      <c r="I4" s="285"/>
      <c r="J4" s="285"/>
      <c r="K4" s="284" t="s">
        <v>151</v>
      </c>
      <c r="L4" s="284"/>
      <c r="M4" s="284"/>
      <c r="N4" s="286" t="s">
        <v>147</v>
      </c>
      <c r="O4" s="287"/>
      <c r="P4" s="288"/>
      <c r="Q4" s="289" t="s">
        <v>297</v>
      </c>
      <c r="R4" s="3"/>
    </row>
    <row r="5" spans="1:22" s="388" customFormat="1" ht="23.1" customHeight="1" x14ac:dyDescent="0.35">
      <c r="A5" s="290"/>
      <c r="B5" s="291">
        <v>1</v>
      </c>
      <c r="C5" s="543" t="str">
        <f t="array" ref="C5:C54">_xlfn.SORTBY(SEMANA2[COD],SEMANA2[Columna33],-1)</f>
        <v>COD 02</v>
      </c>
      <c r="D5" s="464" t="str">
        <f>_xlfn.XLOOKUP(C5,CODIGOS_Y_PAGOS[CODIGO],CODIGOS_Y_PAGOS[NOMBRE PARTICIPANTE],"")</f>
        <v>JESUS QUERALES</v>
      </c>
      <c r="E5" s="293">
        <f>IF(D5="","",_xlfn.XLOOKUP($C5,BASE01[COD],BASE01[Columna14],"")+_xlfn.XLOOKUP($C5,SEMANA2[COD],SEMANA2[Columna14],""))</f>
        <v>27</v>
      </c>
      <c r="F5" s="293">
        <f>IF(D5="","",_xlfn.XLOOKUP($C5,BASE01[COD],BASE01[Columna19],"")+_xlfn.XLOOKUP($C5,SEMANA2[COD],SEMANA2[Columna19],""))</f>
        <v>11</v>
      </c>
      <c r="G5" s="294">
        <f t="shared" ref="G5:G36" si="0">IFERROR(+F5/E5,"")</f>
        <v>0.40740740740740738</v>
      </c>
      <c r="H5" s="295">
        <f>IF(D5="","",_xlfn.XLOOKUP($C5,BASE01[COD],BASE01[Columna29],"")+_xlfn.XLOOKUP($C5,SEMANA2[COD],SEMANA2[Columna29],""))</f>
        <v>27</v>
      </c>
      <c r="I5" s="295">
        <f>IF(D5="","",_xlfn.XLOOKUP($C5,BASE01[COD],BASE01[Columna30],"")+_xlfn.XLOOKUP($C5,SEMANA2[COD],SEMANA2[Columna30],""))</f>
        <v>16</v>
      </c>
      <c r="J5" s="296">
        <f t="shared" ref="J5:J36" si="1">IFERROR(+I5/H5,"")</f>
        <v>0.59259259259259256</v>
      </c>
      <c r="K5" s="297">
        <f>IF(D5="","",_xlfn.XLOOKUP($C5,BASE01[COD],BASE01[Columna32],"")+_xlfn.XLOOKUP($C5,SEMANA2[COD],SEMANA2[Columna32],""))</f>
        <v>27</v>
      </c>
      <c r="L5" s="297">
        <f>IF(D5="","",_xlfn.XLOOKUP($C5,BASE01[COD],BASE01[Columna34],"")+_xlfn.XLOOKUP($C5,SEMANA2[COD],SEMANA2[Columna34],""))</f>
        <v>19</v>
      </c>
      <c r="M5" s="298">
        <f t="shared" ref="M5:M36" si="2">IFERROR(+L5/K5,"")</f>
        <v>0.70370370370370372</v>
      </c>
      <c r="N5" s="299">
        <f>IF(D5="","",_xlfn.XLOOKUP($C5,BASE01[COD],BASE01[Columna36],"")+_xlfn.XLOOKUP($C5,SEMANA2[COD],SEMANA2[Columna36],""))</f>
        <v>6</v>
      </c>
      <c r="O5" s="299">
        <f>IF(D5="","",_xlfn.XLOOKUP($C5,BASE01[COD],BASE01[Columna37],"")+_xlfn.XLOOKUP($C5,SEMANA2[COD],SEMANA2[Columna37],""))</f>
        <v>4</v>
      </c>
      <c r="P5" s="300">
        <f t="shared" ref="P5:P36" si="3">IFERROR(+O5/N5,0)</f>
        <v>0.66666666666666663</v>
      </c>
      <c r="Q5" s="301">
        <f>_xlfn.XLOOKUP(C5,SEMANA2[COD],SEMANA2[Columna33],"")</f>
        <v>78.5</v>
      </c>
      <c r="R5" s="3"/>
      <c r="U5" s="388" t="str">
        <f t="array" ref="U5:U54">_xlfn.SORTBY(C5:C54,Q5:Q54,-1)</f>
        <v>COD 02</v>
      </c>
      <c r="V5" s="388" t="str">
        <f t="shared" ref="V5:V36" si="4">U5</f>
        <v>COD 02</v>
      </c>
    </row>
    <row r="6" spans="1:22" s="388" customFormat="1" ht="23.1" customHeight="1" x14ac:dyDescent="0.35">
      <c r="A6" s="290"/>
      <c r="B6" s="291">
        <f t="shared" ref="B6:B37" si="5">+B5+1</f>
        <v>2</v>
      </c>
      <c r="C6" s="543" t="str">
        <v>COD 21</v>
      </c>
      <c r="D6" s="464" t="str">
        <f>_xlfn.XLOOKUP(C6,CODIGOS_Y_PAGOS[CODIGO],CODIGOS_Y_PAGOS[NOMBRE PARTICIPANTE],"")</f>
        <v>WILMER</v>
      </c>
      <c r="E6" s="293">
        <f>IF(D6="","",_xlfn.XLOOKUP($C6,BASE01[COD],BASE01[Columna14],"")+_xlfn.XLOOKUP($C6,SEMANA2[COD],SEMANA2[Columna14],""))</f>
        <v>27</v>
      </c>
      <c r="F6" s="293">
        <f>IF(D6="","",_xlfn.XLOOKUP($C6,BASE01[COD],BASE01[Columna19],"")+_xlfn.XLOOKUP($C6,SEMANA2[COD],SEMANA2[Columna19],""))</f>
        <v>11</v>
      </c>
      <c r="G6" s="294">
        <f t="shared" si="0"/>
        <v>0.40740740740740738</v>
      </c>
      <c r="H6" s="295">
        <f>IF(D6="","",_xlfn.XLOOKUP($C6,BASE01[COD],BASE01[Columna29],"")+_xlfn.XLOOKUP($C6,SEMANA2[COD],SEMANA2[Columna29],""))</f>
        <v>27</v>
      </c>
      <c r="I6" s="295">
        <f>IF(D6="","",_xlfn.XLOOKUP($C6,BASE01[COD],BASE01[Columna30],"")+_xlfn.XLOOKUP($C6,SEMANA2[COD],SEMANA2[Columna30],""))</f>
        <v>16</v>
      </c>
      <c r="J6" s="296">
        <f t="shared" si="1"/>
        <v>0.59259259259259256</v>
      </c>
      <c r="K6" s="297">
        <f>IF(D6="","",_xlfn.XLOOKUP($C6,BASE01[COD],BASE01[Columna32],"")+_xlfn.XLOOKUP($C6,SEMANA2[COD],SEMANA2[Columna32],""))</f>
        <v>27</v>
      </c>
      <c r="L6" s="297">
        <f>IF(D6="","",_xlfn.XLOOKUP($C6,BASE01[COD],BASE01[Columna34],"")+_xlfn.XLOOKUP($C6,SEMANA2[COD],SEMANA2[Columna34],""))</f>
        <v>20</v>
      </c>
      <c r="M6" s="298">
        <f t="shared" si="2"/>
        <v>0.7407407407407407</v>
      </c>
      <c r="N6" s="299">
        <f>IF(D6="","",_xlfn.XLOOKUP($C6,BASE01[COD],BASE01[Columna36],"")+_xlfn.XLOOKUP($C6,SEMANA2[COD],SEMANA2[Columna36],""))</f>
        <v>6</v>
      </c>
      <c r="O6" s="299">
        <f>IF(D6="","",_xlfn.XLOOKUP($C6,BASE01[COD],BASE01[Columna37],"")+_xlfn.XLOOKUP($C6,SEMANA2[COD],SEMANA2[Columna37],""))</f>
        <v>4</v>
      </c>
      <c r="P6" s="300">
        <f t="shared" si="3"/>
        <v>0.66666666666666663</v>
      </c>
      <c r="Q6" s="301">
        <f>_xlfn.XLOOKUP(C6,SEMANA2[COD],SEMANA2[Columna33],"")</f>
        <v>75.5</v>
      </c>
      <c r="R6" s="3"/>
      <c r="U6" s="388" t="str">
        <v>COD 21</v>
      </c>
      <c r="V6" s="388" t="str">
        <f t="shared" si="4"/>
        <v>COD 21</v>
      </c>
    </row>
    <row r="7" spans="1:22" s="388" customFormat="1" ht="23.1" customHeight="1" x14ac:dyDescent="0.35">
      <c r="A7" s="290"/>
      <c r="B7" s="291">
        <f t="shared" si="5"/>
        <v>3</v>
      </c>
      <c r="C7" s="543" t="str">
        <v>COD 10</v>
      </c>
      <c r="D7" s="464" t="str">
        <f>_xlfn.XLOOKUP(C7,CODIGOS_Y_PAGOS[CODIGO],CODIGOS_Y_PAGOS[NOMBRE PARTICIPANTE],"")</f>
        <v>JESUS CARAYACA</v>
      </c>
      <c r="E7" s="293">
        <f>IF(D7="","",_xlfn.XLOOKUP($C7,BASE01[COD],BASE01[Columna14],"")+_xlfn.XLOOKUP($C7,SEMANA2[COD],SEMANA2[Columna14],""))</f>
        <v>27</v>
      </c>
      <c r="F7" s="293">
        <f>IF(D7="","",_xlfn.XLOOKUP($C7,BASE01[COD],BASE01[Columna19],"")+_xlfn.XLOOKUP($C7,SEMANA2[COD],SEMANA2[Columna19],""))</f>
        <v>10</v>
      </c>
      <c r="G7" s="294">
        <f t="shared" si="0"/>
        <v>0.37037037037037035</v>
      </c>
      <c r="H7" s="295">
        <f>IF(D7="","",_xlfn.XLOOKUP($C7,BASE01[COD],BASE01[Columna29],"")+_xlfn.XLOOKUP($C7,SEMANA2[COD],SEMANA2[Columna29],""))</f>
        <v>27</v>
      </c>
      <c r="I7" s="295">
        <f>IF(D7="","",_xlfn.XLOOKUP($C7,BASE01[COD],BASE01[Columna30],"")+_xlfn.XLOOKUP($C7,SEMANA2[COD],SEMANA2[Columna30],""))</f>
        <v>18</v>
      </c>
      <c r="J7" s="296">
        <f t="shared" si="1"/>
        <v>0.66666666666666663</v>
      </c>
      <c r="K7" s="297">
        <f>IF(D7="","",_xlfn.XLOOKUP($C7,BASE01[COD],BASE01[Columna32],"")+_xlfn.XLOOKUP($C7,SEMANA2[COD],SEMANA2[Columna32],""))</f>
        <v>27</v>
      </c>
      <c r="L7" s="297">
        <f>IF(D7="","",_xlfn.XLOOKUP($C7,BASE01[COD],BASE01[Columna34],"")+_xlfn.XLOOKUP($C7,SEMANA2[COD],SEMANA2[Columna34],""))</f>
        <v>19</v>
      </c>
      <c r="M7" s="298">
        <f t="shared" si="2"/>
        <v>0.70370370370370372</v>
      </c>
      <c r="N7" s="299">
        <f>IF(D7="","",_xlfn.XLOOKUP($C7,BASE01[COD],BASE01[Columna36],"")+_xlfn.XLOOKUP($C7,SEMANA2[COD],SEMANA2[Columna36],""))</f>
        <v>6</v>
      </c>
      <c r="O7" s="299">
        <f>IF(D7="","",_xlfn.XLOOKUP($C7,BASE01[COD],BASE01[Columna37],"")+_xlfn.XLOOKUP($C7,SEMANA2[COD],SEMANA2[Columna37],""))</f>
        <v>4</v>
      </c>
      <c r="P7" s="300">
        <f t="shared" si="3"/>
        <v>0.66666666666666663</v>
      </c>
      <c r="Q7" s="301">
        <f>_xlfn.XLOOKUP(C7,SEMANA2[COD],SEMANA2[Columna33],"")</f>
        <v>74.5</v>
      </c>
      <c r="R7" s="3"/>
      <c r="U7" s="388" t="str">
        <v>COD 10</v>
      </c>
      <c r="V7" s="388" t="str">
        <f t="shared" si="4"/>
        <v>COD 10</v>
      </c>
    </row>
    <row r="8" spans="1:22" s="388" customFormat="1" ht="23.1" customHeight="1" x14ac:dyDescent="0.35">
      <c r="A8" s="290"/>
      <c r="B8" s="291">
        <f t="shared" si="5"/>
        <v>4</v>
      </c>
      <c r="C8" s="543" t="str">
        <v>COD 25</v>
      </c>
      <c r="D8" s="464" t="str">
        <f>_xlfn.XLOOKUP(C8,CODIGOS_Y_PAGOS[CODIGO],CODIGOS_Y_PAGOS[NOMBRE PARTICIPANTE],"")</f>
        <v>GLEY GARCIA</v>
      </c>
      <c r="E8" s="293">
        <f>IF(D8="","",_xlfn.XLOOKUP($C8,BASE01[COD],BASE01[Columna14],"")+_xlfn.XLOOKUP($C8,SEMANA2[COD],SEMANA2[Columna14],""))</f>
        <v>27</v>
      </c>
      <c r="F8" s="293">
        <f>IF(D8="","",_xlfn.XLOOKUP($C8,BASE01[COD],BASE01[Columna19],"")+_xlfn.XLOOKUP($C8,SEMANA2[COD],SEMANA2[Columna19],""))</f>
        <v>10</v>
      </c>
      <c r="G8" s="294">
        <f t="shared" si="0"/>
        <v>0.37037037037037035</v>
      </c>
      <c r="H8" s="295">
        <f>IF(D8="","",_xlfn.XLOOKUP($C8,BASE01[COD],BASE01[Columna29],"")+_xlfn.XLOOKUP($C8,SEMANA2[COD],SEMANA2[Columna29],""))</f>
        <v>27</v>
      </c>
      <c r="I8" s="295">
        <f>IF(D8="","",_xlfn.XLOOKUP($C8,BASE01[COD],BASE01[Columna30],"")+_xlfn.XLOOKUP($C8,SEMANA2[COD],SEMANA2[Columna30],""))</f>
        <v>17</v>
      </c>
      <c r="J8" s="296">
        <f t="shared" si="1"/>
        <v>0.62962962962962965</v>
      </c>
      <c r="K8" s="297">
        <f>IF(D8="","",_xlfn.XLOOKUP($C8,BASE01[COD],BASE01[Columna32],"")+_xlfn.XLOOKUP($C8,SEMANA2[COD],SEMANA2[Columna32],""))</f>
        <v>27</v>
      </c>
      <c r="L8" s="297">
        <f>IF(D8="","",_xlfn.XLOOKUP($C8,BASE01[COD],BASE01[Columna34],"")+_xlfn.XLOOKUP($C8,SEMANA2[COD],SEMANA2[Columna34],""))</f>
        <v>20</v>
      </c>
      <c r="M8" s="298">
        <f t="shared" si="2"/>
        <v>0.7407407407407407</v>
      </c>
      <c r="N8" s="299">
        <f>IF(D8="","",_xlfn.XLOOKUP($C8,BASE01[COD],BASE01[Columna36],"")+_xlfn.XLOOKUP($C8,SEMANA2[COD],SEMANA2[Columna36],""))</f>
        <v>6</v>
      </c>
      <c r="O8" s="299">
        <f>IF(D8="","",_xlfn.XLOOKUP($C8,BASE01[COD],BASE01[Columna37],"")+_xlfn.XLOOKUP($C8,SEMANA2[COD],SEMANA2[Columna37],""))</f>
        <v>4</v>
      </c>
      <c r="P8" s="300">
        <f t="shared" si="3"/>
        <v>0.66666666666666663</v>
      </c>
      <c r="Q8" s="301">
        <f>_xlfn.XLOOKUP(C8,SEMANA2[COD],SEMANA2[Columna33],"")</f>
        <v>73.5</v>
      </c>
      <c r="R8" s="3"/>
      <c r="U8" s="388" t="str">
        <v>COD 25</v>
      </c>
      <c r="V8" s="388" t="str">
        <f t="shared" si="4"/>
        <v>COD 25</v>
      </c>
    </row>
    <row r="9" spans="1:22" s="388" customFormat="1" ht="23.1" customHeight="1" x14ac:dyDescent="0.35">
      <c r="A9" s="290"/>
      <c r="B9" s="291">
        <f t="shared" si="5"/>
        <v>5</v>
      </c>
      <c r="C9" s="543" t="str">
        <v>COD 05</v>
      </c>
      <c r="D9" s="464" t="str">
        <f>_xlfn.XLOOKUP(C9,CODIGOS_Y_PAGOS[CODIGO],CODIGOS_Y_PAGOS[NOMBRE PARTICIPANTE],"")</f>
        <v>MARCOS HIDALGO</v>
      </c>
      <c r="E9" s="293">
        <f>IF(D9="","",_xlfn.XLOOKUP($C9,BASE01[COD],BASE01[Columna14],"")+_xlfn.XLOOKUP($C9,SEMANA2[COD],SEMANA2[Columna14],""))</f>
        <v>27</v>
      </c>
      <c r="F9" s="293">
        <f>IF(D9="","",_xlfn.XLOOKUP($C9,BASE01[COD],BASE01[Columna19],"")+_xlfn.XLOOKUP($C9,SEMANA2[COD],SEMANA2[Columna19],""))</f>
        <v>9</v>
      </c>
      <c r="G9" s="294">
        <f t="shared" si="0"/>
        <v>0.33333333333333331</v>
      </c>
      <c r="H9" s="295">
        <f>IF(D9="","",_xlfn.XLOOKUP($C9,BASE01[COD],BASE01[Columna29],"")+_xlfn.XLOOKUP($C9,SEMANA2[COD],SEMANA2[Columna29],""))</f>
        <v>27</v>
      </c>
      <c r="I9" s="295">
        <f>IF(D9="","",_xlfn.XLOOKUP($C9,BASE01[COD],BASE01[Columna30],"")+_xlfn.XLOOKUP($C9,SEMANA2[COD],SEMANA2[Columna30],""))</f>
        <v>14</v>
      </c>
      <c r="J9" s="296">
        <f t="shared" si="1"/>
        <v>0.51851851851851849</v>
      </c>
      <c r="K9" s="297">
        <f>IF(D9="","",_xlfn.XLOOKUP($C9,BASE01[COD],BASE01[Columna32],"")+_xlfn.XLOOKUP($C9,SEMANA2[COD],SEMANA2[Columna32],""))</f>
        <v>27</v>
      </c>
      <c r="L9" s="297">
        <f>IF(D9="","",_xlfn.XLOOKUP($C9,BASE01[COD],BASE01[Columna34],"")+_xlfn.XLOOKUP($C9,SEMANA2[COD],SEMANA2[Columna34],""))</f>
        <v>21</v>
      </c>
      <c r="M9" s="298">
        <f t="shared" si="2"/>
        <v>0.77777777777777779</v>
      </c>
      <c r="N9" s="299">
        <f>IF(D9="","",_xlfn.XLOOKUP($C9,BASE01[COD],BASE01[Columna36],"")+_xlfn.XLOOKUP($C9,SEMANA2[COD],SEMANA2[Columna36],""))</f>
        <v>6</v>
      </c>
      <c r="O9" s="299">
        <f>IF(D9="","",_xlfn.XLOOKUP($C9,BASE01[COD],BASE01[Columna37],"")+_xlfn.XLOOKUP($C9,SEMANA2[COD],SEMANA2[Columna37],""))</f>
        <v>4</v>
      </c>
      <c r="P9" s="300">
        <f t="shared" si="3"/>
        <v>0.66666666666666663</v>
      </c>
      <c r="Q9" s="301">
        <f>_xlfn.XLOOKUP(C9,SEMANA2[COD],SEMANA2[Columna33],"")</f>
        <v>71.5</v>
      </c>
      <c r="R9" s="3"/>
      <c r="U9" s="388" t="str">
        <v>COD 05</v>
      </c>
      <c r="V9" s="388" t="str">
        <f t="shared" si="4"/>
        <v>COD 05</v>
      </c>
    </row>
    <row r="10" spans="1:22" s="388" customFormat="1" ht="23.1" customHeight="1" x14ac:dyDescent="0.35">
      <c r="A10" s="290"/>
      <c r="B10" s="291">
        <f t="shared" si="5"/>
        <v>6</v>
      </c>
      <c r="C10" s="543" t="str">
        <v>COD 09</v>
      </c>
      <c r="D10" s="464" t="str">
        <f>_xlfn.XLOOKUP(C10,CODIGOS_Y_PAGOS[CODIGO],CODIGOS_Y_PAGOS[NOMBRE PARTICIPANTE],"")</f>
        <v>JESUS ARASME</v>
      </c>
      <c r="E10" s="293">
        <f>IF(D10="","",_xlfn.XLOOKUP($C10,BASE01[COD],BASE01[Columna14],"")+_xlfn.XLOOKUP($C10,SEMANA2[COD],SEMANA2[Columna14],""))</f>
        <v>27</v>
      </c>
      <c r="F10" s="293">
        <f>IF(D10="","",_xlfn.XLOOKUP($C10,BASE01[COD],BASE01[Columna19],"")+_xlfn.XLOOKUP($C10,SEMANA2[COD],SEMANA2[Columna19],""))</f>
        <v>11</v>
      </c>
      <c r="G10" s="294">
        <f t="shared" si="0"/>
        <v>0.40740740740740738</v>
      </c>
      <c r="H10" s="295">
        <f>IF(D10="","",_xlfn.XLOOKUP($C10,BASE01[COD],BASE01[Columna29],"")+_xlfn.XLOOKUP($C10,SEMANA2[COD],SEMANA2[Columna29],""))</f>
        <v>27</v>
      </c>
      <c r="I10" s="295">
        <f>IF(D10="","",_xlfn.XLOOKUP($C10,BASE01[COD],BASE01[Columna30],"")+_xlfn.XLOOKUP($C10,SEMANA2[COD],SEMANA2[Columna30],""))</f>
        <v>15</v>
      </c>
      <c r="J10" s="296">
        <f t="shared" si="1"/>
        <v>0.55555555555555558</v>
      </c>
      <c r="K10" s="297">
        <f>IF(D10="","",_xlfn.XLOOKUP($C10,BASE01[COD],BASE01[Columna32],"")+_xlfn.XLOOKUP($C10,SEMANA2[COD],SEMANA2[Columna32],""))</f>
        <v>27</v>
      </c>
      <c r="L10" s="297">
        <f>IF(D10="","",_xlfn.XLOOKUP($C10,BASE01[COD],BASE01[Columna34],"")+_xlfn.XLOOKUP($C10,SEMANA2[COD],SEMANA2[Columna34],""))</f>
        <v>20</v>
      </c>
      <c r="M10" s="298">
        <f t="shared" si="2"/>
        <v>0.7407407407407407</v>
      </c>
      <c r="N10" s="299">
        <f>IF(D10="","",_xlfn.XLOOKUP($C10,BASE01[COD],BASE01[Columna36],"")+_xlfn.XLOOKUP($C10,SEMANA2[COD],SEMANA2[Columna36],""))</f>
        <v>6</v>
      </c>
      <c r="O10" s="299">
        <f>IF(D10="","",_xlfn.XLOOKUP($C10,BASE01[COD],BASE01[Columna37],"")+_xlfn.XLOOKUP($C10,SEMANA2[COD],SEMANA2[Columna37],""))</f>
        <v>3</v>
      </c>
      <c r="P10" s="300">
        <f t="shared" si="3"/>
        <v>0.5</v>
      </c>
      <c r="Q10" s="301">
        <f>_xlfn.XLOOKUP(C10,SEMANA2[COD],SEMANA2[Columna33],"")</f>
        <v>70.5</v>
      </c>
      <c r="R10" s="3"/>
      <c r="U10" s="388" t="str">
        <v>COD 09</v>
      </c>
      <c r="V10" s="388" t="str">
        <f t="shared" si="4"/>
        <v>COD 09</v>
      </c>
    </row>
    <row r="11" spans="1:22" s="388" customFormat="1" ht="23.1" customHeight="1" x14ac:dyDescent="0.35">
      <c r="A11" s="290"/>
      <c r="B11" s="302">
        <f t="shared" si="5"/>
        <v>7</v>
      </c>
      <c r="C11" s="543" t="str">
        <v>COD 27</v>
      </c>
      <c r="D11" s="464" t="str">
        <f>_xlfn.XLOOKUP(C11,CODIGOS_Y_PAGOS[CODIGO],CODIGOS_Y_PAGOS[NOMBRE PARTICIPANTE],"")</f>
        <v>ANDERSON HERNANDEZ</v>
      </c>
      <c r="E11" s="293">
        <f>IF(D11="","",_xlfn.XLOOKUP($C11,BASE01[COD],BASE01[Columna14],"")+_xlfn.XLOOKUP($C11,SEMANA2[COD],SEMANA2[Columna14],""))</f>
        <v>27</v>
      </c>
      <c r="F11" s="293">
        <f>IF(D11="","",_xlfn.XLOOKUP($C11,BASE01[COD],BASE01[Columna19],"")+_xlfn.XLOOKUP($C11,SEMANA2[COD],SEMANA2[Columna19],""))</f>
        <v>12</v>
      </c>
      <c r="G11" s="294">
        <f t="shared" si="0"/>
        <v>0.44444444444444442</v>
      </c>
      <c r="H11" s="295">
        <f>IF(D11="","",_xlfn.XLOOKUP($C11,BASE01[COD],BASE01[Columna29],"")+_xlfn.XLOOKUP($C11,SEMANA2[COD],SEMANA2[Columna29],""))</f>
        <v>27</v>
      </c>
      <c r="I11" s="295">
        <f>IF(D11="","",_xlfn.XLOOKUP($C11,BASE01[COD],BASE01[Columna30],"")+_xlfn.XLOOKUP($C11,SEMANA2[COD],SEMANA2[Columna30],""))</f>
        <v>17</v>
      </c>
      <c r="J11" s="296">
        <f t="shared" si="1"/>
        <v>0.62962962962962965</v>
      </c>
      <c r="K11" s="297">
        <f>IF(D11="","",_xlfn.XLOOKUP($C11,BASE01[COD],BASE01[Columna32],"")+_xlfn.XLOOKUP($C11,SEMANA2[COD],SEMANA2[Columna32],""))</f>
        <v>27</v>
      </c>
      <c r="L11" s="297">
        <f>IF(D11="","",_xlfn.XLOOKUP($C11,BASE01[COD],BASE01[Columna34],"")+_xlfn.XLOOKUP($C11,SEMANA2[COD],SEMANA2[Columna34],""))</f>
        <v>17</v>
      </c>
      <c r="M11" s="298">
        <f t="shared" si="2"/>
        <v>0.62962962962962965</v>
      </c>
      <c r="N11" s="299">
        <f>IF(D11="","",_xlfn.XLOOKUP($C11,BASE01[COD],BASE01[Columna36],"")+_xlfn.XLOOKUP($C11,SEMANA2[COD],SEMANA2[Columna36],""))</f>
        <v>6</v>
      </c>
      <c r="O11" s="299">
        <f>IF(D11="","",_xlfn.XLOOKUP($C11,BASE01[COD],BASE01[Columna37],"")+_xlfn.XLOOKUP($C11,SEMANA2[COD],SEMANA2[Columna37],""))</f>
        <v>4</v>
      </c>
      <c r="P11" s="300">
        <f t="shared" si="3"/>
        <v>0.66666666666666663</v>
      </c>
      <c r="Q11" s="301">
        <f>_xlfn.XLOOKUP(C11,SEMANA2[COD],SEMANA2[Columna33],"")</f>
        <v>70.5</v>
      </c>
      <c r="R11" s="3"/>
      <c r="U11" s="388" t="str">
        <v>COD 27</v>
      </c>
      <c r="V11" s="388" t="str">
        <f t="shared" si="4"/>
        <v>COD 27</v>
      </c>
    </row>
    <row r="12" spans="1:22" s="388" customFormat="1" ht="23.1" customHeight="1" x14ac:dyDescent="0.35">
      <c r="A12" s="290"/>
      <c r="B12" s="291">
        <f t="shared" si="5"/>
        <v>8</v>
      </c>
      <c r="C12" s="543" t="str">
        <v>COD 22</v>
      </c>
      <c r="D12" s="464" t="str">
        <f>_xlfn.XLOOKUP(C12,CODIGOS_Y_PAGOS[CODIGO],CODIGOS_Y_PAGOS[NOMBRE PARTICIPANTE],"")</f>
        <v>ROGER PIÑA</v>
      </c>
      <c r="E12" s="293">
        <f>IF(D12="","",_xlfn.XLOOKUP($C12,BASE01[COD],BASE01[Columna14],"")+_xlfn.XLOOKUP($C12,SEMANA2[COD],SEMANA2[Columna14],""))</f>
        <v>27</v>
      </c>
      <c r="F12" s="293">
        <f>IF(D12="","",_xlfn.XLOOKUP($C12,BASE01[COD],BASE01[Columna19],"")+_xlfn.XLOOKUP($C12,SEMANA2[COD],SEMANA2[Columna19],""))</f>
        <v>11</v>
      </c>
      <c r="G12" s="294">
        <f t="shared" si="0"/>
        <v>0.40740740740740738</v>
      </c>
      <c r="H12" s="295">
        <f>IF(D12="","",_xlfn.XLOOKUP($C12,BASE01[COD],BASE01[Columna29],"")+_xlfn.XLOOKUP($C12,SEMANA2[COD],SEMANA2[Columna29],""))</f>
        <v>27</v>
      </c>
      <c r="I12" s="295">
        <f>IF(D12="","",_xlfn.XLOOKUP($C12,BASE01[COD],BASE01[Columna30],"")+_xlfn.XLOOKUP($C12,SEMANA2[COD],SEMANA2[Columna30],""))</f>
        <v>14</v>
      </c>
      <c r="J12" s="296">
        <f t="shared" si="1"/>
        <v>0.51851851851851849</v>
      </c>
      <c r="K12" s="297">
        <f>IF(D12="","",_xlfn.XLOOKUP($C12,BASE01[COD],BASE01[Columna32],"")+_xlfn.XLOOKUP($C12,SEMANA2[COD],SEMANA2[Columna32],""))</f>
        <v>27</v>
      </c>
      <c r="L12" s="297">
        <f>IF(D12="","",_xlfn.XLOOKUP($C12,BASE01[COD],BASE01[Columna34],"")+_xlfn.XLOOKUP($C12,SEMANA2[COD],SEMANA2[Columna34],""))</f>
        <v>18</v>
      </c>
      <c r="M12" s="298">
        <f t="shared" si="2"/>
        <v>0.66666666666666663</v>
      </c>
      <c r="N12" s="299">
        <f>IF(D12="","",_xlfn.XLOOKUP($C12,BASE01[COD],BASE01[Columna36],"")+_xlfn.XLOOKUP($C12,SEMANA2[COD],SEMANA2[Columna36],""))</f>
        <v>5</v>
      </c>
      <c r="O12" s="299">
        <f>IF(D12="","",_xlfn.XLOOKUP($C12,BASE01[COD],BASE01[Columna37],"")+_xlfn.XLOOKUP($C12,SEMANA2[COD],SEMANA2[Columna37],""))</f>
        <v>3</v>
      </c>
      <c r="P12" s="300">
        <f t="shared" si="3"/>
        <v>0.6</v>
      </c>
      <c r="Q12" s="301">
        <f>_xlfn.XLOOKUP(C12,SEMANA2[COD],SEMANA2[Columna33],"")</f>
        <v>69.5</v>
      </c>
      <c r="R12" s="3"/>
      <c r="U12" s="388" t="str">
        <v>COD 22</v>
      </c>
      <c r="V12" s="388" t="str">
        <f t="shared" si="4"/>
        <v>COD 22</v>
      </c>
    </row>
    <row r="13" spans="1:22" s="388" customFormat="1" ht="23.1" customHeight="1" x14ac:dyDescent="0.35">
      <c r="A13" s="290"/>
      <c r="B13" s="291">
        <f t="shared" si="5"/>
        <v>9</v>
      </c>
      <c r="C13" s="543" t="str">
        <v>COD 01</v>
      </c>
      <c r="D13" s="464" t="str">
        <f>_xlfn.XLOOKUP(C13,CODIGOS_Y_PAGOS[CODIGO],CODIGOS_Y_PAGOS[NOMBRE PARTICIPANTE],"")</f>
        <v>GANADORES Y PULSO</v>
      </c>
      <c r="E13" s="293">
        <f>IF(D13="","",_xlfn.XLOOKUP($C13,BASE01[COD],BASE01[Columna14],"")+_xlfn.XLOOKUP($C13,SEMANA2[COD],SEMANA2[Columna14],""))</f>
        <v>27</v>
      </c>
      <c r="F13" s="293">
        <f>IF(D13="","",_xlfn.XLOOKUP($C13,BASE01[COD],BASE01[Columna19],"")+_xlfn.XLOOKUP($C13,SEMANA2[COD],SEMANA2[Columna19],""))</f>
        <v>9</v>
      </c>
      <c r="G13" s="294">
        <f t="shared" si="0"/>
        <v>0.33333333333333331</v>
      </c>
      <c r="H13" s="295">
        <f>IF(D13="","",_xlfn.XLOOKUP($C13,BASE01[COD],BASE01[Columna29],"")+_xlfn.XLOOKUP($C13,SEMANA2[COD],SEMANA2[Columna29],""))</f>
        <v>27</v>
      </c>
      <c r="I13" s="295">
        <f>IF(D13="","",_xlfn.XLOOKUP($C13,BASE01[COD],BASE01[Columna30],"")+_xlfn.XLOOKUP($C13,SEMANA2[COD],SEMANA2[Columna30],""))</f>
        <v>14</v>
      </c>
      <c r="J13" s="296">
        <f t="shared" si="1"/>
        <v>0.51851851851851849</v>
      </c>
      <c r="K13" s="297">
        <f>IF(D13="","",_xlfn.XLOOKUP($C13,BASE01[COD],BASE01[Columna32],"")+_xlfn.XLOOKUP($C13,SEMANA2[COD],SEMANA2[Columna32],""))</f>
        <v>27</v>
      </c>
      <c r="L13" s="297">
        <f>IF(D13="","",_xlfn.XLOOKUP($C13,BASE01[COD],BASE01[Columna34],"")+_xlfn.XLOOKUP($C13,SEMANA2[COD],SEMANA2[Columna34],""))</f>
        <v>22</v>
      </c>
      <c r="M13" s="298">
        <f t="shared" si="2"/>
        <v>0.81481481481481477</v>
      </c>
      <c r="N13" s="299">
        <f>IF(D13="","",_xlfn.XLOOKUP($C13,BASE01[COD],BASE01[Columna36],"")+_xlfn.XLOOKUP($C13,SEMANA2[COD],SEMANA2[Columna36],""))</f>
        <v>6</v>
      </c>
      <c r="O13" s="299">
        <f>IF(D13="","",_xlfn.XLOOKUP($C13,BASE01[COD],BASE01[Columna37],"")+_xlfn.XLOOKUP($C13,SEMANA2[COD],SEMANA2[Columna37],""))</f>
        <v>3</v>
      </c>
      <c r="P13" s="300">
        <f t="shared" si="3"/>
        <v>0.5</v>
      </c>
      <c r="Q13" s="301">
        <f>_xlfn.XLOOKUP(C13,SEMANA2[COD],SEMANA2[Columna33],"")</f>
        <v>68.5</v>
      </c>
      <c r="R13" s="3"/>
      <c r="U13" s="388" t="str">
        <v>COD 01</v>
      </c>
      <c r="V13" s="388" t="str">
        <f t="shared" si="4"/>
        <v>COD 01</v>
      </c>
    </row>
    <row r="14" spans="1:22" s="388" customFormat="1" ht="23.1" customHeight="1" x14ac:dyDescent="0.35">
      <c r="A14" s="290"/>
      <c r="B14" s="291">
        <f t="shared" si="5"/>
        <v>10</v>
      </c>
      <c r="C14" s="543" t="str">
        <v>COD 11</v>
      </c>
      <c r="D14" s="464" t="str">
        <f>_xlfn.XLOOKUP(C14,CODIGOS_Y_PAGOS[CODIGO],CODIGOS_Y_PAGOS[NOMBRE PARTICIPANTE],"")</f>
        <v>ANDERSON ZERPA</v>
      </c>
      <c r="E14" s="293">
        <f>IF(D14="","",_xlfn.XLOOKUP($C14,BASE01[COD],BASE01[Columna14],"")+_xlfn.XLOOKUP($C14,SEMANA2[COD],SEMANA2[Columna14],""))</f>
        <v>27</v>
      </c>
      <c r="F14" s="293">
        <f>IF(D14="","",_xlfn.XLOOKUP($C14,BASE01[COD],BASE01[Columna19],"")+_xlfn.XLOOKUP($C14,SEMANA2[COD],SEMANA2[Columna19],""))</f>
        <v>9</v>
      </c>
      <c r="G14" s="294">
        <f t="shared" si="0"/>
        <v>0.33333333333333331</v>
      </c>
      <c r="H14" s="295">
        <f>IF(D14="","",_xlfn.XLOOKUP($C14,BASE01[COD],BASE01[Columna29],"")+_xlfn.XLOOKUP($C14,SEMANA2[COD],SEMANA2[Columna29],""))</f>
        <v>27</v>
      </c>
      <c r="I14" s="295">
        <f>IF(D14="","",_xlfn.XLOOKUP($C14,BASE01[COD],BASE01[Columna30],"")+_xlfn.XLOOKUP($C14,SEMANA2[COD],SEMANA2[Columna30],""))</f>
        <v>15</v>
      </c>
      <c r="J14" s="296">
        <f t="shared" si="1"/>
        <v>0.55555555555555558</v>
      </c>
      <c r="K14" s="297">
        <f>IF(D14="","",_xlfn.XLOOKUP($C14,BASE01[COD],BASE01[Columna32],"")+_xlfn.XLOOKUP($C14,SEMANA2[COD],SEMANA2[Columna32],""))</f>
        <v>27</v>
      </c>
      <c r="L14" s="297">
        <f>IF(D14="","",_xlfn.XLOOKUP($C14,BASE01[COD],BASE01[Columna34],"")+_xlfn.XLOOKUP($C14,SEMANA2[COD],SEMANA2[Columna34],""))</f>
        <v>19</v>
      </c>
      <c r="M14" s="298">
        <f t="shared" si="2"/>
        <v>0.70370370370370372</v>
      </c>
      <c r="N14" s="299">
        <f>IF(D14="","",_xlfn.XLOOKUP($C14,BASE01[COD],BASE01[Columna36],"")+_xlfn.XLOOKUP($C14,SEMANA2[COD],SEMANA2[Columna36],""))</f>
        <v>6</v>
      </c>
      <c r="O14" s="299">
        <f>IF(D14="","",_xlfn.XLOOKUP($C14,BASE01[COD],BASE01[Columna37],"")+_xlfn.XLOOKUP($C14,SEMANA2[COD],SEMANA2[Columna37],""))</f>
        <v>3</v>
      </c>
      <c r="P14" s="300">
        <f t="shared" si="3"/>
        <v>0.5</v>
      </c>
      <c r="Q14" s="301">
        <f>_xlfn.XLOOKUP(C14,SEMANA2[COD],SEMANA2[Columna33],"")</f>
        <v>68.5</v>
      </c>
      <c r="R14" s="3"/>
      <c r="U14" s="388" t="str">
        <v>COD 11</v>
      </c>
      <c r="V14" s="388" t="str">
        <f t="shared" si="4"/>
        <v>COD 11</v>
      </c>
    </row>
    <row r="15" spans="1:22" s="388" customFormat="1" ht="23.1" customHeight="1" x14ac:dyDescent="0.35">
      <c r="A15" s="290"/>
      <c r="B15" s="291">
        <f t="shared" si="5"/>
        <v>11</v>
      </c>
      <c r="C15" s="543" t="str">
        <v>COD 23</v>
      </c>
      <c r="D15" s="464" t="str">
        <f>_xlfn.XLOOKUP(C15,CODIGOS_Y_PAGOS[CODIGO],CODIGOS_Y_PAGOS[NOMBRE PARTICIPANTE],"")</f>
        <v>GILBERT</v>
      </c>
      <c r="E15" s="293">
        <f>IF(D15="","",_xlfn.XLOOKUP($C15,BASE01[COD],BASE01[Columna14],"")+_xlfn.XLOOKUP($C15,SEMANA2[COD],SEMANA2[Columna14],""))</f>
        <v>27</v>
      </c>
      <c r="F15" s="293">
        <f>IF(D15="","",_xlfn.XLOOKUP($C15,BASE01[COD],BASE01[Columna19],"")+_xlfn.XLOOKUP($C15,SEMANA2[COD],SEMANA2[Columna19],""))</f>
        <v>10</v>
      </c>
      <c r="G15" s="294">
        <f t="shared" si="0"/>
        <v>0.37037037037037035</v>
      </c>
      <c r="H15" s="295">
        <f>IF(D15="","",_xlfn.XLOOKUP($C15,BASE01[COD],BASE01[Columna29],"")+_xlfn.XLOOKUP($C15,SEMANA2[COD],SEMANA2[Columna29],""))</f>
        <v>27</v>
      </c>
      <c r="I15" s="295">
        <f>IF(D15="","",_xlfn.XLOOKUP($C15,BASE01[COD],BASE01[Columna30],"")+_xlfn.XLOOKUP($C15,SEMANA2[COD],SEMANA2[Columna30],""))</f>
        <v>13</v>
      </c>
      <c r="J15" s="296">
        <f t="shared" si="1"/>
        <v>0.48148148148148145</v>
      </c>
      <c r="K15" s="297">
        <f>IF(D15="","",_xlfn.XLOOKUP($C15,BASE01[COD],BASE01[Columna32],"")+_xlfn.XLOOKUP($C15,SEMANA2[COD],SEMANA2[Columna32],""))</f>
        <v>27</v>
      </c>
      <c r="L15" s="297">
        <f>IF(D15="","",_xlfn.XLOOKUP($C15,BASE01[COD],BASE01[Columna34],"")+_xlfn.XLOOKUP($C15,SEMANA2[COD],SEMANA2[Columna34],""))</f>
        <v>18</v>
      </c>
      <c r="M15" s="298">
        <f t="shared" si="2"/>
        <v>0.66666666666666663</v>
      </c>
      <c r="N15" s="299">
        <f>IF(D15="","",_xlfn.XLOOKUP($C15,BASE01[COD],BASE01[Columna36],"")+_xlfn.XLOOKUP($C15,SEMANA2[COD],SEMANA2[Columna36],""))</f>
        <v>6</v>
      </c>
      <c r="O15" s="299">
        <f>IF(D15="","",_xlfn.XLOOKUP($C15,BASE01[COD],BASE01[Columna37],"")+_xlfn.XLOOKUP($C15,SEMANA2[COD],SEMANA2[Columna37],""))</f>
        <v>5</v>
      </c>
      <c r="P15" s="300">
        <f t="shared" si="3"/>
        <v>0.83333333333333337</v>
      </c>
      <c r="Q15" s="301">
        <f>_xlfn.XLOOKUP(C15,SEMANA2[COD],SEMANA2[Columna33],"")</f>
        <v>68.5</v>
      </c>
      <c r="R15" s="3"/>
      <c r="U15" s="388" t="str">
        <v>COD 23</v>
      </c>
      <c r="V15" s="388" t="str">
        <f t="shared" si="4"/>
        <v>COD 23</v>
      </c>
    </row>
    <row r="16" spans="1:22" s="388" customFormat="1" ht="23.1" customHeight="1" x14ac:dyDescent="0.35">
      <c r="A16" s="290"/>
      <c r="B16" s="291">
        <f t="shared" si="5"/>
        <v>12</v>
      </c>
      <c r="C16" s="543" t="str">
        <v>COD 08</v>
      </c>
      <c r="D16" s="464" t="str">
        <f>_xlfn.XLOOKUP(C16,CODIGOS_Y_PAGOS[CODIGO],CODIGOS_Y_PAGOS[NOMBRE PARTICIPANTE],"")</f>
        <v>RUBEN DARIO CARDENAS</v>
      </c>
      <c r="E16" s="293">
        <f>IF(D16="","",_xlfn.XLOOKUP($C16,BASE01[COD],BASE01[Columna14],"")+_xlfn.XLOOKUP($C16,SEMANA2[COD],SEMANA2[Columna14],""))</f>
        <v>27</v>
      </c>
      <c r="F16" s="293">
        <f>IF(D16="","",_xlfn.XLOOKUP($C16,BASE01[COD],BASE01[Columna19],"")+_xlfn.XLOOKUP($C16,SEMANA2[COD],SEMANA2[Columna19],""))</f>
        <v>13</v>
      </c>
      <c r="G16" s="294">
        <f t="shared" si="0"/>
        <v>0.48148148148148145</v>
      </c>
      <c r="H16" s="295">
        <f>IF(D16="","",_xlfn.XLOOKUP($C16,BASE01[COD],BASE01[Columna29],"")+_xlfn.XLOOKUP($C16,SEMANA2[COD],SEMANA2[Columna29],""))</f>
        <v>27</v>
      </c>
      <c r="I16" s="295">
        <f>IF(D16="","",_xlfn.XLOOKUP($C16,BASE01[COD],BASE01[Columna30],"")+_xlfn.XLOOKUP($C16,SEMANA2[COD],SEMANA2[Columna30],""))</f>
        <v>14</v>
      </c>
      <c r="J16" s="296">
        <f t="shared" si="1"/>
        <v>0.51851851851851849</v>
      </c>
      <c r="K16" s="297">
        <f>IF(D16="","",_xlfn.XLOOKUP($C16,BASE01[COD],BASE01[Columna32],"")+_xlfn.XLOOKUP($C16,SEMANA2[COD],SEMANA2[Columna32],""))</f>
        <v>27</v>
      </c>
      <c r="L16" s="297">
        <f>IF(D16="","",_xlfn.XLOOKUP($C16,BASE01[COD],BASE01[Columna34],"")+_xlfn.XLOOKUP($C16,SEMANA2[COD],SEMANA2[Columna34],""))</f>
        <v>16</v>
      </c>
      <c r="M16" s="298">
        <f t="shared" si="2"/>
        <v>0.59259259259259256</v>
      </c>
      <c r="N16" s="299">
        <f>IF(D16="","",_xlfn.XLOOKUP($C16,BASE01[COD],BASE01[Columna36],"")+_xlfn.XLOOKUP($C16,SEMANA2[COD],SEMANA2[Columna36],""))</f>
        <v>6</v>
      </c>
      <c r="O16" s="299">
        <f>IF(D16="","",_xlfn.XLOOKUP($C16,BASE01[COD],BASE01[Columna37],"")+_xlfn.XLOOKUP($C16,SEMANA2[COD],SEMANA2[Columna37],""))</f>
        <v>4</v>
      </c>
      <c r="P16" s="300">
        <f t="shared" si="3"/>
        <v>0.66666666666666663</v>
      </c>
      <c r="Q16" s="301">
        <f>_xlfn.XLOOKUP(C16,SEMANA2[COD],SEMANA2[Columna33],"")</f>
        <v>66</v>
      </c>
      <c r="R16" s="3"/>
      <c r="U16" s="388" t="str">
        <v>COD 08</v>
      </c>
      <c r="V16" s="388" t="str">
        <f t="shared" si="4"/>
        <v>COD 08</v>
      </c>
    </row>
    <row r="17" spans="1:22" s="388" customFormat="1" ht="23.1" customHeight="1" x14ac:dyDescent="0.35">
      <c r="A17" s="290"/>
      <c r="B17" s="291">
        <f t="shared" si="5"/>
        <v>13</v>
      </c>
      <c r="C17" s="543" t="str">
        <v>COD 03</v>
      </c>
      <c r="D17" s="464" t="str">
        <f>_xlfn.XLOOKUP(C17,CODIGOS_Y_PAGOS[CODIGO],CODIGOS_Y_PAGOS[NOMBRE PARTICIPANTE],"")</f>
        <v>MUÑECA DEL HIPISMO</v>
      </c>
      <c r="E17" s="293">
        <f>IF(D17="","",_xlfn.XLOOKUP($C17,BASE01[COD],BASE01[Columna14],"")+_xlfn.XLOOKUP($C17,SEMANA2[COD],SEMANA2[Columna14],""))</f>
        <v>27</v>
      </c>
      <c r="F17" s="293">
        <f>IF(D17="","",_xlfn.XLOOKUP($C17,BASE01[COD],BASE01[Columna19],"")+_xlfn.XLOOKUP($C17,SEMANA2[COD],SEMANA2[Columna19],""))</f>
        <v>10</v>
      </c>
      <c r="G17" s="294">
        <f t="shared" si="0"/>
        <v>0.37037037037037035</v>
      </c>
      <c r="H17" s="295">
        <f>IF(D17="","",_xlfn.XLOOKUP($C17,BASE01[COD],BASE01[Columna29],"")+_xlfn.XLOOKUP($C17,SEMANA2[COD],SEMANA2[Columna29],""))</f>
        <v>27</v>
      </c>
      <c r="I17" s="295">
        <f>IF(D17="","",_xlfn.XLOOKUP($C17,BASE01[COD],BASE01[Columna30],"")+_xlfn.XLOOKUP($C17,SEMANA2[COD],SEMANA2[Columna30],""))</f>
        <v>14</v>
      </c>
      <c r="J17" s="296">
        <f t="shared" si="1"/>
        <v>0.51851851851851849</v>
      </c>
      <c r="K17" s="297">
        <f>IF(D17="","",_xlfn.XLOOKUP($C17,BASE01[COD],BASE01[Columna32],"")+_xlfn.XLOOKUP($C17,SEMANA2[COD],SEMANA2[Columna32],""))</f>
        <v>27</v>
      </c>
      <c r="L17" s="297">
        <f>IF(D17="","",_xlfn.XLOOKUP($C17,BASE01[COD],BASE01[Columna34],"")+_xlfn.XLOOKUP($C17,SEMANA2[COD],SEMANA2[Columna34],""))</f>
        <v>18</v>
      </c>
      <c r="M17" s="298">
        <f t="shared" si="2"/>
        <v>0.66666666666666663</v>
      </c>
      <c r="N17" s="299">
        <f>IF(D17="","",_xlfn.XLOOKUP($C17,BASE01[COD],BASE01[Columna36],"")+_xlfn.XLOOKUP($C17,SEMANA2[COD],SEMANA2[Columna36],""))</f>
        <v>6</v>
      </c>
      <c r="O17" s="299">
        <f>IF(D17="","",_xlfn.XLOOKUP($C17,BASE01[COD],BASE01[Columna37],"")+_xlfn.XLOOKUP($C17,SEMANA2[COD],SEMANA2[Columna37],""))</f>
        <v>3</v>
      </c>
      <c r="P17" s="300">
        <f t="shared" si="3"/>
        <v>0.5</v>
      </c>
      <c r="Q17" s="301">
        <f>_xlfn.XLOOKUP(C17,SEMANA2[COD],SEMANA2[Columna33],"")</f>
        <v>65.5</v>
      </c>
      <c r="R17" s="3"/>
      <c r="U17" s="388" t="str">
        <v>COD 03</v>
      </c>
      <c r="V17" s="388" t="str">
        <f t="shared" si="4"/>
        <v>COD 03</v>
      </c>
    </row>
    <row r="18" spans="1:22" s="388" customFormat="1" ht="23.1" customHeight="1" x14ac:dyDescent="0.35">
      <c r="A18" s="290"/>
      <c r="B18" s="291">
        <f t="shared" si="5"/>
        <v>14</v>
      </c>
      <c r="C18" s="543" t="str">
        <v>COD 16</v>
      </c>
      <c r="D18" s="464" t="str">
        <f>_xlfn.XLOOKUP(C18,CODIGOS_Y_PAGOS[CODIGO],CODIGOS_Y_PAGOS[NOMBRE PARTICIPANTE],"")</f>
        <v>PODER HIPICO</v>
      </c>
      <c r="E18" s="293">
        <f>IF(D18="","",_xlfn.XLOOKUP($C18,BASE01[COD],BASE01[Columna14],"")+_xlfn.XLOOKUP($C18,SEMANA2[COD],SEMANA2[Columna14],""))</f>
        <v>27</v>
      </c>
      <c r="F18" s="293">
        <f>IF(D18="","",_xlfn.XLOOKUP($C18,BASE01[COD],BASE01[Columna19],"")+_xlfn.XLOOKUP($C18,SEMANA2[COD],SEMANA2[Columna19],""))</f>
        <v>8</v>
      </c>
      <c r="G18" s="294">
        <f t="shared" si="0"/>
        <v>0.29629629629629628</v>
      </c>
      <c r="H18" s="295">
        <f>IF(D18="","",_xlfn.XLOOKUP($C18,BASE01[COD],BASE01[Columna29],"")+_xlfn.XLOOKUP($C18,SEMANA2[COD],SEMANA2[Columna29],""))</f>
        <v>27</v>
      </c>
      <c r="I18" s="295">
        <f>IF(D18="","",_xlfn.XLOOKUP($C18,BASE01[COD],BASE01[Columna30],"")+_xlfn.XLOOKUP($C18,SEMANA2[COD],SEMANA2[Columna30],""))</f>
        <v>14</v>
      </c>
      <c r="J18" s="296">
        <f t="shared" si="1"/>
        <v>0.51851851851851849</v>
      </c>
      <c r="K18" s="297">
        <f>IF(D18="","",_xlfn.XLOOKUP($C18,BASE01[COD],BASE01[Columna32],"")+_xlfn.XLOOKUP($C18,SEMANA2[COD],SEMANA2[Columna32],""))</f>
        <v>27</v>
      </c>
      <c r="L18" s="297">
        <f>IF(D18="","",_xlfn.XLOOKUP($C18,BASE01[COD],BASE01[Columna34],"")+_xlfn.XLOOKUP($C18,SEMANA2[COD],SEMANA2[Columna34],""))</f>
        <v>20</v>
      </c>
      <c r="M18" s="298">
        <f t="shared" si="2"/>
        <v>0.7407407407407407</v>
      </c>
      <c r="N18" s="299">
        <f>IF(D18="","",_xlfn.XLOOKUP($C18,BASE01[COD],BASE01[Columna36],"")+_xlfn.XLOOKUP($C18,SEMANA2[COD],SEMANA2[Columna36],""))</f>
        <v>6</v>
      </c>
      <c r="O18" s="299">
        <f>IF(D18="","",_xlfn.XLOOKUP($C18,BASE01[COD],BASE01[Columna37],"")+_xlfn.XLOOKUP($C18,SEMANA2[COD],SEMANA2[Columna37],""))</f>
        <v>4</v>
      </c>
      <c r="P18" s="300">
        <f t="shared" si="3"/>
        <v>0.66666666666666663</v>
      </c>
      <c r="Q18" s="301">
        <f>_xlfn.XLOOKUP(C18,SEMANA2[COD],SEMANA2[Columna33],"")</f>
        <v>65.5</v>
      </c>
      <c r="R18" s="3"/>
      <c r="U18" s="388" t="str">
        <v>COD 16</v>
      </c>
      <c r="V18" s="388" t="str">
        <f t="shared" si="4"/>
        <v>COD 16</v>
      </c>
    </row>
    <row r="19" spans="1:22" s="388" customFormat="1" ht="23.1" customHeight="1" x14ac:dyDescent="0.35">
      <c r="A19" s="290"/>
      <c r="B19" s="291">
        <f t="shared" si="5"/>
        <v>15</v>
      </c>
      <c r="C19" s="543" t="str">
        <v>COD 15</v>
      </c>
      <c r="D19" s="464" t="str">
        <f>_xlfn.XLOOKUP(C19,CODIGOS_Y_PAGOS[CODIGO],CODIGOS_Y_PAGOS[NOMBRE PARTICIPANTE],"")</f>
        <v>CARLOS SUAREZ</v>
      </c>
      <c r="E19" s="293">
        <f>IF(D19="","",_xlfn.XLOOKUP($C19,BASE01[COD],BASE01[Columna14],"")+_xlfn.XLOOKUP($C19,SEMANA2[COD],SEMANA2[Columna14],""))</f>
        <v>27</v>
      </c>
      <c r="F19" s="293">
        <f>IF(D19="","",_xlfn.XLOOKUP($C19,BASE01[COD],BASE01[Columna19],"")+_xlfn.XLOOKUP($C19,SEMANA2[COD],SEMANA2[Columna19],""))</f>
        <v>8</v>
      </c>
      <c r="G19" s="294">
        <f t="shared" si="0"/>
        <v>0.29629629629629628</v>
      </c>
      <c r="H19" s="295">
        <f>IF(D19="","",_xlfn.XLOOKUP($C19,BASE01[COD],BASE01[Columna29],"")+_xlfn.XLOOKUP($C19,SEMANA2[COD],SEMANA2[Columna29],""))</f>
        <v>27</v>
      </c>
      <c r="I19" s="295">
        <f>IF(D19="","",_xlfn.XLOOKUP($C19,BASE01[COD],BASE01[Columna30],"")+_xlfn.XLOOKUP($C19,SEMANA2[COD],SEMANA2[Columna30],""))</f>
        <v>10</v>
      </c>
      <c r="J19" s="296">
        <f t="shared" si="1"/>
        <v>0.37037037037037035</v>
      </c>
      <c r="K19" s="297">
        <f>IF(D19="","",_xlfn.XLOOKUP($C19,BASE01[COD],BASE01[Columna32],"")+_xlfn.XLOOKUP($C19,SEMANA2[COD],SEMANA2[Columna32],""))</f>
        <v>27</v>
      </c>
      <c r="L19" s="297">
        <f>IF(D19="","",_xlfn.XLOOKUP($C19,BASE01[COD],BASE01[Columna34],"")+_xlfn.XLOOKUP($C19,SEMANA2[COD],SEMANA2[Columna34],""))</f>
        <v>18</v>
      </c>
      <c r="M19" s="298">
        <f t="shared" si="2"/>
        <v>0.66666666666666663</v>
      </c>
      <c r="N19" s="299">
        <f>IF(D19="","",_xlfn.XLOOKUP($C19,BASE01[COD],BASE01[Columna36],"")+_xlfn.XLOOKUP($C19,SEMANA2[COD],SEMANA2[Columna36],""))</f>
        <v>6</v>
      </c>
      <c r="O19" s="299">
        <f>IF(D19="","",_xlfn.XLOOKUP($C19,BASE01[COD],BASE01[Columna37],"")+_xlfn.XLOOKUP($C19,SEMANA2[COD],SEMANA2[Columna37],""))</f>
        <v>5</v>
      </c>
      <c r="P19" s="300">
        <f t="shared" si="3"/>
        <v>0.83333333333333337</v>
      </c>
      <c r="Q19" s="301">
        <f>_xlfn.XLOOKUP(C19,SEMANA2[COD],SEMANA2[Columna33],"")</f>
        <v>64.5</v>
      </c>
      <c r="R19" s="3"/>
      <c r="U19" s="388" t="str">
        <v>COD 15</v>
      </c>
      <c r="V19" s="388" t="str">
        <f t="shared" si="4"/>
        <v>COD 15</v>
      </c>
    </row>
    <row r="20" spans="1:22" s="388" customFormat="1" ht="23.1" customHeight="1" x14ac:dyDescent="0.35">
      <c r="A20" s="290"/>
      <c r="B20" s="291">
        <f t="shared" si="5"/>
        <v>16</v>
      </c>
      <c r="C20" s="543" t="str">
        <v>COD 28</v>
      </c>
      <c r="D20" s="464" t="str">
        <f>_xlfn.XLOOKUP(C20,CODIGOS_Y_PAGOS[CODIGO],CODIGOS_Y_PAGOS[NOMBRE PARTICIPANTE],"")</f>
        <v>FRANKLIN DELGADO</v>
      </c>
      <c r="E20" s="293">
        <f>IF(D20="","",_xlfn.XLOOKUP($C20,BASE01[COD],BASE01[Columna14],"")+_xlfn.XLOOKUP($C20,SEMANA2[COD],SEMANA2[Columna14],""))</f>
        <v>27</v>
      </c>
      <c r="F20" s="293">
        <f>IF(D20="","",_xlfn.XLOOKUP($C20,BASE01[COD],BASE01[Columna19],"")+_xlfn.XLOOKUP($C20,SEMANA2[COD],SEMANA2[Columna19],""))</f>
        <v>8</v>
      </c>
      <c r="G20" s="294">
        <f t="shared" si="0"/>
        <v>0.29629629629629628</v>
      </c>
      <c r="H20" s="295">
        <f>IF(D20="","",_xlfn.XLOOKUP($C20,BASE01[COD],BASE01[Columna29],"")+_xlfn.XLOOKUP($C20,SEMANA2[COD],SEMANA2[Columna29],""))</f>
        <v>27</v>
      </c>
      <c r="I20" s="295">
        <f>IF(D20="","",_xlfn.XLOOKUP($C20,BASE01[COD],BASE01[Columna30],"")+_xlfn.XLOOKUP($C20,SEMANA2[COD],SEMANA2[Columna30],""))</f>
        <v>15</v>
      </c>
      <c r="J20" s="296">
        <f t="shared" si="1"/>
        <v>0.55555555555555558</v>
      </c>
      <c r="K20" s="297">
        <f>IF(D20="","",_xlfn.XLOOKUP($C20,BASE01[COD],BASE01[Columna32],"")+_xlfn.XLOOKUP($C20,SEMANA2[COD],SEMANA2[Columna32],""))</f>
        <v>27</v>
      </c>
      <c r="L20" s="297">
        <f>IF(D20="","",_xlfn.XLOOKUP($C20,BASE01[COD],BASE01[Columna34],"")+_xlfn.XLOOKUP($C20,SEMANA2[COD],SEMANA2[Columna34],""))</f>
        <v>20</v>
      </c>
      <c r="M20" s="298">
        <f t="shared" si="2"/>
        <v>0.7407407407407407</v>
      </c>
      <c r="N20" s="299">
        <f>IF(D20="","",_xlfn.XLOOKUP($C20,BASE01[COD],BASE01[Columna36],"")+_xlfn.XLOOKUP($C20,SEMANA2[COD],SEMANA2[Columna36],""))</f>
        <v>6</v>
      </c>
      <c r="O20" s="299">
        <f>IF(D20="","",_xlfn.XLOOKUP($C20,BASE01[COD],BASE01[Columna37],"")+_xlfn.XLOOKUP($C20,SEMANA2[COD],SEMANA2[Columna37],""))</f>
        <v>3</v>
      </c>
      <c r="P20" s="300">
        <f t="shared" si="3"/>
        <v>0.5</v>
      </c>
      <c r="Q20" s="301">
        <f>_xlfn.XLOOKUP(C20,SEMANA2[COD],SEMANA2[Columna33],"")</f>
        <v>64.5</v>
      </c>
      <c r="R20" s="3"/>
      <c r="U20" s="388" t="str">
        <v>COD 28</v>
      </c>
      <c r="V20" s="388" t="str">
        <f t="shared" si="4"/>
        <v>COD 28</v>
      </c>
    </row>
    <row r="21" spans="1:22" s="388" customFormat="1" ht="23.1" customHeight="1" x14ac:dyDescent="0.35">
      <c r="A21" s="290"/>
      <c r="B21" s="291">
        <f t="shared" si="5"/>
        <v>17</v>
      </c>
      <c r="C21" s="543" t="str">
        <v>COD 29</v>
      </c>
      <c r="D21" s="464" t="str">
        <f>_xlfn.XLOOKUP(C21,CODIGOS_Y_PAGOS[CODIGO],CODIGOS_Y_PAGOS[NOMBRE PARTICIPANTE],"")</f>
        <v>JEAN MARCO</v>
      </c>
      <c r="E21" s="293">
        <f>IF(D21="","",_xlfn.XLOOKUP($C21,BASE01[COD],BASE01[Columna14],"")+_xlfn.XLOOKUP($C21,SEMANA2[COD],SEMANA2[Columna14],""))</f>
        <v>27</v>
      </c>
      <c r="F21" s="293">
        <f>IF(D21="","",_xlfn.XLOOKUP($C21,BASE01[COD],BASE01[Columna19],"")+_xlfn.XLOOKUP($C21,SEMANA2[COD],SEMANA2[Columna19],""))</f>
        <v>8</v>
      </c>
      <c r="G21" s="294">
        <f t="shared" si="0"/>
        <v>0.29629629629629628</v>
      </c>
      <c r="H21" s="295">
        <f>IF(D21="","",_xlfn.XLOOKUP($C21,BASE01[COD],BASE01[Columna29],"")+_xlfn.XLOOKUP($C21,SEMANA2[COD],SEMANA2[Columna29],""))</f>
        <v>27</v>
      </c>
      <c r="I21" s="295">
        <f>IF(D21="","",_xlfn.XLOOKUP($C21,BASE01[COD],BASE01[Columna30],"")+_xlfn.XLOOKUP($C21,SEMANA2[COD],SEMANA2[Columna30],""))</f>
        <v>15</v>
      </c>
      <c r="J21" s="296">
        <f t="shared" si="1"/>
        <v>0.55555555555555558</v>
      </c>
      <c r="K21" s="297">
        <f>IF(D21="","",_xlfn.XLOOKUP($C21,BASE01[COD],BASE01[Columna32],"")+_xlfn.XLOOKUP($C21,SEMANA2[COD],SEMANA2[Columna32],""))</f>
        <v>27</v>
      </c>
      <c r="L21" s="297">
        <f>IF(D21="","",_xlfn.XLOOKUP($C21,BASE01[COD],BASE01[Columna34],"")+_xlfn.XLOOKUP($C21,SEMANA2[COD],SEMANA2[Columna34],""))</f>
        <v>20</v>
      </c>
      <c r="M21" s="298">
        <f t="shared" si="2"/>
        <v>0.7407407407407407</v>
      </c>
      <c r="N21" s="299">
        <f>IF(D21="","",_xlfn.XLOOKUP($C21,BASE01[COD],BASE01[Columna36],"")+_xlfn.XLOOKUP($C21,SEMANA2[COD],SEMANA2[Columna36],""))</f>
        <v>6</v>
      </c>
      <c r="O21" s="299">
        <f>IF(D21="","",_xlfn.XLOOKUP($C21,BASE01[COD],BASE01[Columna37],"")+_xlfn.XLOOKUP($C21,SEMANA2[COD],SEMANA2[Columna37],""))</f>
        <v>3</v>
      </c>
      <c r="P21" s="300">
        <f t="shared" si="3"/>
        <v>0.5</v>
      </c>
      <c r="Q21" s="301">
        <f>_xlfn.XLOOKUP(C21,SEMANA2[COD],SEMANA2[Columna33],"")</f>
        <v>64.5</v>
      </c>
      <c r="R21" s="3"/>
      <c r="U21" s="388" t="str">
        <v>COD 29</v>
      </c>
      <c r="V21" s="388" t="str">
        <f t="shared" si="4"/>
        <v>COD 29</v>
      </c>
    </row>
    <row r="22" spans="1:22" s="388" customFormat="1" ht="23.1" customHeight="1" x14ac:dyDescent="0.35">
      <c r="A22" s="290"/>
      <c r="B22" s="291">
        <f t="shared" si="5"/>
        <v>18</v>
      </c>
      <c r="C22" s="543" t="str">
        <v>COD 34</v>
      </c>
      <c r="D22" s="464" t="str">
        <f>_xlfn.XLOOKUP(C22,CODIGOS_Y_PAGOS[CODIGO],CODIGOS_Y_PAGOS[NOMBRE PARTICIPANTE],"")</f>
        <v>ROBERTO CARLOS</v>
      </c>
      <c r="E22" s="293">
        <f>IF(D22="","",_xlfn.XLOOKUP($C22,BASE01[COD],BASE01[Columna14],"")+_xlfn.XLOOKUP($C22,SEMANA2[COD],SEMANA2[Columna14],""))</f>
        <v>27</v>
      </c>
      <c r="F22" s="293">
        <f>IF(D22="","",_xlfn.XLOOKUP($C22,BASE01[COD],BASE01[Columna19],"")+_xlfn.XLOOKUP($C22,SEMANA2[COD],SEMANA2[Columna19],""))</f>
        <v>7</v>
      </c>
      <c r="G22" s="294">
        <f t="shared" si="0"/>
        <v>0.25925925925925924</v>
      </c>
      <c r="H22" s="295">
        <f>IF(D22="","",_xlfn.XLOOKUP($C22,BASE01[COD],BASE01[Columna29],"")+_xlfn.XLOOKUP($C22,SEMANA2[COD],SEMANA2[Columna29],""))</f>
        <v>27</v>
      </c>
      <c r="I22" s="295">
        <f>IF(D22="","",_xlfn.XLOOKUP($C22,BASE01[COD],BASE01[Columna30],"")+_xlfn.XLOOKUP($C22,SEMANA2[COD],SEMANA2[Columna30],""))</f>
        <v>14</v>
      </c>
      <c r="J22" s="296">
        <f t="shared" si="1"/>
        <v>0.51851851851851849</v>
      </c>
      <c r="K22" s="297">
        <f>IF(D22="","",_xlfn.XLOOKUP($C22,BASE01[COD],BASE01[Columna32],"")+_xlfn.XLOOKUP($C22,SEMANA2[COD],SEMANA2[Columna32],""))</f>
        <v>27</v>
      </c>
      <c r="L22" s="297">
        <f>IF(D22="","",_xlfn.XLOOKUP($C22,BASE01[COD],BASE01[Columna34],"")+_xlfn.XLOOKUP($C22,SEMANA2[COD],SEMANA2[Columna34],""))</f>
        <v>18</v>
      </c>
      <c r="M22" s="298">
        <f t="shared" si="2"/>
        <v>0.66666666666666663</v>
      </c>
      <c r="N22" s="299">
        <f>IF(D22="","",_xlfn.XLOOKUP($C22,BASE01[COD],BASE01[Columna36],"")+_xlfn.XLOOKUP($C22,SEMANA2[COD],SEMANA2[Columna36],""))</f>
        <v>6</v>
      </c>
      <c r="O22" s="299">
        <f>IF(D22="","",_xlfn.XLOOKUP($C22,BASE01[COD],BASE01[Columna37],"")+_xlfn.XLOOKUP($C22,SEMANA2[COD],SEMANA2[Columna37],""))</f>
        <v>4</v>
      </c>
      <c r="P22" s="300">
        <f t="shared" si="3"/>
        <v>0.66666666666666663</v>
      </c>
      <c r="Q22" s="301">
        <f>_xlfn.XLOOKUP(C22,SEMANA2[COD],SEMANA2[Columna33],"")</f>
        <v>64.5</v>
      </c>
      <c r="R22" s="3"/>
      <c r="U22" s="388" t="str">
        <v>COD 34</v>
      </c>
      <c r="V22" s="388" t="str">
        <f t="shared" si="4"/>
        <v>COD 34</v>
      </c>
    </row>
    <row r="23" spans="1:22" s="388" customFormat="1" ht="23.1" customHeight="1" x14ac:dyDescent="0.35">
      <c r="A23" s="290"/>
      <c r="B23" s="291">
        <f t="shared" si="5"/>
        <v>19</v>
      </c>
      <c r="C23" s="543" t="str">
        <v>COD 19</v>
      </c>
      <c r="D23" s="464" t="str">
        <f>_xlfn.XLOOKUP(C23,CODIGOS_Y_PAGOS[CODIGO],CODIGOS_Y_PAGOS[NOMBRE PARTICIPANTE],"")</f>
        <v>EL SAMURAI HIPICO</v>
      </c>
      <c r="E23" s="293">
        <f>IF(D23="","",_xlfn.XLOOKUP($C23,BASE01[COD],BASE01[Columna14],"")+_xlfn.XLOOKUP($C23,SEMANA2[COD],SEMANA2[Columna14],""))</f>
        <v>27</v>
      </c>
      <c r="F23" s="293">
        <f>IF(D23="","",_xlfn.XLOOKUP($C23,BASE01[COD],BASE01[Columna19],"")+_xlfn.XLOOKUP($C23,SEMANA2[COD],SEMANA2[Columna19],""))</f>
        <v>8</v>
      </c>
      <c r="G23" s="294">
        <f t="shared" si="0"/>
        <v>0.29629629629629628</v>
      </c>
      <c r="H23" s="295">
        <f>IF(D23="","",_xlfn.XLOOKUP($C23,BASE01[COD],BASE01[Columna29],"")+_xlfn.XLOOKUP($C23,SEMANA2[COD],SEMANA2[Columna29],""))</f>
        <v>27</v>
      </c>
      <c r="I23" s="295">
        <f>IF(D23="","",_xlfn.XLOOKUP($C23,BASE01[COD],BASE01[Columna30],"")+_xlfn.XLOOKUP($C23,SEMANA2[COD],SEMANA2[Columna30],""))</f>
        <v>12</v>
      </c>
      <c r="J23" s="296">
        <f t="shared" si="1"/>
        <v>0.44444444444444442</v>
      </c>
      <c r="K23" s="297">
        <f>IF(D23="","",_xlfn.XLOOKUP($C23,BASE01[COD],BASE01[Columna32],"")+_xlfn.XLOOKUP($C23,SEMANA2[COD],SEMANA2[Columna32],""))</f>
        <v>27</v>
      </c>
      <c r="L23" s="297">
        <f>IF(D23="","",_xlfn.XLOOKUP($C23,BASE01[COD],BASE01[Columna34],"")+_xlfn.XLOOKUP($C23,SEMANA2[COD],SEMANA2[Columna34],""))</f>
        <v>17</v>
      </c>
      <c r="M23" s="298">
        <f t="shared" si="2"/>
        <v>0.62962962962962965</v>
      </c>
      <c r="N23" s="299">
        <f>IF(D23="","",_xlfn.XLOOKUP($C23,BASE01[COD],BASE01[Columna36],"")+_xlfn.XLOOKUP($C23,SEMANA2[COD],SEMANA2[Columna36],""))</f>
        <v>6</v>
      </c>
      <c r="O23" s="299">
        <f>IF(D23="","",_xlfn.XLOOKUP($C23,BASE01[COD],BASE01[Columna37],"")+_xlfn.XLOOKUP($C23,SEMANA2[COD],SEMANA2[Columna37],""))</f>
        <v>2</v>
      </c>
      <c r="P23" s="300">
        <f t="shared" si="3"/>
        <v>0.33333333333333331</v>
      </c>
      <c r="Q23" s="301">
        <f>_xlfn.XLOOKUP(C23,SEMANA2[COD],SEMANA2[Columna33],"")</f>
        <v>63.5</v>
      </c>
      <c r="R23" s="3"/>
      <c r="U23" s="388" t="str">
        <v>COD 19</v>
      </c>
      <c r="V23" s="388" t="str">
        <f t="shared" si="4"/>
        <v>COD 19</v>
      </c>
    </row>
    <row r="24" spans="1:22" s="388" customFormat="1" ht="23.1" customHeight="1" x14ac:dyDescent="0.35">
      <c r="A24" s="290"/>
      <c r="B24" s="291">
        <f t="shared" si="5"/>
        <v>20</v>
      </c>
      <c r="C24" s="543" t="str">
        <v>COD 32</v>
      </c>
      <c r="D24" s="464" t="str">
        <f>_xlfn.XLOOKUP(C24,CODIGOS_Y_PAGOS[CODIGO],CODIGOS_Y_PAGOS[NOMBRE PARTICIPANTE],"")</f>
        <v>TONY CURTIS</v>
      </c>
      <c r="E24" s="293">
        <f>IF(D24="","",_xlfn.XLOOKUP($C24,BASE01[COD],BASE01[Columna14],"")+_xlfn.XLOOKUP($C24,SEMANA2[COD],SEMANA2[Columna14],""))</f>
        <v>27</v>
      </c>
      <c r="F24" s="293">
        <f>IF(D24="","",_xlfn.XLOOKUP($C24,BASE01[COD],BASE01[Columna19],"")+_xlfn.XLOOKUP($C24,SEMANA2[COD],SEMANA2[Columna19],""))</f>
        <v>10</v>
      </c>
      <c r="G24" s="294">
        <f t="shared" si="0"/>
        <v>0.37037037037037035</v>
      </c>
      <c r="H24" s="295">
        <f>IF(D24="","",_xlfn.XLOOKUP($C24,BASE01[COD],BASE01[Columna29],"")+_xlfn.XLOOKUP($C24,SEMANA2[COD],SEMANA2[Columna29],""))</f>
        <v>27</v>
      </c>
      <c r="I24" s="295">
        <f>IF(D24="","",_xlfn.XLOOKUP($C24,BASE01[COD],BASE01[Columna30],"")+_xlfn.XLOOKUP($C24,SEMANA2[COD],SEMANA2[Columna30],""))</f>
        <v>14</v>
      </c>
      <c r="J24" s="296">
        <f t="shared" si="1"/>
        <v>0.51851851851851849</v>
      </c>
      <c r="K24" s="297">
        <f>IF(D24="","",_xlfn.XLOOKUP($C24,BASE01[COD],BASE01[Columna32],"")+_xlfn.XLOOKUP($C24,SEMANA2[COD],SEMANA2[Columna32],""))</f>
        <v>27</v>
      </c>
      <c r="L24" s="297">
        <f>IF(D24="","",_xlfn.XLOOKUP($C24,BASE01[COD],BASE01[Columna34],"")+_xlfn.XLOOKUP($C24,SEMANA2[COD],SEMANA2[Columna34],""))</f>
        <v>17</v>
      </c>
      <c r="M24" s="298">
        <f t="shared" si="2"/>
        <v>0.62962962962962965</v>
      </c>
      <c r="N24" s="299">
        <f>IF(D24="","",_xlfn.XLOOKUP($C24,BASE01[COD],BASE01[Columna36],"")+_xlfn.XLOOKUP($C24,SEMANA2[COD],SEMANA2[Columna36],""))</f>
        <v>6</v>
      </c>
      <c r="O24" s="299">
        <f>IF(D24="","",_xlfn.XLOOKUP($C24,BASE01[COD],BASE01[Columna37],"")+_xlfn.XLOOKUP($C24,SEMANA2[COD],SEMANA2[Columna37],""))</f>
        <v>3</v>
      </c>
      <c r="P24" s="300">
        <f t="shared" si="3"/>
        <v>0.5</v>
      </c>
      <c r="Q24" s="301">
        <f>_xlfn.XLOOKUP(C24,SEMANA2[COD],SEMANA2[Columna33],"")</f>
        <v>62.5</v>
      </c>
      <c r="R24" s="3"/>
      <c r="U24" s="388" t="str">
        <v>COD 32</v>
      </c>
      <c r="V24" s="388" t="str">
        <f t="shared" si="4"/>
        <v>COD 32</v>
      </c>
    </row>
    <row r="25" spans="1:22" s="388" customFormat="1" ht="23.1" customHeight="1" x14ac:dyDescent="0.35">
      <c r="A25" s="290"/>
      <c r="B25" s="302">
        <f t="shared" si="5"/>
        <v>21</v>
      </c>
      <c r="C25" s="543" t="str">
        <v>COD 04</v>
      </c>
      <c r="D25" s="464" t="str">
        <f>_xlfn.XLOOKUP(C25,CODIGOS_Y_PAGOS[CODIGO],CODIGOS_Y_PAGOS[NOMBRE PARTICIPANTE],"")</f>
        <v>EL HIPICO 701</v>
      </c>
      <c r="E25" s="293">
        <f>IF(D25="","",_xlfn.XLOOKUP($C25,BASE01[COD],BASE01[Columna14],"")+_xlfn.XLOOKUP($C25,SEMANA2[COD],SEMANA2[Columna14],""))</f>
        <v>27</v>
      </c>
      <c r="F25" s="293">
        <f>IF(D25="","",_xlfn.XLOOKUP($C25,BASE01[COD],BASE01[Columna19],"")+_xlfn.XLOOKUP($C25,SEMANA2[COD],SEMANA2[Columna19],""))</f>
        <v>10</v>
      </c>
      <c r="G25" s="294">
        <f t="shared" si="0"/>
        <v>0.37037037037037035</v>
      </c>
      <c r="H25" s="295">
        <f>IF(D25="","",_xlfn.XLOOKUP($C25,BASE01[COD],BASE01[Columna29],"")+_xlfn.XLOOKUP($C25,SEMANA2[COD],SEMANA2[Columna29],""))</f>
        <v>27</v>
      </c>
      <c r="I25" s="295">
        <f>IF(D25="","",_xlfn.XLOOKUP($C25,BASE01[COD],BASE01[Columna30],"")+_xlfn.XLOOKUP($C25,SEMANA2[COD],SEMANA2[Columna30],""))</f>
        <v>11</v>
      </c>
      <c r="J25" s="296">
        <f t="shared" si="1"/>
        <v>0.40740740740740738</v>
      </c>
      <c r="K25" s="297">
        <f>IF(D25="","",_xlfn.XLOOKUP($C25,BASE01[COD],BASE01[Columna32],"")+_xlfn.XLOOKUP($C25,SEMANA2[COD],SEMANA2[Columna32],""))</f>
        <v>27</v>
      </c>
      <c r="L25" s="297">
        <f>IF(D25="","",_xlfn.XLOOKUP($C25,BASE01[COD],BASE01[Columna34],"")+_xlfn.XLOOKUP($C25,SEMANA2[COD],SEMANA2[Columna34],""))</f>
        <v>16</v>
      </c>
      <c r="M25" s="298">
        <f t="shared" si="2"/>
        <v>0.59259259259259256</v>
      </c>
      <c r="N25" s="299">
        <f>IF(D25="","",_xlfn.XLOOKUP($C25,BASE01[COD],BASE01[Columna36],"")+_xlfn.XLOOKUP($C25,SEMANA2[COD],SEMANA2[Columna36],""))</f>
        <v>6</v>
      </c>
      <c r="O25" s="299">
        <f>IF(D25="","",_xlfn.XLOOKUP($C25,BASE01[COD],BASE01[Columna37],"")+_xlfn.XLOOKUP($C25,SEMANA2[COD],SEMANA2[Columna37],""))</f>
        <v>3</v>
      </c>
      <c r="P25" s="300">
        <f t="shared" si="3"/>
        <v>0.5</v>
      </c>
      <c r="Q25" s="301">
        <f>_xlfn.XLOOKUP(C25,SEMANA2[COD],SEMANA2[Columna33],"")</f>
        <v>61.5</v>
      </c>
      <c r="R25" s="3"/>
      <c r="U25" s="388" t="str">
        <v>COD 04</v>
      </c>
      <c r="V25" s="388" t="str">
        <f t="shared" si="4"/>
        <v>COD 04</v>
      </c>
    </row>
    <row r="26" spans="1:22" s="388" customFormat="1" ht="23.1" customHeight="1" x14ac:dyDescent="0.35">
      <c r="A26" s="290"/>
      <c r="B26" s="303">
        <f t="shared" si="5"/>
        <v>22</v>
      </c>
      <c r="C26" s="543" t="str">
        <v>COD 06</v>
      </c>
      <c r="D26" s="464" t="str">
        <f>_xlfn.XLOOKUP(C26,CODIGOS_Y_PAGOS[CODIGO],CODIGOS_Y_PAGOS[NOMBRE PARTICIPANTE],"")</f>
        <v>JESUS ROJAS</v>
      </c>
      <c r="E26" s="293">
        <f>IF(D26="","",_xlfn.XLOOKUP($C26,BASE01[COD],BASE01[Columna14],"")+_xlfn.XLOOKUP($C26,SEMANA2[COD],SEMANA2[Columna14],""))</f>
        <v>27</v>
      </c>
      <c r="F26" s="293">
        <f>IF(D26="","",_xlfn.XLOOKUP($C26,BASE01[COD],BASE01[Columna19],"")+_xlfn.XLOOKUP($C26,SEMANA2[COD],SEMANA2[Columna19],""))</f>
        <v>11</v>
      </c>
      <c r="G26" s="294">
        <f t="shared" si="0"/>
        <v>0.40740740740740738</v>
      </c>
      <c r="H26" s="295">
        <f>IF(D26="","",_xlfn.XLOOKUP($C26,BASE01[COD],BASE01[Columna29],"")+_xlfn.XLOOKUP($C26,SEMANA2[COD],SEMANA2[Columna29],""))</f>
        <v>27</v>
      </c>
      <c r="I26" s="295">
        <f>IF(D26="","",_xlfn.XLOOKUP($C26,BASE01[COD],BASE01[Columna30],"")+_xlfn.XLOOKUP($C26,SEMANA2[COD],SEMANA2[Columna30],""))</f>
        <v>13</v>
      </c>
      <c r="J26" s="296">
        <f t="shared" si="1"/>
        <v>0.48148148148148145</v>
      </c>
      <c r="K26" s="297">
        <f>IF(D26="","",_xlfn.XLOOKUP($C26,BASE01[COD],BASE01[Columna32],"")+_xlfn.XLOOKUP($C26,SEMANA2[COD],SEMANA2[Columna32],""))</f>
        <v>27</v>
      </c>
      <c r="L26" s="297">
        <f>IF(D26="","",_xlfn.XLOOKUP($C26,BASE01[COD],BASE01[Columna34],"")+_xlfn.XLOOKUP($C26,SEMANA2[COD],SEMANA2[Columna34],""))</f>
        <v>16</v>
      </c>
      <c r="M26" s="298">
        <f t="shared" si="2"/>
        <v>0.59259259259259256</v>
      </c>
      <c r="N26" s="299">
        <f>IF(D26="","",_xlfn.XLOOKUP($C26,BASE01[COD],BASE01[Columna36],"")+_xlfn.XLOOKUP($C26,SEMANA2[COD],SEMANA2[Columna36],""))</f>
        <v>5</v>
      </c>
      <c r="O26" s="299">
        <f>IF(D26="","",_xlfn.XLOOKUP($C26,BASE01[COD],BASE01[Columna37],"")+_xlfn.XLOOKUP($C26,SEMANA2[COD],SEMANA2[Columna37],""))</f>
        <v>3</v>
      </c>
      <c r="P26" s="300">
        <f t="shared" si="3"/>
        <v>0.6</v>
      </c>
      <c r="Q26" s="301">
        <f>_xlfn.XLOOKUP(C26,SEMANA2[COD],SEMANA2[Columna33],"")</f>
        <v>61.5</v>
      </c>
      <c r="R26" s="3"/>
      <c r="U26" s="388" t="str">
        <v>COD 06</v>
      </c>
      <c r="V26" s="388" t="str">
        <f t="shared" si="4"/>
        <v>COD 06</v>
      </c>
    </row>
    <row r="27" spans="1:22" s="388" customFormat="1" ht="23.1" customHeight="1" x14ac:dyDescent="0.35">
      <c r="A27" s="290"/>
      <c r="B27" s="302">
        <f t="shared" si="5"/>
        <v>23</v>
      </c>
      <c r="C27" s="543" t="str">
        <v>COD 36</v>
      </c>
      <c r="D27" s="464" t="str">
        <f>_xlfn.XLOOKUP(C27,CODIGOS_Y_PAGOS[CODIGO],CODIGOS_Y_PAGOS[NOMBRE PARTICIPANTE],"")</f>
        <v>EDGAR ALEXANDER</v>
      </c>
      <c r="E27" s="293">
        <f>IF(D27="","",_xlfn.XLOOKUP($C27,BASE01[COD],BASE01[Columna14],"")+_xlfn.XLOOKUP($C27,SEMANA2[COD],SEMANA2[Columna14],""))</f>
        <v>27</v>
      </c>
      <c r="F27" s="293">
        <f>IF(D27="","",_xlfn.XLOOKUP($C27,BASE01[COD],BASE01[Columna19],"")+_xlfn.XLOOKUP($C27,SEMANA2[COD],SEMANA2[Columna19],""))</f>
        <v>8</v>
      </c>
      <c r="G27" s="294">
        <f t="shared" si="0"/>
        <v>0.29629629629629628</v>
      </c>
      <c r="H27" s="295">
        <f>IF(D27="","",_xlfn.XLOOKUP($C27,BASE01[COD],BASE01[Columna29],"")+_xlfn.XLOOKUP($C27,SEMANA2[COD],SEMANA2[Columna29],""))</f>
        <v>27</v>
      </c>
      <c r="I27" s="295">
        <f>IF(D27="","",_xlfn.XLOOKUP($C27,BASE01[COD],BASE01[Columna30],"")+_xlfn.XLOOKUP($C27,SEMANA2[COD],SEMANA2[Columna30],""))</f>
        <v>14</v>
      </c>
      <c r="J27" s="296">
        <f t="shared" si="1"/>
        <v>0.51851851851851849</v>
      </c>
      <c r="K27" s="297">
        <f>IF(D27="","",_xlfn.XLOOKUP($C27,BASE01[COD],BASE01[Columna32],"")+_xlfn.XLOOKUP($C27,SEMANA2[COD],SEMANA2[Columna32],""))</f>
        <v>27</v>
      </c>
      <c r="L27" s="297">
        <f>IF(D27="","",_xlfn.XLOOKUP($C27,BASE01[COD],BASE01[Columna34],"")+_xlfn.XLOOKUP($C27,SEMANA2[COD],SEMANA2[Columna34],""))</f>
        <v>16</v>
      </c>
      <c r="M27" s="298">
        <f t="shared" si="2"/>
        <v>0.59259259259259256</v>
      </c>
      <c r="N27" s="299">
        <f>IF(D27="","",_xlfn.XLOOKUP($C27,BASE01[COD],BASE01[Columna36],"")+_xlfn.XLOOKUP($C27,SEMANA2[COD],SEMANA2[Columna36],""))</f>
        <v>6</v>
      </c>
      <c r="O27" s="299">
        <f>IF(D27="","",_xlfn.XLOOKUP($C27,BASE01[COD],BASE01[Columna37],"")+_xlfn.XLOOKUP($C27,SEMANA2[COD],SEMANA2[Columna37],""))</f>
        <v>3</v>
      </c>
      <c r="P27" s="300">
        <f t="shared" si="3"/>
        <v>0.5</v>
      </c>
      <c r="Q27" s="301">
        <f>_xlfn.XLOOKUP(C27,SEMANA2[COD],SEMANA2[Columna33],"")</f>
        <v>61.5</v>
      </c>
      <c r="R27" s="3"/>
      <c r="U27" s="388" t="str">
        <v>COD 36</v>
      </c>
      <c r="V27" s="388" t="str">
        <f t="shared" si="4"/>
        <v>COD 36</v>
      </c>
    </row>
    <row r="28" spans="1:22" s="388" customFormat="1" ht="23.1" customHeight="1" x14ac:dyDescent="0.35">
      <c r="A28" s="290"/>
      <c r="B28" s="302">
        <f t="shared" si="5"/>
        <v>24</v>
      </c>
      <c r="C28" s="543" t="str">
        <v>COD 37</v>
      </c>
      <c r="D28" s="464" t="str">
        <f>_xlfn.XLOOKUP(C28,CODIGOS_Y_PAGOS[CODIGO],CODIGOS_Y_PAGOS[NOMBRE PARTICIPANTE],"")</f>
        <v>GLADIADOR HIPICO</v>
      </c>
      <c r="E28" s="293">
        <f>IF(D28="","",_xlfn.XLOOKUP($C28,BASE01[COD],BASE01[Columna14],"")+_xlfn.XLOOKUP($C28,SEMANA2[COD],SEMANA2[Columna14],""))</f>
        <v>27</v>
      </c>
      <c r="F28" s="293">
        <f>IF(D28="","",_xlfn.XLOOKUP($C28,BASE01[COD],BASE01[Columna19],"")+_xlfn.XLOOKUP($C28,SEMANA2[COD],SEMANA2[Columna19],""))</f>
        <v>6</v>
      </c>
      <c r="G28" s="294">
        <f t="shared" si="0"/>
        <v>0.22222222222222221</v>
      </c>
      <c r="H28" s="295">
        <f>IF(D28="","",_xlfn.XLOOKUP($C28,BASE01[COD],BASE01[Columna29],"")+_xlfn.XLOOKUP($C28,SEMANA2[COD],SEMANA2[Columna29],""))</f>
        <v>27</v>
      </c>
      <c r="I28" s="295">
        <f>IF(D28="","",_xlfn.XLOOKUP($C28,BASE01[COD],BASE01[Columna30],"")+_xlfn.XLOOKUP($C28,SEMANA2[COD],SEMANA2[Columna30],""))</f>
        <v>12</v>
      </c>
      <c r="J28" s="296">
        <f t="shared" si="1"/>
        <v>0.44444444444444442</v>
      </c>
      <c r="K28" s="297">
        <f>IF(D28="","",_xlfn.XLOOKUP($C28,BASE01[COD],BASE01[Columna32],"")+_xlfn.XLOOKUP($C28,SEMANA2[COD],SEMANA2[Columna32],""))</f>
        <v>27</v>
      </c>
      <c r="L28" s="297">
        <f>IF(D28="","",_xlfn.XLOOKUP($C28,BASE01[COD],BASE01[Columna34],"")+_xlfn.XLOOKUP($C28,SEMANA2[COD],SEMANA2[Columna34],""))</f>
        <v>19</v>
      </c>
      <c r="M28" s="298">
        <f t="shared" si="2"/>
        <v>0.70370370370370372</v>
      </c>
      <c r="N28" s="299">
        <f>IF(D28="","",_xlfn.XLOOKUP($C28,BASE01[COD],BASE01[Columna36],"")+_xlfn.XLOOKUP($C28,SEMANA2[COD],SEMANA2[Columna36],""))</f>
        <v>6</v>
      </c>
      <c r="O28" s="299">
        <f>IF(D28="","",_xlfn.XLOOKUP($C28,BASE01[COD],BASE01[Columna37],"")+_xlfn.XLOOKUP($C28,SEMANA2[COD],SEMANA2[Columna37],""))</f>
        <v>4</v>
      </c>
      <c r="P28" s="300">
        <f t="shared" si="3"/>
        <v>0.66666666666666663</v>
      </c>
      <c r="Q28" s="301">
        <f>_xlfn.XLOOKUP(C28,SEMANA2[COD],SEMANA2[Columna33],"")</f>
        <v>61.5</v>
      </c>
      <c r="R28" s="3"/>
      <c r="U28" s="388" t="str">
        <v>COD 37</v>
      </c>
      <c r="V28" s="388" t="str">
        <f t="shared" si="4"/>
        <v>COD 37</v>
      </c>
    </row>
    <row r="29" spans="1:22" s="388" customFormat="1" ht="23.1" customHeight="1" x14ac:dyDescent="0.35">
      <c r="A29" s="290"/>
      <c r="B29" s="302">
        <f t="shared" si="5"/>
        <v>25</v>
      </c>
      <c r="C29" s="543" t="str">
        <v>COD 33</v>
      </c>
      <c r="D29" s="464" t="str">
        <f>_xlfn.XLOOKUP(C29,CODIGOS_Y_PAGOS[CODIGO],CODIGOS_Y_PAGOS[NOMBRE PARTICIPANTE],"")</f>
        <v>JOSE LUIS ANTUNEZ</v>
      </c>
      <c r="E29" s="293">
        <f>IF(D29="","",_xlfn.XLOOKUP($C29,BASE01[COD],BASE01[Columna14],"")+_xlfn.XLOOKUP($C29,SEMANA2[COD],SEMANA2[Columna14],""))</f>
        <v>27</v>
      </c>
      <c r="F29" s="293">
        <f>IF(D29="","",_xlfn.XLOOKUP($C29,BASE01[COD],BASE01[Columna19],"")+_xlfn.XLOOKUP($C29,SEMANA2[COD],SEMANA2[Columna19],""))</f>
        <v>7</v>
      </c>
      <c r="G29" s="294">
        <f t="shared" si="0"/>
        <v>0.25925925925925924</v>
      </c>
      <c r="H29" s="295">
        <f>IF(D29="","",_xlfn.XLOOKUP($C29,BASE01[COD],BASE01[Columna29],"")+_xlfn.XLOOKUP($C29,SEMANA2[COD],SEMANA2[Columna29],""))</f>
        <v>27</v>
      </c>
      <c r="I29" s="295">
        <f>IF(D29="","",_xlfn.XLOOKUP($C29,BASE01[COD],BASE01[Columna30],"")+_xlfn.XLOOKUP($C29,SEMANA2[COD],SEMANA2[Columna30],""))</f>
        <v>15</v>
      </c>
      <c r="J29" s="296">
        <f t="shared" si="1"/>
        <v>0.55555555555555558</v>
      </c>
      <c r="K29" s="297">
        <f>IF(D29="","",_xlfn.XLOOKUP($C29,BASE01[COD],BASE01[Columna32],"")+_xlfn.XLOOKUP($C29,SEMANA2[COD],SEMANA2[Columna32],""))</f>
        <v>27</v>
      </c>
      <c r="L29" s="297">
        <f>IF(D29="","",_xlfn.XLOOKUP($C29,BASE01[COD],BASE01[Columna34],"")+_xlfn.XLOOKUP($C29,SEMANA2[COD],SEMANA2[Columna34],""))</f>
        <v>16</v>
      </c>
      <c r="M29" s="298">
        <f t="shared" si="2"/>
        <v>0.59259259259259256</v>
      </c>
      <c r="N29" s="299">
        <f>IF(D29="","",_xlfn.XLOOKUP($C29,BASE01[COD],BASE01[Columna36],"")+_xlfn.XLOOKUP($C29,SEMANA2[COD],SEMANA2[Columna36],""))</f>
        <v>6</v>
      </c>
      <c r="O29" s="299">
        <f>IF(D29="","",_xlfn.XLOOKUP($C29,BASE01[COD],BASE01[Columna37],"")+_xlfn.XLOOKUP($C29,SEMANA2[COD],SEMANA2[Columna37],""))</f>
        <v>3</v>
      </c>
      <c r="P29" s="300">
        <f t="shared" si="3"/>
        <v>0.5</v>
      </c>
      <c r="Q29" s="301">
        <f>_xlfn.XLOOKUP(C29,SEMANA2[COD],SEMANA2[Columna33],"")</f>
        <v>60.5</v>
      </c>
      <c r="R29" s="3"/>
      <c r="U29" s="388" t="str">
        <v>COD 33</v>
      </c>
      <c r="V29" s="388" t="str">
        <f t="shared" si="4"/>
        <v>COD 33</v>
      </c>
    </row>
    <row r="30" spans="1:22" s="388" customFormat="1" ht="23.1" customHeight="1" x14ac:dyDescent="0.35">
      <c r="A30" s="290"/>
      <c r="B30" s="302">
        <f t="shared" si="5"/>
        <v>26</v>
      </c>
      <c r="C30" s="543" t="str">
        <v>COD 07</v>
      </c>
      <c r="D30" s="464" t="str">
        <f>_xlfn.XLOOKUP(C30,CODIGOS_Y_PAGOS[CODIGO],CODIGOS_Y_PAGOS[NOMBRE PARTICIPANTE],"")</f>
        <v>NELSON OSORIO</v>
      </c>
      <c r="E30" s="293">
        <f>IF(D30="","",_xlfn.XLOOKUP($C30,BASE01[COD],BASE01[Columna14],"")+_xlfn.XLOOKUP($C30,SEMANA2[COD],SEMANA2[Columna14],""))</f>
        <v>27</v>
      </c>
      <c r="F30" s="293">
        <f>IF(D30="","",_xlfn.XLOOKUP($C30,BASE01[COD],BASE01[Columna19],"")+_xlfn.XLOOKUP($C30,SEMANA2[COD],SEMANA2[Columna19],""))</f>
        <v>9</v>
      </c>
      <c r="G30" s="294">
        <f t="shared" si="0"/>
        <v>0.33333333333333331</v>
      </c>
      <c r="H30" s="295">
        <f>IF(D30="","",_xlfn.XLOOKUP($C30,BASE01[COD],BASE01[Columna29],"")+_xlfn.XLOOKUP($C30,SEMANA2[COD],SEMANA2[Columna29],""))</f>
        <v>27</v>
      </c>
      <c r="I30" s="295">
        <f>IF(D30="","",_xlfn.XLOOKUP($C30,BASE01[COD],BASE01[Columna30],"")+_xlfn.XLOOKUP($C30,SEMANA2[COD],SEMANA2[Columna30],""))</f>
        <v>11</v>
      </c>
      <c r="J30" s="296">
        <f t="shared" si="1"/>
        <v>0.40740740740740738</v>
      </c>
      <c r="K30" s="297">
        <f>IF(D30="","",_xlfn.XLOOKUP($C30,BASE01[COD],BASE01[Columna32],"")+_xlfn.XLOOKUP($C30,SEMANA2[COD],SEMANA2[Columna32],""))</f>
        <v>27</v>
      </c>
      <c r="L30" s="297">
        <f>IF(D30="","",_xlfn.XLOOKUP($C30,BASE01[COD],BASE01[Columna34],"")+_xlfn.XLOOKUP($C30,SEMANA2[COD],SEMANA2[Columna34],""))</f>
        <v>17</v>
      </c>
      <c r="M30" s="298">
        <f t="shared" si="2"/>
        <v>0.62962962962962965</v>
      </c>
      <c r="N30" s="299">
        <f>IF(D30="","",_xlfn.XLOOKUP($C30,BASE01[COD],BASE01[Columna36],"")+_xlfn.XLOOKUP($C30,SEMANA2[COD],SEMANA2[Columna36],""))</f>
        <v>6</v>
      </c>
      <c r="O30" s="299">
        <f>IF(D30="","",_xlfn.XLOOKUP($C30,BASE01[COD],BASE01[Columna37],"")+_xlfn.XLOOKUP($C30,SEMANA2[COD],SEMANA2[Columna37],""))</f>
        <v>4</v>
      </c>
      <c r="P30" s="300">
        <f t="shared" si="3"/>
        <v>0.66666666666666663</v>
      </c>
      <c r="Q30" s="301">
        <f>_xlfn.XLOOKUP(C30,SEMANA2[COD],SEMANA2[Columna33],"")</f>
        <v>59.5</v>
      </c>
      <c r="R30" s="3"/>
      <c r="U30" s="388" t="str">
        <v>COD 07</v>
      </c>
      <c r="V30" s="388" t="str">
        <f t="shared" si="4"/>
        <v>COD 07</v>
      </c>
    </row>
    <row r="31" spans="1:22" s="388" customFormat="1" ht="23.1" customHeight="1" x14ac:dyDescent="0.35">
      <c r="A31" s="290"/>
      <c r="B31" s="302">
        <f t="shared" si="5"/>
        <v>27</v>
      </c>
      <c r="C31" s="543" t="str">
        <v>COD 31</v>
      </c>
      <c r="D31" s="464" t="str">
        <f>_xlfn.XLOOKUP(C31,CODIGOS_Y_PAGOS[CODIGO],CODIGOS_Y_PAGOS[NOMBRE PARTICIPANTE],"")</f>
        <v>ALBIN</v>
      </c>
      <c r="E31" s="293">
        <f>IF(D31="","",_xlfn.XLOOKUP($C31,BASE01[COD],BASE01[Columna14],"")+_xlfn.XLOOKUP($C31,SEMANA2[COD],SEMANA2[Columna14],""))</f>
        <v>27</v>
      </c>
      <c r="F31" s="293">
        <f>IF(D31="","",_xlfn.XLOOKUP($C31,BASE01[COD],BASE01[Columna19],"")+_xlfn.XLOOKUP($C31,SEMANA2[COD],SEMANA2[Columna19],""))</f>
        <v>9</v>
      </c>
      <c r="G31" s="294">
        <f t="shared" si="0"/>
        <v>0.33333333333333331</v>
      </c>
      <c r="H31" s="295">
        <f>IF(D31="","",_xlfn.XLOOKUP($C31,BASE01[COD],BASE01[Columna29],"")+_xlfn.XLOOKUP($C31,SEMANA2[COD],SEMANA2[Columna29],""))</f>
        <v>27</v>
      </c>
      <c r="I31" s="295">
        <f>IF(D31="","",_xlfn.XLOOKUP($C31,BASE01[COD],BASE01[Columna30],"")+_xlfn.XLOOKUP($C31,SEMANA2[COD],SEMANA2[Columna30],""))</f>
        <v>15</v>
      </c>
      <c r="J31" s="296">
        <f t="shared" si="1"/>
        <v>0.55555555555555558</v>
      </c>
      <c r="K31" s="297">
        <f>IF(D31="","",_xlfn.XLOOKUP($C31,BASE01[COD],BASE01[Columna32],"")+_xlfn.XLOOKUP($C31,SEMANA2[COD],SEMANA2[Columna32],""))</f>
        <v>27</v>
      </c>
      <c r="L31" s="297">
        <f>IF(D31="","",_xlfn.XLOOKUP($C31,BASE01[COD],BASE01[Columna34],"")+_xlfn.XLOOKUP($C31,SEMANA2[COD],SEMANA2[Columna34],""))</f>
        <v>17</v>
      </c>
      <c r="M31" s="298">
        <f t="shared" si="2"/>
        <v>0.62962962962962965</v>
      </c>
      <c r="N31" s="299">
        <f>IF(D31="","",_xlfn.XLOOKUP($C31,BASE01[COD],BASE01[Columna36],"")+_xlfn.XLOOKUP($C31,SEMANA2[COD],SEMANA2[Columna36],""))</f>
        <v>6</v>
      </c>
      <c r="O31" s="299">
        <f>IF(D31="","",_xlfn.XLOOKUP($C31,BASE01[COD],BASE01[Columna37],"")+_xlfn.XLOOKUP($C31,SEMANA2[COD],SEMANA2[Columna37],""))</f>
        <v>2</v>
      </c>
      <c r="P31" s="300">
        <f t="shared" si="3"/>
        <v>0.33333333333333331</v>
      </c>
      <c r="Q31" s="301">
        <f>_xlfn.XLOOKUP(C31,SEMANA2[COD],SEMANA2[Columna33],"")</f>
        <v>59.5</v>
      </c>
      <c r="R31" s="3"/>
      <c r="U31" s="388" t="str">
        <v>COD 31</v>
      </c>
      <c r="V31" s="388" t="str">
        <f t="shared" si="4"/>
        <v>COD 31</v>
      </c>
    </row>
    <row r="32" spans="1:22" s="388" customFormat="1" ht="23.1" customHeight="1" x14ac:dyDescent="0.35">
      <c r="A32" s="290"/>
      <c r="B32" s="302">
        <f t="shared" si="5"/>
        <v>28</v>
      </c>
      <c r="C32" s="543" t="str">
        <v>COD 35</v>
      </c>
      <c r="D32" s="464" t="str">
        <f>_xlfn.XLOOKUP(C32,CODIGOS_Y_PAGOS[CODIGO],CODIGOS_Y_PAGOS[NOMBRE PARTICIPANTE],"")</f>
        <v>YOVANNY</v>
      </c>
      <c r="E32" s="293">
        <f>IF(D32="","",_xlfn.XLOOKUP($C32,BASE01[COD],BASE01[Columna14],"")+_xlfn.XLOOKUP($C32,SEMANA2[COD],SEMANA2[Columna14],""))</f>
        <v>27</v>
      </c>
      <c r="F32" s="293">
        <f>IF(D32="","",_xlfn.XLOOKUP($C32,BASE01[COD],BASE01[Columna19],"")+_xlfn.XLOOKUP($C32,SEMANA2[COD],SEMANA2[Columna19],""))</f>
        <v>10</v>
      </c>
      <c r="G32" s="294">
        <f t="shared" si="0"/>
        <v>0.37037037037037035</v>
      </c>
      <c r="H32" s="295">
        <f>IF(D32="","",_xlfn.XLOOKUP($C32,BASE01[COD],BASE01[Columna29],"")+_xlfn.XLOOKUP($C32,SEMANA2[COD],SEMANA2[Columna29],""))</f>
        <v>27</v>
      </c>
      <c r="I32" s="295">
        <f>IF(D32="","",_xlfn.XLOOKUP($C32,BASE01[COD],BASE01[Columna30],"")+_xlfn.XLOOKUP($C32,SEMANA2[COD],SEMANA2[Columna30],""))</f>
        <v>12</v>
      </c>
      <c r="J32" s="296">
        <f t="shared" si="1"/>
        <v>0.44444444444444442</v>
      </c>
      <c r="K32" s="297">
        <f>IF(D32="","",_xlfn.XLOOKUP($C32,BASE01[COD],BASE01[Columna32],"")+_xlfn.XLOOKUP($C32,SEMANA2[COD],SEMANA2[Columna32],""))</f>
        <v>27</v>
      </c>
      <c r="L32" s="297">
        <f>IF(D32="","",_xlfn.XLOOKUP($C32,BASE01[COD],BASE01[Columna34],"")+_xlfn.XLOOKUP($C32,SEMANA2[COD],SEMANA2[Columna34],""))</f>
        <v>18</v>
      </c>
      <c r="M32" s="298">
        <f t="shared" si="2"/>
        <v>0.66666666666666663</v>
      </c>
      <c r="N32" s="299">
        <f>IF(D32="","",_xlfn.XLOOKUP($C32,BASE01[COD],BASE01[Columna36],"")+_xlfn.XLOOKUP($C32,SEMANA2[COD],SEMANA2[Columna36],""))</f>
        <v>6</v>
      </c>
      <c r="O32" s="299">
        <f>IF(D32="","",_xlfn.XLOOKUP($C32,BASE01[COD],BASE01[Columna37],"")+_xlfn.XLOOKUP($C32,SEMANA2[COD],SEMANA2[Columna37],""))</f>
        <v>4</v>
      </c>
      <c r="P32" s="300">
        <f t="shared" si="3"/>
        <v>0.66666666666666663</v>
      </c>
      <c r="Q32" s="301">
        <f>_xlfn.XLOOKUP(C32,SEMANA2[COD],SEMANA2[Columna33],"")</f>
        <v>59.5</v>
      </c>
      <c r="R32" s="3"/>
      <c r="U32" s="388" t="str">
        <v>COD 35</v>
      </c>
      <c r="V32" s="388" t="str">
        <f t="shared" si="4"/>
        <v>COD 35</v>
      </c>
    </row>
    <row r="33" spans="1:22" s="388" customFormat="1" ht="23.1" customHeight="1" x14ac:dyDescent="0.35">
      <c r="A33" s="290"/>
      <c r="B33" s="302">
        <f t="shared" si="5"/>
        <v>29</v>
      </c>
      <c r="C33" s="543" t="str">
        <v>COD 13</v>
      </c>
      <c r="D33" s="464" t="str">
        <f>_xlfn.XLOOKUP(C33,CODIGOS_Y_PAGOS[CODIGO],CODIGOS_Y_PAGOS[NOMBRE PARTICIPANTE],"")</f>
        <v>NOTAS HIPICAS</v>
      </c>
      <c r="E33" s="293">
        <f>IF(D33="","",_xlfn.XLOOKUP($C33,BASE01[COD],BASE01[Columna14],"")+_xlfn.XLOOKUP($C33,SEMANA2[COD],SEMANA2[Columna14],""))</f>
        <v>27</v>
      </c>
      <c r="F33" s="293">
        <f>IF(D33="","",_xlfn.XLOOKUP($C33,BASE01[COD],BASE01[Columna19],"")+_xlfn.XLOOKUP($C33,SEMANA2[COD],SEMANA2[Columna19],""))</f>
        <v>7</v>
      </c>
      <c r="G33" s="294">
        <f t="shared" si="0"/>
        <v>0.25925925925925924</v>
      </c>
      <c r="H33" s="295">
        <f>IF(D33="","",_xlfn.XLOOKUP($C33,BASE01[COD],BASE01[Columna29],"")+_xlfn.XLOOKUP($C33,SEMANA2[COD],SEMANA2[Columna29],""))</f>
        <v>27</v>
      </c>
      <c r="I33" s="295">
        <f>IF(D33="","",_xlfn.XLOOKUP($C33,BASE01[COD],BASE01[Columna30],"")+_xlfn.XLOOKUP($C33,SEMANA2[COD],SEMANA2[Columna30],""))</f>
        <v>12</v>
      </c>
      <c r="J33" s="296">
        <f t="shared" si="1"/>
        <v>0.44444444444444442</v>
      </c>
      <c r="K33" s="297">
        <f>IF(D33="","",_xlfn.XLOOKUP($C33,BASE01[COD],BASE01[Columna32],"")+_xlfn.XLOOKUP($C33,SEMANA2[COD],SEMANA2[Columna32],""))</f>
        <v>27</v>
      </c>
      <c r="L33" s="297">
        <f>IF(D33="","",_xlfn.XLOOKUP($C33,BASE01[COD],BASE01[Columna34],"")+_xlfn.XLOOKUP($C33,SEMANA2[COD],SEMANA2[Columna34],""))</f>
        <v>16</v>
      </c>
      <c r="M33" s="298">
        <f t="shared" si="2"/>
        <v>0.59259259259259256</v>
      </c>
      <c r="N33" s="299">
        <f>IF(D33="","",_xlfn.XLOOKUP($C33,BASE01[COD],BASE01[Columna36],"")+_xlfn.XLOOKUP($C33,SEMANA2[COD],SEMANA2[Columna36],""))</f>
        <v>5</v>
      </c>
      <c r="O33" s="299">
        <f>IF(D33="","",_xlfn.XLOOKUP($C33,BASE01[COD],BASE01[Columna37],"")+_xlfn.XLOOKUP($C33,SEMANA2[COD],SEMANA2[Columna37],""))</f>
        <v>4</v>
      </c>
      <c r="P33" s="300">
        <f t="shared" si="3"/>
        <v>0.8</v>
      </c>
      <c r="Q33" s="301">
        <f>_xlfn.XLOOKUP(C33,SEMANA2[COD],SEMANA2[Columna33],"")</f>
        <v>58.5</v>
      </c>
      <c r="R33" s="3"/>
      <c r="U33" s="388" t="str">
        <v>COD 13</v>
      </c>
      <c r="V33" s="388" t="str">
        <f t="shared" si="4"/>
        <v>COD 13</v>
      </c>
    </row>
    <row r="34" spans="1:22" s="388" customFormat="1" ht="23.1" customHeight="1" x14ac:dyDescent="0.35">
      <c r="A34" s="290"/>
      <c r="B34" s="302">
        <f t="shared" si="5"/>
        <v>30</v>
      </c>
      <c r="C34" s="543" t="str">
        <v>COD 14</v>
      </c>
      <c r="D34" s="464" t="str">
        <f>_xlfn.XLOOKUP(C34,CODIGOS_Y_PAGOS[CODIGO],CODIGOS_Y_PAGOS[NOMBRE PARTICIPANTE],"")</f>
        <v>PEDRO ALVAREZ</v>
      </c>
      <c r="E34" s="293">
        <f>IF(D34="","",_xlfn.XLOOKUP($C34,BASE01[COD],BASE01[Columna14],"")+_xlfn.XLOOKUP($C34,SEMANA2[COD],SEMANA2[Columna14],""))</f>
        <v>27</v>
      </c>
      <c r="F34" s="293">
        <f>IF(D34="","",_xlfn.XLOOKUP($C34,BASE01[COD],BASE01[Columna19],"")+_xlfn.XLOOKUP($C34,SEMANA2[COD],SEMANA2[Columna19],""))</f>
        <v>8</v>
      </c>
      <c r="G34" s="294">
        <f t="shared" si="0"/>
        <v>0.29629629629629628</v>
      </c>
      <c r="H34" s="295">
        <f>IF(D34="","",_xlfn.XLOOKUP($C34,BASE01[COD],BASE01[Columna29],"")+_xlfn.XLOOKUP($C34,SEMANA2[COD],SEMANA2[Columna29],""))</f>
        <v>27</v>
      </c>
      <c r="I34" s="295">
        <f>IF(D34="","",_xlfn.XLOOKUP($C34,BASE01[COD],BASE01[Columna30],"")+_xlfn.XLOOKUP($C34,SEMANA2[COD],SEMANA2[Columna30],""))</f>
        <v>13</v>
      </c>
      <c r="J34" s="296">
        <f t="shared" si="1"/>
        <v>0.48148148148148145</v>
      </c>
      <c r="K34" s="297">
        <f>IF(D34="","",_xlfn.XLOOKUP($C34,BASE01[COD],BASE01[Columna32],"")+_xlfn.XLOOKUP($C34,SEMANA2[COD],SEMANA2[Columna32],""))</f>
        <v>27</v>
      </c>
      <c r="L34" s="297">
        <f>IF(D34="","",_xlfn.XLOOKUP($C34,BASE01[COD],BASE01[Columna34],"")+_xlfn.XLOOKUP($C34,SEMANA2[COD],SEMANA2[Columna34],""))</f>
        <v>19</v>
      </c>
      <c r="M34" s="298">
        <f t="shared" si="2"/>
        <v>0.70370370370370372</v>
      </c>
      <c r="N34" s="299">
        <f>IF(D34="","",_xlfn.XLOOKUP($C34,BASE01[COD],BASE01[Columna36],"")+_xlfn.XLOOKUP($C34,SEMANA2[COD],SEMANA2[Columna36],""))</f>
        <v>6</v>
      </c>
      <c r="O34" s="299">
        <f>IF(D34="","",_xlfn.XLOOKUP($C34,BASE01[COD],BASE01[Columna37],"")+_xlfn.XLOOKUP($C34,SEMANA2[COD],SEMANA2[Columna37],""))</f>
        <v>2</v>
      </c>
      <c r="P34" s="300">
        <f t="shared" si="3"/>
        <v>0.33333333333333331</v>
      </c>
      <c r="Q34" s="301">
        <f>_xlfn.XLOOKUP(C34,SEMANA2[COD],SEMANA2[Columna33],"")</f>
        <v>58.5</v>
      </c>
      <c r="R34" s="3"/>
      <c r="U34" s="388" t="str">
        <v>COD 14</v>
      </c>
      <c r="V34" s="388" t="str">
        <f t="shared" si="4"/>
        <v>COD 14</v>
      </c>
    </row>
    <row r="35" spans="1:22" s="388" customFormat="1" ht="23.1" customHeight="1" x14ac:dyDescent="0.35">
      <c r="A35" s="290"/>
      <c r="B35" s="302">
        <f t="shared" si="5"/>
        <v>31</v>
      </c>
      <c r="C35" s="543" t="str">
        <v>COD 17</v>
      </c>
      <c r="D35" s="464" t="str">
        <f>_xlfn.XLOOKUP(C35,CODIGOS_Y_PAGOS[CODIGO],CODIGOS_Y_PAGOS[NOMBRE PARTICIPANTE],"")</f>
        <v>FERNANDO VALDIRIO</v>
      </c>
      <c r="E35" s="293">
        <f>IF(D35="","",_xlfn.XLOOKUP($C35,BASE01[COD],BASE01[Columna14],"")+_xlfn.XLOOKUP($C35,SEMANA2[COD],SEMANA2[Columna14],""))</f>
        <v>27</v>
      </c>
      <c r="F35" s="293">
        <f>IF(D35="","",_xlfn.XLOOKUP($C35,BASE01[COD],BASE01[Columna19],"")+_xlfn.XLOOKUP($C35,SEMANA2[COD],SEMANA2[Columna19],""))</f>
        <v>8</v>
      </c>
      <c r="G35" s="294">
        <f t="shared" si="0"/>
        <v>0.29629629629629628</v>
      </c>
      <c r="H35" s="295">
        <f>IF(D35="","",_xlfn.XLOOKUP($C35,BASE01[COD],BASE01[Columna29],"")+_xlfn.XLOOKUP($C35,SEMANA2[COD],SEMANA2[Columna29],""))</f>
        <v>27</v>
      </c>
      <c r="I35" s="295">
        <f>IF(D35="","",_xlfn.XLOOKUP($C35,BASE01[COD],BASE01[Columna30],"")+_xlfn.XLOOKUP($C35,SEMANA2[COD],SEMANA2[Columna30],""))</f>
        <v>14</v>
      </c>
      <c r="J35" s="296">
        <f t="shared" si="1"/>
        <v>0.51851851851851849</v>
      </c>
      <c r="K35" s="297">
        <f>IF(D35="","",_xlfn.XLOOKUP($C35,BASE01[COD],BASE01[Columna32],"")+_xlfn.XLOOKUP($C35,SEMANA2[COD],SEMANA2[Columna32],""))</f>
        <v>27</v>
      </c>
      <c r="L35" s="297">
        <f>IF(D35="","",_xlfn.XLOOKUP($C35,BASE01[COD],BASE01[Columna34],"")+_xlfn.XLOOKUP($C35,SEMANA2[COD],SEMANA2[Columna34],""))</f>
        <v>16</v>
      </c>
      <c r="M35" s="298">
        <f t="shared" si="2"/>
        <v>0.59259259259259256</v>
      </c>
      <c r="N35" s="299">
        <f>IF(D35="","",_xlfn.XLOOKUP($C35,BASE01[COD],BASE01[Columna36],"")+_xlfn.XLOOKUP($C35,SEMANA2[COD],SEMANA2[Columna36],""))</f>
        <v>6</v>
      </c>
      <c r="O35" s="299">
        <f>IF(D35="","",_xlfn.XLOOKUP($C35,BASE01[COD],BASE01[Columna37],"")+_xlfn.XLOOKUP($C35,SEMANA2[COD],SEMANA2[Columna37],""))</f>
        <v>4</v>
      </c>
      <c r="P35" s="300">
        <f t="shared" si="3"/>
        <v>0.66666666666666663</v>
      </c>
      <c r="Q35" s="301">
        <f>_xlfn.XLOOKUP(C35,SEMANA2[COD],SEMANA2[Columna33],"")</f>
        <v>58.5</v>
      </c>
      <c r="R35" s="3"/>
      <c r="U35" s="388" t="str">
        <v>COD 17</v>
      </c>
      <c r="V35" s="388" t="str">
        <f t="shared" si="4"/>
        <v>COD 17</v>
      </c>
    </row>
    <row r="36" spans="1:22" s="388" customFormat="1" ht="23.1" customHeight="1" x14ac:dyDescent="0.35">
      <c r="A36" s="290"/>
      <c r="B36" s="302">
        <f t="shared" si="5"/>
        <v>32</v>
      </c>
      <c r="C36" s="543" t="str">
        <v>COD 18</v>
      </c>
      <c r="D36" s="464" t="str">
        <f>_xlfn.XLOOKUP(C36,CODIGOS_Y_PAGOS[CODIGO],CODIGOS_Y_PAGOS[NOMBRE PARTICIPANTE],"")</f>
        <v>CASTOR CHIRINOS</v>
      </c>
      <c r="E36" s="293">
        <f>IF(D36="","",_xlfn.XLOOKUP($C36,BASE01[COD],BASE01[Columna14],"")+_xlfn.XLOOKUP($C36,SEMANA2[COD],SEMANA2[Columna14],""))</f>
        <v>27</v>
      </c>
      <c r="F36" s="293">
        <f>IF(D36="","",_xlfn.XLOOKUP($C36,BASE01[COD],BASE01[Columna19],"")+_xlfn.XLOOKUP($C36,SEMANA2[COD],SEMANA2[Columna19],""))</f>
        <v>7</v>
      </c>
      <c r="G36" s="294">
        <f t="shared" si="0"/>
        <v>0.25925925925925924</v>
      </c>
      <c r="H36" s="295">
        <f>IF(D36="","",_xlfn.XLOOKUP($C36,BASE01[COD],BASE01[Columna29],"")+_xlfn.XLOOKUP($C36,SEMANA2[COD],SEMANA2[Columna29],""))</f>
        <v>27</v>
      </c>
      <c r="I36" s="295">
        <f>IF(D36="","",_xlfn.XLOOKUP($C36,BASE01[COD],BASE01[Columna30],"")+_xlfn.XLOOKUP($C36,SEMANA2[COD],SEMANA2[Columna30],""))</f>
        <v>12</v>
      </c>
      <c r="J36" s="296">
        <f t="shared" si="1"/>
        <v>0.44444444444444442</v>
      </c>
      <c r="K36" s="297">
        <f>IF(D36="","",_xlfn.XLOOKUP($C36,BASE01[COD],BASE01[Columna32],"")+_xlfn.XLOOKUP($C36,SEMANA2[COD],SEMANA2[Columna32],""))</f>
        <v>27</v>
      </c>
      <c r="L36" s="297">
        <f>IF(D36="","",_xlfn.XLOOKUP($C36,BASE01[COD],BASE01[Columna34],"")+_xlfn.XLOOKUP($C36,SEMANA2[COD],SEMANA2[Columna34],""))</f>
        <v>19</v>
      </c>
      <c r="M36" s="298">
        <f t="shared" si="2"/>
        <v>0.70370370370370372</v>
      </c>
      <c r="N36" s="299">
        <f>IF(D36="","",_xlfn.XLOOKUP($C36,BASE01[COD],BASE01[Columna36],"")+_xlfn.XLOOKUP($C36,SEMANA2[COD],SEMANA2[Columna36],""))</f>
        <v>6</v>
      </c>
      <c r="O36" s="299">
        <f>IF(D36="","",_xlfn.XLOOKUP($C36,BASE01[COD],BASE01[Columna37],"")+_xlfn.XLOOKUP($C36,SEMANA2[COD],SEMANA2[Columna37],""))</f>
        <v>4</v>
      </c>
      <c r="P36" s="300">
        <f t="shared" si="3"/>
        <v>0.66666666666666663</v>
      </c>
      <c r="Q36" s="301">
        <f>_xlfn.XLOOKUP(C36,SEMANA2[COD],SEMANA2[Columna33],"")</f>
        <v>58.5</v>
      </c>
      <c r="R36" s="3"/>
      <c r="U36" s="388" t="str">
        <v>COD 18</v>
      </c>
      <c r="V36" s="388" t="str">
        <f t="shared" si="4"/>
        <v>COD 18</v>
      </c>
    </row>
    <row r="37" spans="1:22" s="388" customFormat="1" ht="23.1" customHeight="1" x14ac:dyDescent="0.35">
      <c r="A37" s="290"/>
      <c r="B37" s="302">
        <f t="shared" si="5"/>
        <v>33</v>
      </c>
      <c r="C37" s="543" t="str">
        <v>COD 20</v>
      </c>
      <c r="D37" s="464" t="str">
        <f>_xlfn.XLOOKUP(C37,CODIGOS_Y_PAGOS[CODIGO],CODIGOS_Y_PAGOS[NOMBRE PARTICIPANTE],"")</f>
        <v>CHINO</v>
      </c>
      <c r="E37" s="293">
        <f>IF(D37="","",_xlfn.XLOOKUP($C37,BASE01[COD],BASE01[Columna14],"")+_xlfn.XLOOKUP($C37,SEMANA2[COD],SEMANA2[Columna14],""))</f>
        <v>27</v>
      </c>
      <c r="F37" s="293">
        <f>IF(D37="","",_xlfn.XLOOKUP($C37,BASE01[COD],BASE01[Columna19],"")+_xlfn.XLOOKUP($C37,SEMANA2[COD],SEMANA2[Columna19],""))</f>
        <v>10</v>
      </c>
      <c r="G37" s="294">
        <f t="shared" ref="G37:G54" si="6">IFERROR(+F37/E37,"")</f>
        <v>0.37037037037037035</v>
      </c>
      <c r="H37" s="295">
        <f>IF(D37="","",_xlfn.XLOOKUP($C37,BASE01[COD],BASE01[Columna29],"")+_xlfn.XLOOKUP($C37,SEMANA2[COD],SEMANA2[Columna29],""))</f>
        <v>27</v>
      </c>
      <c r="I37" s="295">
        <f>IF(D37="","",_xlfn.XLOOKUP($C37,BASE01[COD],BASE01[Columna30],"")+_xlfn.XLOOKUP($C37,SEMANA2[COD],SEMANA2[Columna30],""))</f>
        <v>15</v>
      </c>
      <c r="J37" s="296">
        <f t="shared" ref="J37:J54" si="7">IFERROR(+I37/H37,"")</f>
        <v>0.55555555555555558</v>
      </c>
      <c r="K37" s="297">
        <f>IF(D37="","",_xlfn.XLOOKUP($C37,BASE01[COD],BASE01[Columna32],"")+_xlfn.XLOOKUP($C37,SEMANA2[COD],SEMANA2[Columna32],""))</f>
        <v>27</v>
      </c>
      <c r="L37" s="297">
        <f>IF(D37="","",_xlfn.XLOOKUP($C37,BASE01[COD],BASE01[Columna34],"")+_xlfn.XLOOKUP($C37,SEMANA2[COD],SEMANA2[Columna34],""))</f>
        <v>18</v>
      </c>
      <c r="M37" s="298">
        <f t="shared" ref="M37:M54" si="8">IFERROR(+L37/K37,"")</f>
        <v>0.66666666666666663</v>
      </c>
      <c r="N37" s="299">
        <f>IF(D37="","",_xlfn.XLOOKUP($C37,BASE01[COD],BASE01[Columna36],"")+_xlfn.XLOOKUP($C37,SEMANA2[COD],SEMANA2[Columna36],""))</f>
        <v>6</v>
      </c>
      <c r="O37" s="299">
        <f>IF(D37="","",_xlfn.XLOOKUP($C37,BASE01[COD],BASE01[Columna37],"")+_xlfn.XLOOKUP($C37,SEMANA2[COD],SEMANA2[Columna37],""))</f>
        <v>2</v>
      </c>
      <c r="P37" s="300">
        <f t="shared" ref="P37:P54" si="9">IFERROR(+O37/N37,0)</f>
        <v>0.33333333333333331</v>
      </c>
      <c r="Q37" s="301">
        <f>_xlfn.XLOOKUP(C37,SEMANA2[COD],SEMANA2[Columna33],"")</f>
        <v>58.5</v>
      </c>
      <c r="R37" s="3"/>
      <c r="U37" s="388" t="str">
        <v>COD 20</v>
      </c>
      <c r="V37" s="388" t="str">
        <f t="shared" ref="V37:V54" si="10">U37</f>
        <v>COD 20</v>
      </c>
    </row>
    <row r="38" spans="1:22" s="388" customFormat="1" ht="23.1" customHeight="1" x14ac:dyDescent="0.35">
      <c r="A38" s="290"/>
      <c r="B38" s="302">
        <f t="shared" ref="B38:B54" si="11">+B37+1</f>
        <v>34</v>
      </c>
      <c r="C38" s="543" t="str">
        <v>COD 26</v>
      </c>
      <c r="D38" s="464" t="str">
        <f>_xlfn.XLOOKUP(C38,CODIGOS_Y_PAGOS[CODIGO],CODIGOS_Y_PAGOS[NOMBRE PARTICIPANTE],"")</f>
        <v>PEDRO TABEROA</v>
      </c>
      <c r="E38" s="293">
        <f>IF(D38="","",_xlfn.XLOOKUP($C38,BASE01[COD],BASE01[Columna14],"")+_xlfn.XLOOKUP($C38,SEMANA2[COD],SEMANA2[Columna14],""))</f>
        <v>27</v>
      </c>
      <c r="F38" s="293">
        <f>IF(D38="","",_xlfn.XLOOKUP($C38,BASE01[COD],BASE01[Columna19],"")+_xlfn.XLOOKUP($C38,SEMANA2[COD],SEMANA2[Columna19],""))</f>
        <v>8</v>
      </c>
      <c r="G38" s="294">
        <f t="shared" si="6"/>
        <v>0.29629629629629628</v>
      </c>
      <c r="H38" s="295">
        <f>IF(D38="","",_xlfn.XLOOKUP($C38,BASE01[COD],BASE01[Columna29],"")+_xlfn.XLOOKUP($C38,SEMANA2[COD],SEMANA2[Columna29],""))</f>
        <v>27</v>
      </c>
      <c r="I38" s="295">
        <f>IF(D38="","",_xlfn.XLOOKUP($C38,BASE01[COD],BASE01[Columna30],"")+_xlfn.XLOOKUP($C38,SEMANA2[COD],SEMANA2[Columna30],""))</f>
        <v>13</v>
      </c>
      <c r="J38" s="296">
        <f t="shared" si="7"/>
        <v>0.48148148148148145</v>
      </c>
      <c r="K38" s="297">
        <f>IF(D38="","",_xlfn.XLOOKUP($C38,BASE01[COD],BASE01[Columna32],"")+_xlfn.XLOOKUP($C38,SEMANA2[COD],SEMANA2[Columna32],""))</f>
        <v>27</v>
      </c>
      <c r="L38" s="297">
        <f>IF(D38="","",_xlfn.XLOOKUP($C38,BASE01[COD],BASE01[Columna34],"")+_xlfn.XLOOKUP($C38,SEMANA2[COD],SEMANA2[Columna34],""))</f>
        <v>19</v>
      </c>
      <c r="M38" s="298">
        <f t="shared" si="8"/>
        <v>0.70370370370370372</v>
      </c>
      <c r="N38" s="299">
        <f>IF(D38="","",_xlfn.XLOOKUP($C38,BASE01[COD],BASE01[Columna36],"")+_xlfn.XLOOKUP($C38,SEMANA2[COD],SEMANA2[Columna36],""))</f>
        <v>6</v>
      </c>
      <c r="O38" s="299">
        <f>IF(D38="","",_xlfn.XLOOKUP($C38,BASE01[COD],BASE01[Columna37],"")+_xlfn.XLOOKUP($C38,SEMANA2[COD],SEMANA2[Columna37],""))</f>
        <v>4</v>
      </c>
      <c r="P38" s="300">
        <f t="shared" si="9"/>
        <v>0.66666666666666663</v>
      </c>
      <c r="Q38" s="301">
        <f>_xlfn.XLOOKUP(C38,SEMANA2[COD],SEMANA2[Columna33],"")</f>
        <v>58.5</v>
      </c>
      <c r="R38" s="3"/>
      <c r="U38" s="388" t="str">
        <v>COD 26</v>
      </c>
      <c r="V38" s="388" t="str">
        <f t="shared" si="10"/>
        <v>COD 26</v>
      </c>
    </row>
    <row r="39" spans="1:22" s="388" customFormat="1" ht="23.1" customHeight="1" x14ac:dyDescent="0.35">
      <c r="A39" s="290"/>
      <c r="B39" s="302">
        <f t="shared" si="11"/>
        <v>35</v>
      </c>
      <c r="C39" s="543" t="str">
        <v>COD 12</v>
      </c>
      <c r="D39" s="464">
        <f>_xlfn.XLOOKUP(C39,CODIGOS_Y_PAGOS[CODIGO],CODIGOS_Y_PAGOS[NOMBRE PARTICIPANTE],"")</f>
        <v>0</v>
      </c>
      <c r="E39" s="293">
        <f>IF(D39="","",_xlfn.XLOOKUP($C39,BASE01[COD],BASE01[Columna14],"")+_xlfn.XLOOKUP($C39,SEMANA2[COD],SEMANA2[Columna14],""))</f>
        <v>27</v>
      </c>
      <c r="F39" s="293">
        <f>IF(D39="","",_xlfn.XLOOKUP($C39,BASE01[COD],BASE01[Columna19],"")+_xlfn.XLOOKUP($C39,SEMANA2[COD],SEMANA2[Columna19],""))</f>
        <v>7</v>
      </c>
      <c r="G39" s="294">
        <f t="shared" si="6"/>
        <v>0.25925925925925924</v>
      </c>
      <c r="H39" s="295">
        <f>IF(D39="","",_xlfn.XLOOKUP($C39,BASE01[COD],BASE01[Columna29],"")+_xlfn.XLOOKUP($C39,SEMANA2[COD],SEMANA2[Columna29],""))</f>
        <v>27</v>
      </c>
      <c r="I39" s="295">
        <f>IF(D39="","",_xlfn.XLOOKUP($C39,BASE01[COD],BASE01[Columna30],"")+_xlfn.XLOOKUP($C39,SEMANA2[COD],SEMANA2[Columna30],""))</f>
        <v>15</v>
      </c>
      <c r="J39" s="296">
        <f t="shared" si="7"/>
        <v>0.55555555555555558</v>
      </c>
      <c r="K39" s="297">
        <f>IF(D39="","",_xlfn.XLOOKUP($C39,BASE01[COD],BASE01[Columna32],"")+_xlfn.XLOOKUP($C39,SEMANA2[COD],SEMANA2[Columna32],""))</f>
        <v>27</v>
      </c>
      <c r="L39" s="297">
        <f>IF(D39="","",_xlfn.XLOOKUP($C39,BASE01[COD],BASE01[Columna34],"")+_xlfn.XLOOKUP($C39,SEMANA2[COD],SEMANA2[Columna34],""))</f>
        <v>17</v>
      </c>
      <c r="M39" s="298">
        <f t="shared" si="8"/>
        <v>0.62962962962962965</v>
      </c>
      <c r="N39" s="299">
        <f>IF(D39="","",_xlfn.XLOOKUP($C39,BASE01[COD],BASE01[Columna36],"")+_xlfn.XLOOKUP($C39,SEMANA2[COD],SEMANA2[Columna36],""))</f>
        <v>5</v>
      </c>
      <c r="O39" s="299">
        <f>IF(D39="","",_xlfn.XLOOKUP($C39,BASE01[COD],BASE01[Columna37],"")+_xlfn.XLOOKUP($C39,SEMANA2[COD],SEMANA2[Columna37],""))</f>
        <v>2</v>
      </c>
      <c r="P39" s="300">
        <f t="shared" si="9"/>
        <v>0.4</v>
      </c>
      <c r="Q39" s="301">
        <f>_xlfn.XLOOKUP(C39,SEMANA2[COD],SEMANA2[Columna33],"")</f>
        <v>57.5</v>
      </c>
      <c r="R39" s="3"/>
      <c r="U39" s="388" t="str">
        <v>COD 12</v>
      </c>
      <c r="V39" s="388" t="str">
        <f t="shared" si="10"/>
        <v>COD 12</v>
      </c>
    </row>
    <row r="40" spans="1:22" s="388" customFormat="1" ht="23.1" customHeight="1" x14ac:dyDescent="0.35">
      <c r="A40" s="290"/>
      <c r="B40" s="302">
        <f t="shared" si="11"/>
        <v>36</v>
      </c>
      <c r="C40" s="543" t="str">
        <v>COD 38</v>
      </c>
      <c r="D40" s="464" t="str">
        <f>_xlfn.XLOOKUP(C40,CODIGOS_Y_PAGOS[CODIGO],CODIGOS_Y_PAGOS[NOMBRE PARTICIPANTE],"")</f>
        <v>DERVIN</v>
      </c>
      <c r="E40" s="293">
        <f>IF(D40="","",_xlfn.XLOOKUP($C40,BASE01[COD],BASE01[Columna14],"")+_xlfn.XLOOKUP($C40,SEMANA2[COD],SEMANA2[Columna14],""))</f>
        <v>27</v>
      </c>
      <c r="F40" s="293">
        <f>IF(D40="","",_xlfn.XLOOKUP($C40,BASE01[COD],BASE01[Columna19],"")+_xlfn.XLOOKUP($C40,SEMANA2[COD],SEMANA2[Columna19],""))</f>
        <v>7</v>
      </c>
      <c r="G40" s="294">
        <f t="shared" si="6"/>
        <v>0.25925925925925924</v>
      </c>
      <c r="H40" s="295">
        <f>IF(D40="","",_xlfn.XLOOKUP($C40,BASE01[COD],BASE01[Columna29],"")+_xlfn.XLOOKUP($C40,SEMANA2[COD],SEMANA2[Columna29],""))</f>
        <v>27</v>
      </c>
      <c r="I40" s="295">
        <f>IF(D40="","",_xlfn.XLOOKUP($C40,BASE01[COD],BASE01[Columna30],"")+_xlfn.XLOOKUP($C40,SEMANA2[COD],SEMANA2[Columna30],""))</f>
        <v>12</v>
      </c>
      <c r="J40" s="296">
        <f t="shared" si="7"/>
        <v>0.44444444444444442</v>
      </c>
      <c r="K40" s="297">
        <f>IF(D40="","",_xlfn.XLOOKUP($C40,BASE01[COD],BASE01[Columna32],"")+_xlfn.XLOOKUP($C40,SEMANA2[COD],SEMANA2[Columna32],""))</f>
        <v>27</v>
      </c>
      <c r="L40" s="297">
        <f>IF(D40="","",_xlfn.XLOOKUP($C40,BASE01[COD],BASE01[Columna34],"")+_xlfn.XLOOKUP($C40,SEMANA2[COD],SEMANA2[Columna34],""))</f>
        <v>17</v>
      </c>
      <c r="M40" s="298">
        <f t="shared" si="8"/>
        <v>0.62962962962962965</v>
      </c>
      <c r="N40" s="299">
        <f>IF(D40="","",_xlfn.XLOOKUP($C40,BASE01[COD],BASE01[Columna36],"")+_xlfn.XLOOKUP($C40,SEMANA2[COD],SEMANA2[Columna36],""))</f>
        <v>6</v>
      </c>
      <c r="O40" s="299">
        <f>IF(D40="","",_xlfn.XLOOKUP($C40,BASE01[COD],BASE01[Columna37],"")+_xlfn.XLOOKUP($C40,SEMANA2[COD],SEMANA2[Columna37],""))</f>
        <v>3</v>
      </c>
      <c r="P40" s="300">
        <f t="shared" si="9"/>
        <v>0.5</v>
      </c>
      <c r="Q40" s="301">
        <f>_xlfn.XLOOKUP(C40,SEMANA2[COD],SEMANA2[Columna33],"")</f>
        <v>54.5</v>
      </c>
      <c r="R40" s="3"/>
      <c r="U40" s="388" t="str">
        <v>COD 38</v>
      </c>
      <c r="V40" s="388" t="str">
        <f t="shared" si="10"/>
        <v>COD 38</v>
      </c>
    </row>
    <row r="41" spans="1:22" s="388" customFormat="1" ht="23.1" customHeight="1" x14ac:dyDescent="0.35">
      <c r="A41" s="290"/>
      <c r="B41" s="302">
        <f t="shared" si="11"/>
        <v>37</v>
      </c>
      <c r="C41" s="543" t="str">
        <v>COD 24</v>
      </c>
      <c r="D41" s="464">
        <f>_xlfn.XLOOKUP(C41,CODIGOS_Y_PAGOS[CODIGO],CODIGOS_Y_PAGOS[NOMBRE PARTICIPANTE],"")</f>
        <v>0</v>
      </c>
      <c r="E41" s="293">
        <f>IF(D41="","",_xlfn.XLOOKUP($C41,BASE01[COD],BASE01[Columna14],"")+_xlfn.XLOOKUP($C41,SEMANA2[COD],SEMANA2[Columna14],""))</f>
        <v>27</v>
      </c>
      <c r="F41" s="293">
        <f>IF(D41="","",_xlfn.XLOOKUP($C41,BASE01[COD],BASE01[Columna19],"")+_xlfn.XLOOKUP($C41,SEMANA2[COD],SEMANA2[Columna19],""))</f>
        <v>8</v>
      </c>
      <c r="G41" s="294">
        <f t="shared" si="6"/>
        <v>0.29629629629629628</v>
      </c>
      <c r="H41" s="295">
        <f>IF(D41="","",_xlfn.XLOOKUP($C41,BASE01[COD],BASE01[Columna29],"")+_xlfn.XLOOKUP($C41,SEMANA2[COD],SEMANA2[Columna29],""))</f>
        <v>27</v>
      </c>
      <c r="I41" s="295">
        <f>IF(D41="","",_xlfn.XLOOKUP($C41,BASE01[COD],BASE01[Columna30],"")+_xlfn.XLOOKUP($C41,SEMANA2[COD],SEMANA2[Columna30],""))</f>
        <v>12</v>
      </c>
      <c r="J41" s="296">
        <f t="shared" si="7"/>
        <v>0.44444444444444442</v>
      </c>
      <c r="K41" s="297">
        <f>IF(D41="","",_xlfn.XLOOKUP($C41,BASE01[COD],BASE01[Columna32],"")+_xlfn.XLOOKUP($C41,SEMANA2[COD],SEMANA2[Columna32],""))</f>
        <v>27</v>
      </c>
      <c r="L41" s="297">
        <f>IF(D41="","",_xlfn.XLOOKUP($C41,BASE01[COD],BASE01[Columna34],"")+_xlfn.XLOOKUP($C41,SEMANA2[COD],SEMANA2[Columna34],""))</f>
        <v>15</v>
      </c>
      <c r="M41" s="298">
        <f t="shared" si="8"/>
        <v>0.55555555555555558</v>
      </c>
      <c r="N41" s="299">
        <f>IF(D41="","",_xlfn.XLOOKUP($C41,BASE01[COD],BASE01[Columna36],"")+_xlfn.XLOOKUP($C41,SEMANA2[COD],SEMANA2[Columna36],""))</f>
        <v>6</v>
      </c>
      <c r="O41" s="299">
        <f>IF(D41="","",_xlfn.XLOOKUP($C41,BASE01[COD],BASE01[Columna37],"")+_xlfn.XLOOKUP($C41,SEMANA2[COD],SEMANA2[Columna37],""))</f>
        <v>4</v>
      </c>
      <c r="P41" s="300">
        <f t="shared" si="9"/>
        <v>0.66666666666666663</v>
      </c>
      <c r="Q41" s="301">
        <f>_xlfn.XLOOKUP(C41,SEMANA2[COD],SEMANA2[Columna33],"")</f>
        <v>53.5</v>
      </c>
      <c r="R41" s="3"/>
      <c r="U41" s="388" t="str">
        <v>COD 24</v>
      </c>
      <c r="V41" s="388" t="str">
        <f t="shared" si="10"/>
        <v>COD 24</v>
      </c>
    </row>
    <row r="42" spans="1:22" s="388" customFormat="1" ht="23.1" customHeight="1" x14ac:dyDescent="0.35">
      <c r="A42" s="290"/>
      <c r="B42" s="302">
        <f t="shared" si="11"/>
        <v>38</v>
      </c>
      <c r="C42" s="543" t="str">
        <v>COD 30</v>
      </c>
      <c r="D42" s="464" t="str">
        <f>_xlfn.XLOOKUP(C42,CODIGOS_Y_PAGOS[CODIGO],CODIGOS_Y_PAGOS[NOMBRE PARTICIPANTE],"")</f>
        <v>CARIACO</v>
      </c>
      <c r="E42" s="293">
        <f>IF(D42="","",_xlfn.XLOOKUP($C42,BASE01[COD],BASE01[Columna14],"")+_xlfn.XLOOKUP($C42,SEMANA2[COD],SEMANA2[Columna14],""))</f>
        <v>27</v>
      </c>
      <c r="F42" s="293">
        <f>IF(D42="","",_xlfn.XLOOKUP($C42,BASE01[COD],BASE01[Columna19],"")+_xlfn.XLOOKUP($C42,SEMANA2[COD],SEMANA2[Columna19],""))</f>
        <v>5</v>
      </c>
      <c r="G42" s="294">
        <f t="shared" si="6"/>
        <v>0.18518518518518517</v>
      </c>
      <c r="H42" s="295">
        <f>IF(D42="","",_xlfn.XLOOKUP($C42,BASE01[COD],BASE01[Columna29],"")+_xlfn.XLOOKUP($C42,SEMANA2[COD],SEMANA2[Columna29],""))</f>
        <v>27</v>
      </c>
      <c r="I42" s="295">
        <f>IF(D42="","",_xlfn.XLOOKUP($C42,BASE01[COD],BASE01[Columna30],"")+_xlfn.XLOOKUP($C42,SEMANA2[COD],SEMANA2[Columna30],""))</f>
        <v>12</v>
      </c>
      <c r="J42" s="296">
        <f t="shared" si="7"/>
        <v>0.44444444444444442</v>
      </c>
      <c r="K42" s="297">
        <f>IF(D42="","",_xlfn.XLOOKUP($C42,BASE01[COD],BASE01[Columna32],"")+_xlfn.XLOOKUP($C42,SEMANA2[COD],SEMANA2[Columna32],""))</f>
        <v>27</v>
      </c>
      <c r="L42" s="297">
        <f>IF(D42="","",_xlfn.XLOOKUP($C42,BASE01[COD],BASE01[Columna34],"")+_xlfn.XLOOKUP($C42,SEMANA2[COD],SEMANA2[Columna34],""))</f>
        <v>17</v>
      </c>
      <c r="M42" s="298">
        <f t="shared" si="8"/>
        <v>0.62962962962962965</v>
      </c>
      <c r="N42" s="299">
        <f>IF(D42="","",_xlfn.XLOOKUP($C42,BASE01[COD],BASE01[Columna36],"")+_xlfn.XLOOKUP($C42,SEMANA2[COD],SEMANA2[Columna36],""))</f>
        <v>6</v>
      </c>
      <c r="O42" s="299">
        <f>IF(D42="","",_xlfn.XLOOKUP($C42,BASE01[COD],BASE01[Columna37],"")+_xlfn.XLOOKUP($C42,SEMANA2[COD],SEMANA2[Columna37],""))</f>
        <v>3</v>
      </c>
      <c r="P42" s="300">
        <f t="shared" si="9"/>
        <v>0.5</v>
      </c>
      <c r="Q42" s="301">
        <f>_xlfn.XLOOKUP(C42,SEMANA2[COD],SEMANA2[Columna33],"")</f>
        <v>46.5</v>
      </c>
      <c r="R42" s="3"/>
      <c r="U42" s="388" t="str">
        <v>COD 30</v>
      </c>
      <c r="V42" s="388" t="str">
        <f t="shared" si="10"/>
        <v>COD 30</v>
      </c>
    </row>
    <row r="43" spans="1:22" s="388" customFormat="1" ht="23.1" customHeight="1" x14ac:dyDescent="0.35">
      <c r="A43" s="290"/>
      <c r="B43" s="302">
        <f t="shared" si="11"/>
        <v>39</v>
      </c>
      <c r="C43" s="543" t="str">
        <v>COD 39</v>
      </c>
      <c r="D43" s="464" t="str">
        <f>_xlfn.XLOOKUP(C43,CODIGOS_Y_PAGOS[CODIGO],CODIGOS_Y_PAGOS[NOMBRE PARTICIPANTE],"")</f>
        <v>EL TAMAO</v>
      </c>
      <c r="E43" s="293">
        <f>IF(D43="","",_xlfn.XLOOKUP($C43,BASE01[COD],BASE01[Columna14],"")+_xlfn.XLOOKUP($C43,SEMANA2[COD],SEMANA2[Columna14],""))</f>
        <v>14</v>
      </c>
      <c r="F43" s="293">
        <f>IF(D43="","",_xlfn.XLOOKUP($C43,BASE01[COD],BASE01[Columna19],"")+_xlfn.XLOOKUP($C43,SEMANA2[COD],SEMANA2[Columna19],""))</f>
        <v>3</v>
      </c>
      <c r="G43" s="294">
        <f t="shared" si="6"/>
        <v>0.21428571428571427</v>
      </c>
      <c r="H43" s="295">
        <f>IF(D43="","",_xlfn.XLOOKUP($C43,BASE01[COD],BASE01[Columna29],"")+_xlfn.XLOOKUP($C43,SEMANA2[COD],SEMANA2[Columna29],""))</f>
        <v>14</v>
      </c>
      <c r="I43" s="295">
        <f>IF(D43="","",_xlfn.XLOOKUP($C43,BASE01[COD],BASE01[Columna30],"")+_xlfn.XLOOKUP($C43,SEMANA2[COD],SEMANA2[Columna30],""))</f>
        <v>4</v>
      </c>
      <c r="J43" s="296">
        <f t="shared" si="7"/>
        <v>0.2857142857142857</v>
      </c>
      <c r="K43" s="297">
        <f>IF(D43="","",_xlfn.XLOOKUP($C43,BASE01[COD],BASE01[Columna32],"")+_xlfn.XLOOKUP($C43,SEMANA2[COD],SEMANA2[Columna32],""))</f>
        <v>14</v>
      </c>
      <c r="L43" s="297">
        <f>IF(D43="","",_xlfn.XLOOKUP($C43,BASE01[COD],BASE01[Columna34],"")+_xlfn.XLOOKUP($C43,SEMANA2[COD],SEMANA2[Columna34],""))</f>
        <v>7</v>
      </c>
      <c r="M43" s="298">
        <f t="shared" si="8"/>
        <v>0.5</v>
      </c>
      <c r="N43" s="299">
        <f>IF(D43="","",_xlfn.XLOOKUP($C43,BASE01[COD],BASE01[Columna36],"")+_xlfn.XLOOKUP($C43,SEMANA2[COD],SEMANA2[Columna36],""))</f>
        <v>3</v>
      </c>
      <c r="O43" s="299">
        <f>IF(D43="","",_xlfn.XLOOKUP($C43,BASE01[COD],BASE01[Columna37],"")+_xlfn.XLOOKUP($C43,SEMANA2[COD],SEMANA2[Columna37],""))</f>
        <v>1</v>
      </c>
      <c r="P43" s="300">
        <f t="shared" si="9"/>
        <v>0.33333333333333331</v>
      </c>
      <c r="Q43" s="301">
        <f>_xlfn.XLOOKUP(C43,SEMANA2[COD],SEMANA2[Columna33],"")</f>
        <v>18.5</v>
      </c>
      <c r="R43" s="3"/>
      <c r="U43" s="388" t="str">
        <v>COD 39</v>
      </c>
      <c r="V43" s="388" t="str">
        <f t="shared" si="10"/>
        <v>COD 39</v>
      </c>
    </row>
    <row r="44" spans="1:22" s="388" customFormat="1" ht="23.1" customHeight="1" outlineLevel="1" x14ac:dyDescent="0.35">
      <c r="A44" s="290"/>
      <c r="B44" s="302">
        <f t="shared" si="11"/>
        <v>40</v>
      </c>
      <c r="C44" s="543" t="str">
        <v>COD 40</v>
      </c>
      <c r="D44" s="292" t="str">
        <f>_xlfn.XLOOKUP(C44,CODIGOS_Y_PAGOS[CODIGO],CODIGOS_Y_PAGOS[NOMBRE PARTICIPANTE],"")</f>
        <v>FRED</v>
      </c>
      <c r="E44" s="293">
        <f>IF(D44="","",_xlfn.XLOOKUP($C44,BASE01[COD],BASE01[Columna14],"")+_xlfn.XLOOKUP($C44,SEMANA2[COD],SEMANA2[Columna14],""))</f>
        <v>0</v>
      </c>
      <c r="F44" s="293">
        <f>IF(D44="","",_xlfn.XLOOKUP($C44,BASE01[COD],BASE01[Columna19],"")+_xlfn.XLOOKUP($C44,SEMANA2[COD],SEMANA2[Columna19],""))</f>
        <v>0</v>
      </c>
      <c r="G44" s="294" t="str">
        <f t="shared" si="6"/>
        <v/>
      </c>
      <c r="H44" s="295">
        <f>IF(D44="","",_xlfn.XLOOKUP($C44,BASE01[COD],BASE01[Columna29],"")+_xlfn.XLOOKUP($C44,SEMANA2[COD],SEMANA2[Columna29],""))</f>
        <v>0</v>
      </c>
      <c r="I44" s="295">
        <f>IF(D44="","",_xlfn.XLOOKUP($C44,BASE01[COD],BASE01[Columna30],"")+_xlfn.XLOOKUP($C44,SEMANA2[COD],SEMANA2[Columna30],""))</f>
        <v>0</v>
      </c>
      <c r="J44" s="296" t="str">
        <f t="shared" si="7"/>
        <v/>
      </c>
      <c r="K44" s="297">
        <f>IF(D44="","",_xlfn.XLOOKUP($C44,BASE01[COD],BASE01[Columna32],"")+_xlfn.XLOOKUP($C44,SEMANA2[COD],SEMANA2[Columna32],""))</f>
        <v>0</v>
      </c>
      <c r="L44" s="297">
        <f>IF(D44="","",_xlfn.XLOOKUP($C44,BASE01[COD],BASE01[Columna34],"")+_xlfn.XLOOKUP($C44,SEMANA2[COD],SEMANA2[Columna34],""))</f>
        <v>0</v>
      </c>
      <c r="M44" s="298" t="str">
        <f t="shared" si="8"/>
        <v/>
      </c>
      <c r="N44" s="299">
        <f>IF(D44="","",_xlfn.XLOOKUP($C44,BASE01[COD],BASE01[Columna36],"")+_xlfn.XLOOKUP($C44,SEMANA2[COD],SEMANA2[Columna36],""))</f>
        <v>0</v>
      </c>
      <c r="O44" s="299">
        <f>IF(D44="","",_xlfn.XLOOKUP($C44,BASE01[COD],BASE01[Columna37],"")+_xlfn.XLOOKUP($C44,SEMANA2[COD],SEMANA2[Columna37],""))</f>
        <v>0</v>
      </c>
      <c r="P44" s="300">
        <f t="shared" si="9"/>
        <v>0</v>
      </c>
      <c r="Q44" s="301">
        <f>_xlfn.XLOOKUP(C44,SEMANA2[COD],SEMANA2[Columna33],"")</f>
        <v>0</v>
      </c>
      <c r="R44" s="3"/>
      <c r="U44" s="388" t="str">
        <v>COD 40</v>
      </c>
      <c r="V44" s="388" t="str">
        <f t="shared" si="10"/>
        <v>COD 40</v>
      </c>
    </row>
    <row r="45" spans="1:22" s="388" customFormat="1" ht="23.1" customHeight="1" outlineLevel="1" x14ac:dyDescent="0.35">
      <c r="A45" s="290"/>
      <c r="B45" s="302">
        <f t="shared" si="11"/>
        <v>41</v>
      </c>
      <c r="C45" s="543" t="str">
        <v>COD 41</v>
      </c>
      <c r="D45" s="292" t="str">
        <f>_xlfn.XLOOKUP(C45,CODIGOS_Y_PAGOS[CODIGO],CODIGOS_Y_PAGOS[NOMBRE PARTICIPANTE],"")</f>
        <v>ENRIQUE LEFEBRE</v>
      </c>
      <c r="E45" s="293">
        <f>IF(D45="","",_xlfn.XLOOKUP($C45,BASE01[COD],BASE01[Columna14],"")+_xlfn.XLOOKUP($C45,SEMANA2[COD],SEMANA2[Columna14],""))</f>
        <v>0</v>
      </c>
      <c r="F45" s="293">
        <f>IF(D45="","",_xlfn.XLOOKUP($C45,BASE01[COD],BASE01[Columna19],"")+_xlfn.XLOOKUP($C45,SEMANA2[COD],SEMANA2[Columna19],""))</f>
        <v>0</v>
      </c>
      <c r="G45" s="294" t="str">
        <f t="shared" si="6"/>
        <v/>
      </c>
      <c r="H45" s="295">
        <f>IF(D45="","",_xlfn.XLOOKUP($C45,BASE01[COD],BASE01[Columna29],"")+_xlfn.XLOOKUP($C45,SEMANA2[COD],SEMANA2[Columna29],""))</f>
        <v>0</v>
      </c>
      <c r="I45" s="295">
        <f>IF(D45="","",_xlfn.XLOOKUP($C45,BASE01[COD],BASE01[Columna30],"")+_xlfn.XLOOKUP($C45,SEMANA2[COD],SEMANA2[Columna30],""))</f>
        <v>0</v>
      </c>
      <c r="J45" s="296" t="str">
        <f t="shared" si="7"/>
        <v/>
      </c>
      <c r="K45" s="297">
        <f>IF(D45="","",_xlfn.XLOOKUP($C45,BASE01[COD],BASE01[Columna32],"")+_xlfn.XLOOKUP($C45,SEMANA2[COD],SEMANA2[Columna32],""))</f>
        <v>0</v>
      </c>
      <c r="L45" s="297">
        <f>IF(D45="","",_xlfn.XLOOKUP($C45,BASE01[COD],BASE01[Columna34],"")+_xlfn.XLOOKUP($C45,SEMANA2[COD],SEMANA2[Columna34],""))</f>
        <v>0</v>
      </c>
      <c r="M45" s="298" t="str">
        <f t="shared" si="8"/>
        <v/>
      </c>
      <c r="N45" s="299">
        <f>IF(D45="","",_xlfn.XLOOKUP($C45,BASE01[COD],BASE01[Columna36],"")+_xlfn.XLOOKUP($C45,SEMANA2[COD],SEMANA2[Columna36],""))</f>
        <v>0</v>
      </c>
      <c r="O45" s="299">
        <f>IF(D45="","",_xlfn.XLOOKUP($C45,BASE01[COD],BASE01[Columna37],"")+_xlfn.XLOOKUP($C45,SEMANA2[COD],SEMANA2[Columna37],""))</f>
        <v>0</v>
      </c>
      <c r="P45" s="300">
        <f t="shared" si="9"/>
        <v>0</v>
      </c>
      <c r="Q45" s="301">
        <f>_xlfn.XLOOKUP(C45,SEMANA2[COD],SEMANA2[Columna33],"")</f>
        <v>0</v>
      </c>
      <c r="R45" s="3"/>
      <c r="U45" s="388" t="str">
        <v>COD 41</v>
      </c>
      <c r="V45" s="388" t="str">
        <f t="shared" si="10"/>
        <v>COD 41</v>
      </c>
    </row>
    <row r="46" spans="1:22" s="388" customFormat="1" ht="23.1" customHeight="1" outlineLevel="1" x14ac:dyDescent="0.35">
      <c r="A46" s="290"/>
      <c r="B46" s="302">
        <f t="shared" si="11"/>
        <v>42</v>
      </c>
      <c r="C46" s="543" t="str">
        <v>COD 42</v>
      </c>
      <c r="D46" s="292">
        <f>_xlfn.XLOOKUP(C46,CODIGOS_Y_PAGOS[CODIGO],CODIGOS_Y_PAGOS[NOMBRE PARTICIPANTE],"")</f>
        <v>0</v>
      </c>
      <c r="E46" s="293">
        <f>IF(D46="","",_xlfn.XLOOKUP($C46,BASE01[COD],BASE01[Columna14],"")+_xlfn.XLOOKUP($C46,SEMANA2[COD],SEMANA2[Columna14],""))</f>
        <v>0</v>
      </c>
      <c r="F46" s="293">
        <f>IF(D46="","",_xlfn.XLOOKUP($C46,BASE01[COD],BASE01[Columna19],"")+_xlfn.XLOOKUP($C46,SEMANA2[COD],SEMANA2[Columna19],""))</f>
        <v>0</v>
      </c>
      <c r="G46" s="294" t="str">
        <f t="shared" si="6"/>
        <v/>
      </c>
      <c r="H46" s="295">
        <f>IF(D46="","",_xlfn.XLOOKUP($C46,BASE01[COD],BASE01[Columna29],"")+_xlfn.XLOOKUP($C46,SEMANA2[COD],SEMANA2[Columna29],""))</f>
        <v>0</v>
      </c>
      <c r="I46" s="295">
        <f>IF(D46="","",_xlfn.XLOOKUP($C46,BASE01[COD],BASE01[Columna30],"")+_xlfn.XLOOKUP($C46,SEMANA2[COD],SEMANA2[Columna30],""))</f>
        <v>0</v>
      </c>
      <c r="J46" s="296" t="str">
        <f t="shared" si="7"/>
        <v/>
      </c>
      <c r="K46" s="297">
        <f>IF(D46="","",_xlfn.XLOOKUP($C46,BASE01[COD],BASE01[Columna32],"")+_xlfn.XLOOKUP($C46,SEMANA2[COD],SEMANA2[Columna32],""))</f>
        <v>0</v>
      </c>
      <c r="L46" s="297">
        <f>IF(D46="","",_xlfn.XLOOKUP($C46,BASE01[COD],BASE01[Columna34],"")+_xlfn.XLOOKUP($C46,SEMANA2[COD],SEMANA2[Columna34],""))</f>
        <v>0</v>
      </c>
      <c r="M46" s="298" t="str">
        <f t="shared" si="8"/>
        <v/>
      </c>
      <c r="N46" s="299">
        <f>IF(D46="","",_xlfn.XLOOKUP($C46,BASE01[COD],BASE01[Columna36],"")+_xlfn.XLOOKUP($C46,SEMANA2[COD],SEMANA2[Columna36],""))</f>
        <v>0</v>
      </c>
      <c r="O46" s="299">
        <f>IF(D46="","",_xlfn.XLOOKUP($C46,BASE01[COD],BASE01[Columna37],"")+_xlfn.XLOOKUP($C46,SEMANA2[COD],SEMANA2[Columna37],""))</f>
        <v>0</v>
      </c>
      <c r="P46" s="300">
        <f t="shared" si="9"/>
        <v>0</v>
      </c>
      <c r="Q46" s="301">
        <f>_xlfn.XLOOKUP(C46,SEMANA2[COD],SEMANA2[Columna33],"")</f>
        <v>0</v>
      </c>
      <c r="R46" s="3"/>
      <c r="U46" s="388" t="str">
        <v>COD 42</v>
      </c>
      <c r="V46" s="388" t="str">
        <f t="shared" si="10"/>
        <v>COD 42</v>
      </c>
    </row>
    <row r="47" spans="1:22" s="388" customFormat="1" ht="23.1" customHeight="1" outlineLevel="1" x14ac:dyDescent="0.35">
      <c r="A47" s="290"/>
      <c r="B47" s="304">
        <f t="shared" si="11"/>
        <v>43</v>
      </c>
      <c r="C47" s="543" t="str">
        <v>COD 43</v>
      </c>
      <c r="D47" s="292">
        <f>_xlfn.XLOOKUP(C47,CODIGOS_Y_PAGOS[CODIGO],CODIGOS_Y_PAGOS[NOMBRE PARTICIPANTE],"")</f>
        <v>0</v>
      </c>
      <c r="E47" s="293">
        <f>IF(D47="","",_xlfn.XLOOKUP($C47,BASE01[COD],BASE01[Columna14],"")+_xlfn.XLOOKUP($C47,SEMANA2[COD],SEMANA2[Columna14],""))</f>
        <v>0</v>
      </c>
      <c r="F47" s="293">
        <f>IF(D47="","",_xlfn.XLOOKUP($C47,BASE01[COD],BASE01[Columna19],"")+_xlfn.XLOOKUP($C47,SEMANA2[COD],SEMANA2[Columna19],""))</f>
        <v>0</v>
      </c>
      <c r="G47" s="294" t="str">
        <f t="shared" si="6"/>
        <v/>
      </c>
      <c r="H47" s="295">
        <f>IF(D47="","",_xlfn.XLOOKUP($C47,BASE01[COD],BASE01[Columna29],"")+_xlfn.XLOOKUP($C47,SEMANA2[COD],SEMANA2[Columna29],""))</f>
        <v>0</v>
      </c>
      <c r="I47" s="295">
        <f>IF(D47="","",_xlfn.XLOOKUP($C47,BASE01[COD],BASE01[Columna30],"")+_xlfn.XLOOKUP($C47,SEMANA2[COD],SEMANA2[Columna30],""))</f>
        <v>0</v>
      </c>
      <c r="J47" s="296" t="str">
        <f t="shared" si="7"/>
        <v/>
      </c>
      <c r="K47" s="297">
        <f>IF(D47="","",_xlfn.XLOOKUP($C47,BASE01[COD],BASE01[Columna32],"")+_xlfn.XLOOKUP($C47,SEMANA2[COD],SEMANA2[Columna32],""))</f>
        <v>0</v>
      </c>
      <c r="L47" s="297">
        <f>IF(D47="","",_xlfn.XLOOKUP($C47,BASE01[COD],BASE01[Columna34],"")+_xlfn.XLOOKUP($C47,SEMANA2[COD],SEMANA2[Columna34],""))</f>
        <v>0</v>
      </c>
      <c r="M47" s="298" t="str">
        <f t="shared" si="8"/>
        <v/>
      </c>
      <c r="N47" s="299">
        <f>IF(D47="","",_xlfn.XLOOKUP($C47,BASE01[COD],BASE01[Columna36],"")+_xlfn.XLOOKUP($C47,SEMANA2[COD],SEMANA2[Columna36],""))</f>
        <v>0</v>
      </c>
      <c r="O47" s="299">
        <f>IF(D47="","",_xlfn.XLOOKUP($C47,BASE01[COD],BASE01[Columna37],"")+_xlfn.XLOOKUP($C47,SEMANA2[COD],SEMANA2[Columna37],""))</f>
        <v>0</v>
      </c>
      <c r="P47" s="300">
        <f t="shared" si="9"/>
        <v>0</v>
      </c>
      <c r="Q47" s="301">
        <f>_xlfn.XLOOKUP(C47,SEMANA2[COD],SEMANA2[Columna33],"")</f>
        <v>0</v>
      </c>
      <c r="R47" s="3"/>
      <c r="U47" s="388" t="str">
        <v>COD 43</v>
      </c>
      <c r="V47" s="388" t="str">
        <f t="shared" si="10"/>
        <v>COD 43</v>
      </c>
    </row>
    <row r="48" spans="1:22" s="388" customFormat="1" ht="23.1" customHeight="1" outlineLevel="1" x14ac:dyDescent="0.35">
      <c r="A48" s="290"/>
      <c r="B48" s="304">
        <f t="shared" si="11"/>
        <v>44</v>
      </c>
      <c r="C48" s="543" t="str">
        <v>COD 44</v>
      </c>
      <c r="D48" s="292">
        <f>_xlfn.XLOOKUP(C48,CODIGOS_Y_PAGOS[CODIGO],CODIGOS_Y_PAGOS[NOMBRE PARTICIPANTE],"")</f>
        <v>0</v>
      </c>
      <c r="E48" s="293">
        <f>IF(D48="","",_xlfn.XLOOKUP($C48,BASE01[COD],BASE01[Columna14],"")+_xlfn.XLOOKUP($C48,SEMANA2[COD],SEMANA2[Columna14],""))</f>
        <v>0</v>
      </c>
      <c r="F48" s="293">
        <f>IF(D48="","",_xlfn.XLOOKUP($C48,BASE01[COD],BASE01[Columna19],"")+_xlfn.XLOOKUP($C48,SEMANA2[COD],SEMANA2[Columna19],""))</f>
        <v>0</v>
      </c>
      <c r="G48" s="294" t="str">
        <f t="shared" si="6"/>
        <v/>
      </c>
      <c r="H48" s="295">
        <f>IF(D48="","",_xlfn.XLOOKUP($C48,BASE01[COD],BASE01[Columna29],"")+_xlfn.XLOOKUP($C48,SEMANA2[COD],SEMANA2[Columna29],""))</f>
        <v>0</v>
      </c>
      <c r="I48" s="295">
        <f>IF(D48="","",_xlfn.XLOOKUP($C48,BASE01[COD],BASE01[Columna30],"")+_xlfn.XLOOKUP($C48,SEMANA2[COD],SEMANA2[Columna30],""))</f>
        <v>0</v>
      </c>
      <c r="J48" s="296" t="str">
        <f t="shared" si="7"/>
        <v/>
      </c>
      <c r="K48" s="297">
        <f>IF(D48="","",_xlfn.XLOOKUP($C48,BASE01[COD],BASE01[Columna32],"")+_xlfn.XLOOKUP($C48,SEMANA2[COD],SEMANA2[Columna32],""))</f>
        <v>0</v>
      </c>
      <c r="L48" s="297">
        <f>IF(D48="","",_xlfn.XLOOKUP($C48,BASE01[COD],BASE01[Columna34],"")+_xlfn.XLOOKUP($C48,SEMANA2[COD],SEMANA2[Columna34],""))</f>
        <v>0</v>
      </c>
      <c r="M48" s="298" t="str">
        <f t="shared" si="8"/>
        <v/>
      </c>
      <c r="N48" s="299">
        <f>IF(D48="","",_xlfn.XLOOKUP($C48,BASE01[COD],BASE01[Columna36],"")+_xlfn.XLOOKUP($C48,SEMANA2[COD],SEMANA2[Columna36],""))</f>
        <v>0</v>
      </c>
      <c r="O48" s="299">
        <f>IF(D48="","",_xlfn.XLOOKUP($C48,BASE01[COD],BASE01[Columna37],"")+_xlfn.XLOOKUP($C48,SEMANA2[COD],SEMANA2[Columna37],""))</f>
        <v>0</v>
      </c>
      <c r="P48" s="300">
        <f t="shared" si="9"/>
        <v>0</v>
      </c>
      <c r="Q48" s="301">
        <f>_xlfn.XLOOKUP(C48,SEMANA2[COD],SEMANA2[Columna33],"")</f>
        <v>0</v>
      </c>
      <c r="R48" s="3"/>
      <c r="U48" s="388" t="str">
        <v>COD 44</v>
      </c>
      <c r="V48" s="388" t="str">
        <f t="shared" si="10"/>
        <v>COD 44</v>
      </c>
    </row>
    <row r="49" spans="1:22" s="388" customFormat="1" ht="23.1" customHeight="1" outlineLevel="1" x14ac:dyDescent="0.35">
      <c r="A49" s="290"/>
      <c r="B49" s="304">
        <f t="shared" si="11"/>
        <v>45</v>
      </c>
      <c r="C49" s="543" t="str">
        <v>COD 45</v>
      </c>
      <c r="D49" s="292" t="str">
        <f>_xlfn.XLOOKUP(C49,CODIGOS_Y_PAGOS[CODIGO],CODIGOS_Y_PAGOS[NOMBRE PARTICIPANTE],"")</f>
        <v>GUADIZMI</v>
      </c>
      <c r="E49" s="293">
        <f>IF(D49="","",_xlfn.XLOOKUP($C49,BASE01[COD],BASE01[Columna14],"")+_xlfn.XLOOKUP($C49,SEMANA2[COD],SEMANA2[Columna14],""))</f>
        <v>0</v>
      </c>
      <c r="F49" s="293">
        <f>IF(D49="","",_xlfn.XLOOKUP($C49,BASE01[COD],BASE01[Columna19],"")+_xlfn.XLOOKUP($C49,SEMANA2[COD],SEMANA2[Columna19],""))</f>
        <v>0</v>
      </c>
      <c r="G49" s="294" t="str">
        <f t="shared" si="6"/>
        <v/>
      </c>
      <c r="H49" s="295">
        <f>IF(D49="","",_xlfn.XLOOKUP($C49,BASE01[COD],BASE01[Columna29],"")+_xlfn.XLOOKUP($C49,SEMANA2[COD],SEMANA2[Columna29],""))</f>
        <v>0</v>
      </c>
      <c r="I49" s="295">
        <f>IF(D49="","",_xlfn.XLOOKUP($C49,BASE01[COD],BASE01[Columna30],"")+_xlfn.XLOOKUP($C49,SEMANA2[COD],SEMANA2[Columna30],""))</f>
        <v>0</v>
      </c>
      <c r="J49" s="296" t="str">
        <f t="shared" si="7"/>
        <v/>
      </c>
      <c r="K49" s="297">
        <f>IF(D49="","",_xlfn.XLOOKUP($C49,BASE01[COD],BASE01[Columna32],"")+_xlfn.XLOOKUP($C49,SEMANA2[COD],SEMANA2[Columna32],""))</f>
        <v>0</v>
      </c>
      <c r="L49" s="297">
        <f>IF(D49="","",_xlfn.XLOOKUP($C49,BASE01[COD],BASE01[Columna34],"")+_xlfn.XLOOKUP($C49,SEMANA2[COD],SEMANA2[Columna34],""))</f>
        <v>0</v>
      </c>
      <c r="M49" s="298" t="str">
        <f t="shared" si="8"/>
        <v/>
      </c>
      <c r="N49" s="299">
        <f>IF(D49="","",_xlfn.XLOOKUP($C49,BASE01[COD],BASE01[Columna36],"")+_xlfn.XLOOKUP($C49,SEMANA2[COD],SEMANA2[Columna36],""))</f>
        <v>0</v>
      </c>
      <c r="O49" s="299">
        <f>IF(D49="","",_xlfn.XLOOKUP($C49,BASE01[COD],BASE01[Columna37],"")+_xlfn.XLOOKUP($C49,SEMANA2[COD],SEMANA2[Columna37],""))</f>
        <v>0</v>
      </c>
      <c r="P49" s="300">
        <f t="shared" si="9"/>
        <v>0</v>
      </c>
      <c r="Q49" s="301">
        <f>_xlfn.XLOOKUP(C49,SEMANA2[COD],SEMANA2[Columna33],"")</f>
        <v>0</v>
      </c>
      <c r="R49" s="3"/>
      <c r="U49" s="388" t="str">
        <v>COD 45</v>
      </c>
      <c r="V49" s="388" t="str">
        <f t="shared" si="10"/>
        <v>COD 45</v>
      </c>
    </row>
    <row r="50" spans="1:22" s="388" customFormat="1" ht="23.1" customHeight="1" outlineLevel="1" x14ac:dyDescent="0.35">
      <c r="A50" s="290"/>
      <c r="B50" s="304">
        <f t="shared" si="11"/>
        <v>46</v>
      </c>
      <c r="C50" s="543" t="str">
        <v>COD 46</v>
      </c>
      <c r="D50" s="292">
        <f>_xlfn.XLOOKUP(C50,CODIGOS_Y_PAGOS[CODIGO],CODIGOS_Y_PAGOS[NOMBRE PARTICIPANTE],"")</f>
        <v>0</v>
      </c>
      <c r="E50" s="293">
        <f>IF(D50="","",_xlfn.XLOOKUP($C50,BASE01[COD],BASE01[Columna14],"")+_xlfn.XLOOKUP($C50,SEMANA2[COD],SEMANA2[Columna14],""))</f>
        <v>0</v>
      </c>
      <c r="F50" s="293">
        <f>IF(D50="","",_xlfn.XLOOKUP($C50,BASE01[COD],BASE01[Columna19],"")+_xlfn.XLOOKUP($C50,SEMANA2[COD],SEMANA2[Columna19],""))</f>
        <v>0</v>
      </c>
      <c r="G50" s="294" t="str">
        <f t="shared" si="6"/>
        <v/>
      </c>
      <c r="H50" s="295">
        <f>IF(D50="","",_xlfn.XLOOKUP($C50,BASE01[COD],BASE01[Columna29],"")+_xlfn.XLOOKUP($C50,SEMANA2[COD],SEMANA2[Columna29],""))</f>
        <v>0</v>
      </c>
      <c r="I50" s="295">
        <f>IF(D50="","",_xlfn.XLOOKUP($C50,BASE01[COD],BASE01[Columna30],"")+_xlfn.XLOOKUP($C50,SEMANA2[COD],SEMANA2[Columna30],""))</f>
        <v>0</v>
      </c>
      <c r="J50" s="296" t="str">
        <f t="shared" si="7"/>
        <v/>
      </c>
      <c r="K50" s="297">
        <f>IF(D50="","",_xlfn.XLOOKUP($C50,BASE01[COD],BASE01[Columna32],"")+_xlfn.XLOOKUP($C50,SEMANA2[COD],SEMANA2[Columna32],""))</f>
        <v>0</v>
      </c>
      <c r="L50" s="297">
        <f>IF(D50="","",_xlfn.XLOOKUP($C50,BASE01[COD],BASE01[Columna34],"")+_xlfn.XLOOKUP($C50,SEMANA2[COD],SEMANA2[Columna34],""))</f>
        <v>0</v>
      </c>
      <c r="M50" s="298" t="str">
        <f t="shared" si="8"/>
        <v/>
      </c>
      <c r="N50" s="299">
        <f>IF(D50="","",_xlfn.XLOOKUP($C50,BASE01[COD],BASE01[Columna36],"")+_xlfn.XLOOKUP($C50,SEMANA2[COD],SEMANA2[Columna36],""))</f>
        <v>0</v>
      </c>
      <c r="O50" s="299">
        <f>IF(D50="","",_xlfn.XLOOKUP($C50,BASE01[COD],BASE01[Columna37],"")+_xlfn.XLOOKUP($C50,SEMANA2[COD],SEMANA2[Columna37],""))</f>
        <v>0</v>
      </c>
      <c r="P50" s="300">
        <f t="shared" si="9"/>
        <v>0</v>
      </c>
      <c r="Q50" s="301">
        <f>_xlfn.XLOOKUP(C50,SEMANA2[COD],SEMANA2[Columna33],"")</f>
        <v>0</v>
      </c>
      <c r="R50" s="3"/>
      <c r="U50" s="388" t="str">
        <v>COD 46</v>
      </c>
      <c r="V50" s="388" t="str">
        <f t="shared" si="10"/>
        <v>COD 46</v>
      </c>
    </row>
    <row r="51" spans="1:22" s="388" customFormat="1" ht="23.1" customHeight="1" outlineLevel="1" x14ac:dyDescent="0.35">
      <c r="A51" s="290"/>
      <c r="B51" s="304">
        <f t="shared" si="11"/>
        <v>47</v>
      </c>
      <c r="C51" s="543" t="str">
        <v>COD 47</v>
      </c>
      <c r="D51" s="292">
        <f>_xlfn.XLOOKUP(C51,CODIGOS_Y_PAGOS[CODIGO],CODIGOS_Y_PAGOS[NOMBRE PARTICIPANTE],"")</f>
        <v>0</v>
      </c>
      <c r="E51" s="293">
        <f>IF(D51="","",_xlfn.XLOOKUP($C51,BASE01[COD],BASE01[Columna14],"")+_xlfn.XLOOKUP($C51,SEMANA2[COD],SEMANA2[Columna14],""))</f>
        <v>0</v>
      </c>
      <c r="F51" s="293">
        <f>IF(D51="","",_xlfn.XLOOKUP($C51,BASE01[COD],BASE01[Columna19],"")+_xlfn.XLOOKUP($C51,SEMANA2[COD],SEMANA2[Columna19],""))</f>
        <v>0</v>
      </c>
      <c r="G51" s="294" t="str">
        <f t="shared" si="6"/>
        <v/>
      </c>
      <c r="H51" s="295">
        <f>IF(D51="","",_xlfn.XLOOKUP($C51,BASE01[COD],BASE01[Columna29],"")+_xlfn.XLOOKUP($C51,SEMANA2[COD],SEMANA2[Columna29],""))</f>
        <v>0</v>
      </c>
      <c r="I51" s="295">
        <f>IF(D51="","",_xlfn.XLOOKUP($C51,BASE01[COD],BASE01[Columna30],"")+_xlfn.XLOOKUP($C51,SEMANA2[COD],SEMANA2[Columna30],""))</f>
        <v>0</v>
      </c>
      <c r="J51" s="296" t="str">
        <f t="shared" si="7"/>
        <v/>
      </c>
      <c r="K51" s="297">
        <f>IF(D51="","",_xlfn.XLOOKUP($C51,BASE01[COD],BASE01[Columna32],"")+_xlfn.XLOOKUP($C51,SEMANA2[COD],SEMANA2[Columna32],""))</f>
        <v>0</v>
      </c>
      <c r="L51" s="297">
        <f>IF(D51="","",_xlfn.XLOOKUP($C51,BASE01[COD],BASE01[Columna34],"")+_xlfn.XLOOKUP($C51,SEMANA2[COD],SEMANA2[Columna34],""))</f>
        <v>0</v>
      </c>
      <c r="M51" s="298" t="str">
        <f t="shared" si="8"/>
        <v/>
      </c>
      <c r="N51" s="299">
        <f>IF(D51="","",_xlfn.XLOOKUP($C51,BASE01[COD],BASE01[Columna36],"")+_xlfn.XLOOKUP($C51,SEMANA2[COD],SEMANA2[Columna36],""))</f>
        <v>0</v>
      </c>
      <c r="O51" s="299">
        <f>IF(D51="","",_xlfn.XLOOKUP($C51,BASE01[COD],BASE01[Columna37],"")+_xlfn.XLOOKUP($C51,SEMANA2[COD],SEMANA2[Columna37],""))</f>
        <v>0</v>
      </c>
      <c r="P51" s="300">
        <f t="shared" si="9"/>
        <v>0</v>
      </c>
      <c r="Q51" s="301">
        <f>_xlfn.XLOOKUP(C51,SEMANA2[COD],SEMANA2[Columna33],"")</f>
        <v>0</v>
      </c>
      <c r="R51" s="3"/>
      <c r="U51" s="388" t="str">
        <v>COD 47</v>
      </c>
      <c r="V51" s="388" t="str">
        <f t="shared" si="10"/>
        <v>COD 47</v>
      </c>
    </row>
    <row r="52" spans="1:22" s="388" customFormat="1" ht="23.1" customHeight="1" outlineLevel="1" x14ac:dyDescent="0.35">
      <c r="A52" s="290"/>
      <c r="B52" s="304">
        <f t="shared" si="11"/>
        <v>48</v>
      </c>
      <c r="C52" s="543" t="str">
        <v>COD 48</v>
      </c>
      <c r="D52" s="292">
        <f>_xlfn.XLOOKUP(C52,CODIGOS_Y_PAGOS[CODIGO],CODIGOS_Y_PAGOS[NOMBRE PARTICIPANTE],"")</f>
        <v>0</v>
      </c>
      <c r="E52" s="293">
        <f>IF(D52="","",_xlfn.XLOOKUP($C52,BASE01[COD],BASE01[Columna14],"")+_xlfn.XLOOKUP($C52,SEMANA2[COD],SEMANA2[Columna14],""))</f>
        <v>0</v>
      </c>
      <c r="F52" s="293">
        <f>IF(D52="","",_xlfn.XLOOKUP($C52,BASE01[COD],BASE01[Columna19],"")+_xlfn.XLOOKUP($C52,SEMANA2[COD],SEMANA2[Columna19],""))</f>
        <v>0</v>
      </c>
      <c r="G52" s="294" t="str">
        <f t="shared" si="6"/>
        <v/>
      </c>
      <c r="H52" s="295">
        <f>IF(D52="","",_xlfn.XLOOKUP($C52,BASE01[COD],BASE01[Columna29],"")+_xlfn.XLOOKUP($C52,SEMANA2[COD],SEMANA2[Columna29],""))</f>
        <v>0</v>
      </c>
      <c r="I52" s="295">
        <f>IF(D52="","",_xlfn.XLOOKUP($C52,BASE01[COD],BASE01[Columna30],"")+_xlfn.XLOOKUP($C52,SEMANA2[COD],SEMANA2[Columna30],""))</f>
        <v>0</v>
      </c>
      <c r="J52" s="296" t="str">
        <f t="shared" si="7"/>
        <v/>
      </c>
      <c r="K52" s="297">
        <f>IF(D52="","",_xlfn.XLOOKUP($C52,BASE01[COD],BASE01[Columna32],"")+_xlfn.XLOOKUP($C52,SEMANA2[COD],SEMANA2[Columna32],""))</f>
        <v>0</v>
      </c>
      <c r="L52" s="297">
        <f>IF(D52="","",_xlfn.XLOOKUP($C52,BASE01[COD],BASE01[Columna34],"")+_xlfn.XLOOKUP($C52,SEMANA2[COD],SEMANA2[Columna34],""))</f>
        <v>0</v>
      </c>
      <c r="M52" s="298" t="str">
        <f t="shared" si="8"/>
        <v/>
      </c>
      <c r="N52" s="299">
        <f>IF(D52="","",_xlfn.XLOOKUP($C52,BASE01[COD],BASE01[Columna36],"")+_xlfn.XLOOKUP($C52,SEMANA2[COD],SEMANA2[Columna36],""))</f>
        <v>0</v>
      </c>
      <c r="O52" s="299">
        <f>IF(D52="","",_xlfn.XLOOKUP($C52,BASE01[COD],BASE01[Columna37],"")+_xlfn.XLOOKUP($C52,SEMANA2[COD],SEMANA2[Columna37],""))</f>
        <v>0</v>
      </c>
      <c r="P52" s="300">
        <f t="shared" si="9"/>
        <v>0</v>
      </c>
      <c r="Q52" s="301">
        <f>_xlfn.XLOOKUP(C52,SEMANA2[COD],SEMANA2[Columna33],"")</f>
        <v>0</v>
      </c>
      <c r="R52" s="3"/>
      <c r="U52" s="388" t="str">
        <v>COD 48</v>
      </c>
      <c r="V52" s="388" t="str">
        <f t="shared" si="10"/>
        <v>COD 48</v>
      </c>
    </row>
    <row r="53" spans="1:22" s="388" customFormat="1" ht="23.1" customHeight="1" outlineLevel="1" x14ac:dyDescent="0.35">
      <c r="A53" s="290"/>
      <c r="B53" s="304">
        <f t="shared" si="11"/>
        <v>49</v>
      </c>
      <c r="C53" s="543" t="str">
        <v>COD 49</v>
      </c>
      <c r="D53" s="292">
        <f>_xlfn.XLOOKUP(C53,CODIGOS_Y_PAGOS[CODIGO],CODIGOS_Y_PAGOS[NOMBRE PARTICIPANTE],"")</f>
        <v>0</v>
      </c>
      <c r="E53" s="293">
        <f>IF(D53="","",_xlfn.XLOOKUP($C53,BASE01[COD],BASE01[Columna14],"")+_xlfn.XLOOKUP($C53,SEMANA2[COD],SEMANA2[Columna14],""))</f>
        <v>0</v>
      </c>
      <c r="F53" s="293">
        <f>IF(D53="","",_xlfn.XLOOKUP($C53,BASE01[COD],BASE01[Columna19],"")+_xlfn.XLOOKUP($C53,SEMANA2[COD],SEMANA2[Columna19],""))</f>
        <v>0</v>
      </c>
      <c r="G53" s="294" t="str">
        <f t="shared" si="6"/>
        <v/>
      </c>
      <c r="H53" s="295">
        <f>IF(D53="","",_xlfn.XLOOKUP($C53,BASE01[COD],BASE01[Columna29],"")+_xlfn.XLOOKUP($C53,SEMANA2[COD],SEMANA2[Columna29],""))</f>
        <v>0</v>
      </c>
      <c r="I53" s="295">
        <f>IF(D53="","",_xlfn.XLOOKUP($C53,BASE01[COD],BASE01[Columna30],"")+_xlfn.XLOOKUP($C53,SEMANA2[COD],SEMANA2[Columna30],""))</f>
        <v>0</v>
      </c>
      <c r="J53" s="296" t="str">
        <f t="shared" si="7"/>
        <v/>
      </c>
      <c r="K53" s="297">
        <f>IF(D53="","",_xlfn.XLOOKUP($C53,BASE01[COD],BASE01[Columna32],"")+_xlfn.XLOOKUP($C53,SEMANA2[COD],SEMANA2[Columna32],""))</f>
        <v>0</v>
      </c>
      <c r="L53" s="297">
        <f>IF(D53="","",_xlfn.XLOOKUP($C53,BASE01[COD],BASE01[Columna34],"")+_xlfn.XLOOKUP($C53,SEMANA2[COD],SEMANA2[Columna34],""))</f>
        <v>0</v>
      </c>
      <c r="M53" s="298" t="str">
        <f t="shared" si="8"/>
        <v/>
      </c>
      <c r="N53" s="299">
        <f>IF(D53="","",_xlfn.XLOOKUP($C53,BASE01[COD],BASE01[Columna36],"")+_xlfn.XLOOKUP($C53,SEMANA2[COD],SEMANA2[Columna36],""))</f>
        <v>0</v>
      </c>
      <c r="O53" s="299">
        <f>IF(D53="","",_xlfn.XLOOKUP($C53,BASE01[COD],BASE01[Columna37],"")+_xlfn.XLOOKUP($C53,SEMANA2[COD],SEMANA2[Columna37],""))</f>
        <v>0</v>
      </c>
      <c r="P53" s="300">
        <f t="shared" si="9"/>
        <v>0</v>
      </c>
      <c r="Q53" s="301">
        <f>_xlfn.XLOOKUP(C53,SEMANA2[COD],SEMANA2[Columna33],"")</f>
        <v>0</v>
      </c>
      <c r="R53" s="3"/>
      <c r="U53" s="388" t="str">
        <v>COD 49</v>
      </c>
      <c r="V53" s="388" t="str">
        <f t="shared" si="10"/>
        <v>COD 49</v>
      </c>
    </row>
    <row r="54" spans="1:22" s="388" customFormat="1" ht="23.1" customHeight="1" outlineLevel="1" x14ac:dyDescent="0.35">
      <c r="A54" s="290"/>
      <c r="B54" s="304">
        <f t="shared" si="11"/>
        <v>50</v>
      </c>
      <c r="C54" s="543" t="str">
        <v>COD 50</v>
      </c>
      <c r="D54" s="292">
        <f>_xlfn.XLOOKUP(C54,CODIGOS_Y_PAGOS[CODIGO],CODIGOS_Y_PAGOS[NOMBRE PARTICIPANTE],"")</f>
        <v>0</v>
      </c>
      <c r="E54" s="293">
        <f>IF(D54="","",_xlfn.XLOOKUP($C54,BASE01[COD],BASE01[Columna14],"")+_xlfn.XLOOKUP($C54,SEMANA2[COD],SEMANA2[Columna14],""))</f>
        <v>0</v>
      </c>
      <c r="F54" s="293">
        <f>IF(D54="","",_xlfn.XLOOKUP($C54,BASE01[COD],BASE01[Columna19],"")+_xlfn.XLOOKUP($C54,SEMANA2[COD],SEMANA2[Columna19],""))</f>
        <v>0</v>
      </c>
      <c r="G54" s="294" t="str">
        <f t="shared" si="6"/>
        <v/>
      </c>
      <c r="H54" s="295">
        <f>IF(D54="","",_xlfn.XLOOKUP($C54,BASE01[COD],BASE01[Columna29],"")+_xlfn.XLOOKUP($C54,SEMANA2[COD],SEMANA2[Columna29],""))</f>
        <v>0</v>
      </c>
      <c r="I54" s="295">
        <f>IF(D54="","",_xlfn.XLOOKUP($C54,BASE01[COD],BASE01[Columna30],"")+_xlfn.XLOOKUP($C54,SEMANA2[COD],SEMANA2[Columna30],""))</f>
        <v>0</v>
      </c>
      <c r="J54" s="296" t="str">
        <f t="shared" si="7"/>
        <v/>
      </c>
      <c r="K54" s="297">
        <f>IF(D54="","",_xlfn.XLOOKUP($C54,BASE01[COD],BASE01[Columna32],"")+_xlfn.XLOOKUP($C54,SEMANA2[COD],SEMANA2[Columna32],""))</f>
        <v>0</v>
      </c>
      <c r="L54" s="297">
        <f>IF(D54="","",_xlfn.XLOOKUP($C54,BASE01[COD],BASE01[Columna34],"")+_xlfn.XLOOKUP($C54,SEMANA2[COD],SEMANA2[Columna34],""))</f>
        <v>0</v>
      </c>
      <c r="M54" s="298" t="str">
        <f t="shared" si="8"/>
        <v/>
      </c>
      <c r="N54" s="299">
        <f>IF(D54="","",_xlfn.XLOOKUP($C54,BASE01[COD],BASE01[Columna36],"")+_xlfn.XLOOKUP($C54,SEMANA2[COD],SEMANA2[Columna36],""))</f>
        <v>0</v>
      </c>
      <c r="O54" s="299">
        <f>IF(D54="","",_xlfn.XLOOKUP($C54,BASE01[COD],BASE01[Columna37],"")+_xlfn.XLOOKUP($C54,SEMANA2[COD],SEMANA2[Columna37],""))</f>
        <v>0</v>
      </c>
      <c r="P54" s="300">
        <f t="shared" si="9"/>
        <v>0</v>
      </c>
      <c r="Q54" s="301">
        <f>_xlfn.XLOOKUP(C54,SEMANA2[COD],SEMANA2[Columna33],"")</f>
        <v>0</v>
      </c>
      <c r="R54" s="3"/>
      <c r="U54" s="388" t="str">
        <v>COD 50</v>
      </c>
      <c r="V54" s="388" t="str">
        <f t="shared" si="10"/>
        <v>COD 50</v>
      </c>
    </row>
    <row r="55" spans="1:22" s="311" customFormat="1" ht="9" customHeight="1" x14ac:dyDescent="0.35">
      <c r="A55" s="290"/>
      <c r="B55" s="305"/>
      <c r="C55" s="306"/>
      <c r="D55" s="307"/>
      <c r="E55" s="308"/>
      <c r="F55" s="308"/>
      <c r="G55" s="309"/>
      <c r="H55" s="308"/>
      <c r="I55" s="308"/>
      <c r="J55" s="309"/>
      <c r="K55" s="308"/>
      <c r="L55" s="308"/>
      <c r="M55" s="309"/>
      <c r="N55" s="308"/>
      <c r="O55" s="308"/>
      <c r="P55" s="310"/>
      <c r="Q55" s="305"/>
      <c r="R55" s="3"/>
    </row>
    <row r="56" spans="1:22" ht="9" customHeight="1" outlineLevel="1" x14ac:dyDescent="0.25">
      <c r="R56" s="3"/>
    </row>
    <row r="57" spans="1:22" s="278" customFormat="1" ht="51.75" customHeight="1" outlineLevel="1" x14ac:dyDescent="0.25">
      <c r="A57" s="277"/>
      <c r="B57" s="583" t="s">
        <v>327</v>
      </c>
      <c r="C57" s="560"/>
      <c r="D57" s="560"/>
      <c r="E57" s="560"/>
      <c r="F57" s="560"/>
      <c r="G57" s="560"/>
      <c r="H57" s="560"/>
      <c r="I57" s="560"/>
      <c r="J57" s="560"/>
      <c r="K57" s="560"/>
      <c r="L57" s="560"/>
      <c r="M57" s="560"/>
      <c r="N57" s="560"/>
      <c r="O57" s="560"/>
      <c r="P57" s="560"/>
      <c r="Q57" s="584"/>
    </row>
    <row r="58" spans="1:22" ht="39" customHeight="1" outlineLevel="1" x14ac:dyDescent="0.4">
      <c r="A58" s="1"/>
      <c r="B58" s="344" t="str">
        <f>CONTROL!D2</f>
        <v>3ER MEETING 2026</v>
      </c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585" t="str">
        <f>'SEM 2'!D3</f>
        <v>13/09/2026</v>
      </c>
      <c r="O58" s="560"/>
      <c r="P58" s="560"/>
      <c r="Q58" s="584"/>
      <c r="R58" s="3"/>
    </row>
    <row r="59" spans="1:22" s="515" customFormat="1" ht="23.1" customHeight="1" outlineLevel="1" x14ac:dyDescent="0.25">
      <c r="A59" s="280"/>
      <c r="B59" s="281">
        <v>0</v>
      </c>
      <c r="C59" s="282" t="s">
        <v>159</v>
      </c>
      <c r="D59" s="283" t="s">
        <v>10</v>
      </c>
      <c r="E59" s="284" t="s">
        <v>149</v>
      </c>
      <c r="F59" s="285"/>
      <c r="G59" s="285"/>
      <c r="H59" s="284" t="s">
        <v>150</v>
      </c>
      <c r="I59" s="285"/>
      <c r="J59" s="285"/>
      <c r="K59" s="284" t="s">
        <v>151</v>
      </c>
      <c r="L59" s="284"/>
      <c r="M59" s="284"/>
      <c r="N59" s="286" t="s">
        <v>147</v>
      </c>
      <c r="O59" s="287"/>
      <c r="P59" s="288"/>
      <c r="Q59" s="289" t="s">
        <v>297</v>
      </c>
      <c r="R59" s="3"/>
    </row>
    <row r="60" spans="1:22" s="388" customFormat="1" ht="23.1" customHeight="1" outlineLevel="1" x14ac:dyDescent="0.35">
      <c r="A60" s="290"/>
      <c r="B60" s="291">
        <v>1</v>
      </c>
      <c r="C60" s="543" t="str">
        <f t="array" ref="C60:C109">_xlfn.SORTBY(SEMANA2[COD],SEMANA2[Columna1],-1)</f>
        <v>COD 01</v>
      </c>
      <c r="D60" s="464" t="str">
        <f>_xlfn.XLOOKUP(C60,CODIGOS_Y_PAGOS[CODIGO],CODIGOS_Y_PAGOS[NOMBRE PARTICIPANTE],"")</f>
        <v>GANADORES Y PULSO</v>
      </c>
      <c r="E60" s="293">
        <f>_xlfn.XLOOKUP($C60,SEMANA2[COD],SEMANA2[Columna14],"")</f>
        <v>14</v>
      </c>
      <c r="F60" s="293">
        <f>_xlfn.XLOOKUP(C60,SEMANA2[COD],SEMANA2[Columna19],"")</f>
        <v>6</v>
      </c>
      <c r="G60" s="294">
        <f t="shared" ref="G60:G91" si="12">IFERROR(+F60/E60,"0,00")</f>
        <v>0.42857142857142855</v>
      </c>
      <c r="H60" s="295">
        <f>_xlfn.XLOOKUP(C60,SEMANA2[COD],SEMANA2[Columna32],"")</f>
        <v>14</v>
      </c>
      <c r="I60" s="295">
        <f>_xlfn.XLOOKUP(C60,SEMANA2[COD],SEMANA2[Columna30],"")</f>
        <v>8</v>
      </c>
      <c r="J60" s="296">
        <f t="shared" ref="J60:J91" si="13">IFERROR(+I60/H60,"0,00")</f>
        <v>0.5714285714285714</v>
      </c>
      <c r="K60" s="297">
        <f>_xlfn.XLOOKUP(C60,SEMANA2[COD],SEMANA2[Columna32],"")</f>
        <v>14</v>
      </c>
      <c r="L60" s="297">
        <f>_xlfn.XLOOKUP(C60,SEMANA2[COD],SEMANA2[Columna34],"")</f>
        <v>11</v>
      </c>
      <c r="M60" s="298">
        <f t="shared" ref="M60:M91" si="14">IFERROR(+L60/K60,"0,00")</f>
        <v>0.7857142857142857</v>
      </c>
      <c r="N60" s="299">
        <f>_xlfn.XLOOKUP(C60,SEMANA2[COD],SEMANA2[Columna36],"")</f>
        <v>3</v>
      </c>
      <c r="O60" s="299">
        <f>_xlfn.XLOOKUP(C60,SEMANA2[COD],SEMANA2[Columna37],"")</f>
        <v>2</v>
      </c>
      <c r="P60" s="300">
        <f t="shared" ref="P60:P91" si="15">IFERROR(+O60/N60,"0,00")</f>
        <v>0.66666666666666663</v>
      </c>
      <c r="Q60" s="301">
        <f>_xlfn.XLOOKUP(C60,SEMANA2[COD],SEMANA2[Columna1],"")</f>
        <v>40.5</v>
      </c>
      <c r="R60" s="3"/>
      <c r="U60" s="388" t="str">
        <f t="array" ref="U60:U109">_xlfn.SORTBY(C60:C109,Q60:Q109,-1)</f>
        <v>COD 01</v>
      </c>
      <c r="V60" s="388" t="str">
        <f t="shared" ref="V60:V91" si="16">U60</f>
        <v>COD 01</v>
      </c>
    </row>
    <row r="61" spans="1:22" s="388" customFormat="1" ht="23.1" customHeight="1" outlineLevel="1" x14ac:dyDescent="0.35">
      <c r="A61" s="290"/>
      <c r="B61" s="291">
        <f t="shared" ref="B61:B92" si="17">+B60+1</f>
        <v>2</v>
      </c>
      <c r="C61" s="543" t="str">
        <v>COD 02</v>
      </c>
      <c r="D61" s="464" t="str">
        <f>_xlfn.XLOOKUP(C61,CODIGOS_Y_PAGOS[CODIGO],CODIGOS_Y_PAGOS[NOMBRE PARTICIPANTE],"")</f>
        <v>JESUS QUERALES</v>
      </c>
      <c r="E61" s="293">
        <f>_xlfn.XLOOKUP($C61,SEMANA2[COD],SEMANA2[Columna14],"")</f>
        <v>14</v>
      </c>
      <c r="F61" s="293">
        <f>_xlfn.XLOOKUP(C61,SEMANA2[COD],SEMANA2[Columna19],"")</f>
        <v>5</v>
      </c>
      <c r="G61" s="294">
        <f t="shared" si="12"/>
        <v>0.35714285714285715</v>
      </c>
      <c r="H61" s="295">
        <f>_xlfn.XLOOKUP(C61,SEMANA2[COD],SEMANA2[Columna32],"")</f>
        <v>14</v>
      </c>
      <c r="I61" s="295">
        <f>_xlfn.XLOOKUP(C61,SEMANA2[COD],SEMANA2[Columna30],"")</f>
        <v>9</v>
      </c>
      <c r="J61" s="296">
        <f t="shared" si="13"/>
        <v>0.6428571428571429</v>
      </c>
      <c r="K61" s="297">
        <f>_xlfn.XLOOKUP(C61,SEMANA2[COD],SEMANA2[Columna32],"")</f>
        <v>14</v>
      </c>
      <c r="L61" s="297">
        <f>_xlfn.XLOOKUP(C61,SEMANA2[COD],SEMANA2[Columna34],"")</f>
        <v>10</v>
      </c>
      <c r="M61" s="298">
        <f t="shared" si="14"/>
        <v>0.7142857142857143</v>
      </c>
      <c r="N61" s="299">
        <f>_xlfn.XLOOKUP(C61,SEMANA2[COD],SEMANA2[Columna36],"")</f>
        <v>3</v>
      </c>
      <c r="O61" s="299">
        <f>_xlfn.XLOOKUP(C61,SEMANA2[COD],SEMANA2[Columna37],"")</f>
        <v>2</v>
      </c>
      <c r="P61" s="300">
        <f t="shared" si="15"/>
        <v>0.66666666666666663</v>
      </c>
      <c r="Q61" s="301">
        <f>_xlfn.XLOOKUP(C61,SEMANA2[COD],SEMANA2[Columna1],"")</f>
        <v>38.5</v>
      </c>
      <c r="R61" s="3"/>
      <c r="U61" s="388" t="str">
        <v>COD 02</v>
      </c>
      <c r="V61" s="388" t="str">
        <f t="shared" si="16"/>
        <v>COD 02</v>
      </c>
    </row>
    <row r="62" spans="1:22" s="388" customFormat="1" ht="23.1" customHeight="1" outlineLevel="1" x14ac:dyDescent="0.35">
      <c r="A62" s="290"/>
      <c r="B62" s="291">
        <f t="shared" si="17"/>
        <v>3</v>
      </c>
      <c r="C62" s="543" t="str">
        <v>COD 03</v>
      </c>
      <c r="D62" s="464" t="str">
        <f>_xlfn.XLOOKUP(C62,CODIGOS_Y_PAGOS[CODIGO],CODIGOS_Y_PAGOS[NOMBRE PARTICIPANTE],"")</f>
        <v>MUÑECA DEL HIPISMO</v>
      </c>
      <c r="E62" s="293">
        <f>_xlfn.XLOOKUP($C62,SEMANA2[COD],SEMANA2[Columna14],"")</f>
        <v>14</v>
      </c>
      <c r="F62" s="293">
        <f>_xlfn.XLOOKUP(C62,SEMANA2[COD],SEMANA2[Columna19],"")</f>
        <v>6</v>
      </c>
      <c r="G62" s="294">
        <f t="shared" si="12"/>
        <v>0.42857142857142855</v>
      </c>
      <c r="H62" s="295">
        <f>_xlfn.XLOOKUP(C62,SEMANA2[COD],SEMANA2[Columna32],"")</f>
        <v>14</v>
      </c>
      <c r="I62" s="295">
        <f>_xlfn.XLOOKUP(C62,SEMANA2[COD],SEMANA2[Columna30],"")</f>
        <v>8</v>
      </c>
      <c r="J62" s="296">
        <f t="shared" si="13"/>
        <v>0.5714285714285714</v>
      </c>
      <c r="K62" s="297">
        <f>_xlfn.XLOOKUP(C62,SEMANA2[COD],SEMANA2[Columna32],"")</f>
        <v>14</v>
      </c>
      <c r="L62" s="297">
        <f>_xlfn.XLOOKUP(C62,SEMANA2[COD],SEMANA2[Columna34],"")</f>
        <v>8</v>
      </c>
      <c r="M62" s="298">
        <f t="shared" si="14"/>
        <v>0.5714285714285714</v>
      </c>
      <c r="N62" s="299">
        <f>_xlfn.XLOOKUP(C62,SEMANA2[COD],SEMANA2[Columna36],"")</f>
        <v>3</v>
      </c>
      <c r="O62" s="299">
        <f>_xlfn.XLOOKUP(C62,SEMANA2[COD],SEMANA2[Columna37],"")</f>
        <v>1</v>
      </c>
      <c r="P62" s="300">
        <f t="shared" si="15"/>
        <v>0.33333333333333331</v>
      </c>
      <c r="Q62" s="301">
        <f>_xlfn.XLOOKUP(C62,SEMANA2[COD],SEMANA2[Columna1],"")</f>
        <v>35.5</v>
      </c>
      <c r="R62" s="3"/>
      <c r="U62" s="388" t="str">
        <v>COD 03</v>
      </c>
      <c r="V62" s="388" t="str">
        <f t="shared" si="16"/>
        <v>COD 03</v>
      </c>
    </row>
    <row r="63" spans="1:22" s="388" customFormat="1" ht="23.1" customHeight="1" outlineLevel="1" x14ac:dyDescent="0.35">
      <c r="A63" s="290"/>
      <c r="B63" s="291">
        <f t="shared" si="17"/>
        <v>4</v>
      </c>
      <c r="C63" s="543" t="str">
        <v>COD 04</v>
      </c>
      <c r="D63" s="464" t="str">
        <f>_xlfn.XLOOKUP(C63,CODIGOS_Y_PAGOS[CODIGO],CODIGOS_Y_PAGOS[NOMBRE PARTICIPANTE],"")</f>
        <v>EL HIPICO 701</v>
      </c>
      <c r="E63" s="293">
        <f>_xlfn.XLOOKUP($C63,SEMANA2[COD],SEMANA2[Columna14],"")</f>
        <v>14</v>
      </c>
      <c r="F63" s="293">
        <f>_xlfn.XLOOKUP(C63,SEMANA2[COD],SEMANA2[Columna19],"")</f>
        <v>5</v>
      </c>
      <c r="G63" s="294">
        <f t="shared" si="12"/>
        <v>0.35714285714285715</v>
      </c>
      <c r="H63" s="295">
        <f>_xlfn.XLOOKUP(C63,SEMANA2[COD],SEMANA2[Columna32],"")</f>
        <v>14</v>
      </c>
      <c r="I63" s="295">
        <f>_xlfn.XLOOKUP(C63,SEMANA2[COD],SEMANA2[Columna30],"")</f>
        <v>6</v>
      </c>
      <c r="J63" s="296">
        <f t="shared" si="13"/>
        <v>0.42857142857142855</v>
      </c>
      <c r="K63" s="297">
        <f>_xlfn.XLOOKUP(C63,SEMANA2[COD],SEMANA2[Columna32],"")</f>
        <v>14</v>
      </c>
      <c r="L63" s="297">
        <f>_xlfn.XLOOKUP(C63,SEMANA2[COD],SEMANA2[Columna34],"")</f>
        <v>10</v>
      </c>
      <c r="M63" s="298">
        <f t="shared" si="14"/>
        <v>0.7142857142857143</v>
      </c>
      <c r="N63" s="299">
        <f>_xlfn.XLOOKUP(C63,SEMANA2[COD],SEMANA2[Columna36],"")</f>
        <v>3</v>
      </c>
      <c r="O63" s="299">
        <f>_xlfn.XLOOKUP(C63,SEMANA2[COD],SEMANA2[Columna37],"")</f>
        <v>2</v>
      </c>
      <c r="P63" s="300">
        <f t="shared" si="15"/>
        <v>0.66666666666666663</v>
      </c>
      <c r="Q63" s="301">
        <f>_xlfn.XLOOKUP(C63,SEMANA2[COD],SEMANA2[Columna1],"")</f>
        <v>34.5</v>
      </c>
      <c r="R63" s="3"/>
      <c r="U63" s="388" t="str">
        <v>COD 04</v>
      </c>
      <c r="V63" s="388" t="str">
        <f t="shared" si="16"/>
        <v>COD 04</v>
      </c>
    </row>
    <row r="64" spans="1:22" s="388" customFormat="1" ht="23.1" customHeight="1" outlineLevel="1" x14ac:dyDescent="0.35">
      <c r="A64" s="290"/>
      <c r="B64" s="291">
        <f t="shared" si="17"/>
        <v>5</v>
      </c>
      <c r="C64" s="543" t="str">
        <v>COD 05</v>
      </c>
      <c r="D64" s="464" t="str">
        <f>_xlfn.XLOOKUP(C64,CODIGOS_Y_PAGOS[CODIGO],CODIGOS_Y_PAGOS[NOMBRE PARTICIPANTE],"")</f>
        <v>MARCOS HIDALGO</v>
      </c>
      <c r="E64" s="293">
        <f>_xlfn.XLOOKUP($C64,SEMANA2[COD],SEMANA2[Columna14],"")</f>
        <v>14</v>
      </c>
      <c r="F64" s="293">
        <f>_xlfn.XLOOKUP(C64,SEMANA2[COD],SEMANA2[Columna19],"")</f>
        <v>4</v>
      </c>
      <c r="G64" s="294">
        <f t="shared" si="12"/>
        <v>0.2857142857142857</v>
      </c>
      <c r="H64" s="295">
        <f>_xlfn.XLOOKUP(C64,SEMANA2[COD],SEMANA2[Columna32],"")</f>
        <v>14</v>
      </c>
      <c r="I64" s="295">
        <f>_xlfn.XLOOKUP(C64,SEMANA2[COD],SEMANA2[Columna30],"")</f>
        <v>6</v>
      </c>
      <c r="J64" s="296">
        <f t="shared" si="13"/>
        <v>0.42857142857142855</v>
      </c>
      <c r="K64" s="297">
        <f>_xlfn.XLOOKUP(C64,SEMANA2[COD],SEMANA2[Columna32],"")</f>
        <v>14</v>
      </c>
      <c r="L64" s="297">
        <f>_xlfn.XLOOKUP(C64,SEMANA2[COD],SEMANA2[Columna34],"")</f>
        <v>11</v>
      </c>
      <c r="M64" s="298">
        <f t="shared" si="14"/>
        <v>0.7857142857142857</v>
      </c>
      <c r="N64" s="299">
        <f>_xlfn.XLOOKUP(C64,SEMANA2[COD],SEMANA2[Columna36],"")</f>
        <v>3</v>
      </c>
      <c r="O64" s="299">
        <f>_xlfn.XLOOKUP(C64,SEMANA2[COD],SEMANA2[Columna37],"")</f>
        <v>2</v>
      </c>
      <c r="P64" s="300">
        <f t="shared" si="15"/>
        <v>0.66666666666666663</v>
      </c>
      <c r="Q64" s="301">
        <f>_xlfn.XLOOKUP(C64,SEMANA2[COD],SEMANA2[Columna1],"")</f>
        <v>34.5</v>
      </c>
      <c r="R64" s="3"/>
      <c r="U64" s="388" t="str">
        <v>COD 05</v>
      </c>
      <c r="V64" s="388" t="str">
        <f t="shared" si="16"/>
        <v>COD 05</v>
      </c>
    </row>
    <row r="65" spans="1:22" s="388" customFormat="1" ht="23.1" customHeight="1" outlineLevel="1" x14ac:dyDescent="0.35">
      <c r="A65" s="290"/>
      <c r="B65" s="291">
        <f t="shared" si="17"/>
        <v>6</v>
      </c>
      <c r="C65" s="543" t="str">
        <v>COD 06</v>
      </c>
      <c r="D65" s="464" t="str">
        <f>_xlfn.XLOOKUP(C65,CODIGOS_Y_PAGOS[CODIGO],CODIGOS_Y_PAGOS[NOMBRE PARTICIPANTE],"")</f>
        <v>JESUS ROJAS</v>
      </c>
      <c r="E65" s="293">
        <f>_xlfn.XLOOKUP($C65,SEMANA2[COD],SEMANA2[Columna14],"")</f>
        <v>14</v>
      </c>
      <c r="F65" s="293">
        <f>_xlfn.XLOOKUP(C65,SEMANA2[COD],SEMANA2[Columna19],"")</f>
        <v>6</v>
      </c>
      <c r="G65" s="294">
        <f t="shared" si="12"/>
        <v>0.42857142857142855</v>
      </c>
      <c r="H65" s="295">
        <f>_xlfn.XLOOKUP(C65,SEMANA2[COD],SEMANA2[Columna32],"")</f>
        <v>14</v>
      </c>
      <c r="I65" s="295">
        <f>_xlfn.XLOOKUP(C65,SEMANA2[COD],SEMANA2[Columna30],"")</f>
        <v>7</v>
      </c>
      <c r="J65" s="296">
        <f t="shared" si="13"/>
        <v>0.5</v>
      </c>
      <c r="K65" s="297">
        <f>_xlfn.XLOOKUP(C65,SEMANA2[COD],SEMANA2[Columna32],"")</f>
        <v>14</v>
      </c>
      <c r="L65" s="297">
        <f>_xlfn.XLOOKUP(C65,SEMANA2[COD],SEMANA2[Columna34],"")</f>
        <v>9</v>
      </c>
      <c r="M65" s="298">
        <f t="shared" si="14"/>
        <v>0.6428571428571429</v>
      </c>
      <c r="N65" s="299">
        <f>_xlfn.XLOOKUP(C65,SEMANA2[COD],SEMANA2[Columna36],"")</f>
        <v>3</v>
      </c>
      <c r="O65" s="299">
        <f>_xlfn.XLOOKUP(C65,SEMANA2[COD],SEMANA2[Columna37],"")</f>
        <v>2</v>
      </c>
      <c r="P65" s="300">
        <f t="shared" si="15"/>
        <v>0.66666666666666663</v>
      </c>
      <c r="Q65" s="301">
        <f>_xlfn.XLOOKUP(C65,SEMANA2[COD],SEMANA2[Columna1],"")</f>
        <v>34.5</v>
      </c>
      <c r="R65" s="3"/>
      <c r="U65" s="388" t="str">
        <v>COD 06</v>
      </c>
      <c r="V65" s="388" t="str">
        <f t="shared" si="16"/>
        <v>COD 06</v>
      </c>
    </row>
    <row r="66" spans="1:22" s="388" customFormat="1" ht="23.1" customHeight="1" outlineLevel="1" x14ac:dyDescent="0.35">
      <c r="A66" s="290"/>
      <c r="B66" s="302">
        <f t="shared" si="17"/>
        <v>7</v>
      </c>
      <c r="C66" s="543" t="str">
        <v>COD 07</v>
      </c>
      <c r="D66" s="464" t="str">
        <f>_xlfn.XLOOKUP(C66,CODIGOS_Y_PAGOS[CODIGO],CODIGOS_Y_PAGOS[NOMBRE PARTICIPANTE],"")</f>
        <v>NELSON OSORIO</v>
      </c>
      <c r="E66" s="293">
        <f>_xlfn.XLOOKUP($C66,SEMANA2[COD],SEMANA2[Columna14],"")</f>
        <v>14</v>
      </c>
      <c r="F66" s="293">
        <f>_xlfn.XLOOKUP(C66,SEMANA2[COD],SEMANA2[Columna19],"")</f>
        <v>5</v>
      </c>
      <c r="G66" s="294">
        <f t="shared" si="12"/>
        <v>0.35714285714285715</v>
      </c>
      <c r="H66" s="295">
        <f>_xlfn.XLOOKUP(C66,SEMANA2[COD],SEMANA2[Columna32],"")</f>
        <v>14</v>
      </c>
      <c r="I66" s="295">
        <f>_xlfn.XLOOKUP(C66,SEMANA2[COD],SEMANA2[Columna30],"")</f>
        <v>6</v>
      </c>
      <c r="J66" s="296">
        <f t="shared" si="13"/>
        <v>0.42857142857142855</v>
      </c>
      <c r="K66" s="297">
        <f>_xlfn.XLOOKUP(C66,SEMANA2[COD],SEMANA2[Columna32],"")</f>
        <v>14</v>
      </c>
      <c r="L66" s="297">
        <f>_xlfn.XLOOKUP(C66,SEMANA2[COD],SEMANA2[Columna34],"")</f>
        <v>10</v>
      </c>
      <c r="M66" s="298">
        <f t="shared" si="14"/>
        <v>0.7142857142857143</v>
      </c>
      <c r="N66" s="299">
        <f>_xlfn.XLOOKUP(C66,SEMANA2[COD],SEMANA2[Columna36],"")</f>
        <v>3</v>
      </c>
      <c r="O66" s="299">
        <f>_xlfn.XLOOKUP(C66,SEMANA2[COD],SEMANA2[Columna37],"")</f>
        <v>2</v>
      </c>
      <c r="P66" s="300">
        <f t="shared" si="15"/>
        <v>0.66666666666666663</v>
      </c>
      <c r="Q66" s="301">
        <f>_xlfn.XLOOKUP(C66,SEMANA2[COD],SEMANA2[Columna1],"")</f>
        <v>33.5</v>
      </c>
      <c r="R66" s="3"/>
      <c r="U66" s="388" t="str">
        <v>COD 07</v>
      </c>
      <c r="V66" s="388" t="str">
        <f t="shared" si="16"/>
        <v>COD 07</v>
      </c>
    </row>
    <row r="67" spans="1:22" s="388" customFormat="1" ht="23.1" customHeight="1" outlineLevel="1" x14ac:dyDescent="0.35">
      <c r="A67" s="290"/>
      <c r="B67" s="291">
        <f t="shared" si="17"/>
        <v>8</v>
      </c>
      <c r="C67" s="543" t="str">
        <v>COD 08</v>
      </c>
      <c r="D67" s="464" t="str">
        <f>_xlfn.XLOOKUP(C67,CODIGOS_Y_PAGOS[CODIGO],CODIGOS_Y_PAGOS[NOMBRE PARTICIPANTE],"")</f>
        <v>RUBEN DARIO CARDENAS</v>
      </c>
      <c r="E67" s="293">
        <f>_xlfn.XLOOKUP($C67,SEMANA2[COD],SEMANA2[Columna14],"")</f>
        <v>14</v>
      </c>
      <c r="F67" s="293">
        <f>_xlfn.XLOOKUP(C67,SEMANA2[COD],SEMANA2[Columna19],"")</f>
        <v>7</v>
      </c>
      <c r="G67" s="294">
        <f t="shared" si="12"/>
        <v>0.5</v>
      </c>
      <c r="H67" s="295">
        <f>_xlfn.XLOOKUP(C67,SEMANA2[COD],SEMANA2[Columna32],"")</f>
        <v>14</v>
      </c>
      <c r="I67" s="295">
        <f>_xlfn.XLOOKUP(C67,SEMANA2[COD],SEMANA2[Columna30],"")</f>
        <v>7</v>
      </c>
      <c r="J67" s="296">
        <f t="shared" si="13"/>
        <v>0.5</v>
      </c>
      <c r="K67" s="297">
        <f>_xlfn.XLOOKUP(C67,SEMANA2[COD],SEMANA2[Columna32],"")</f>
        <v>14</v>
      </c>
      <c r="L67" s="297">
        <f>_xlfn.XLOOKUP(C67,SEMANA2[COD],SEMANA2[Columna34],"")</f>
        <v>8</v>
      </c>
      <c r="M67" s="298">
        <f t="shared" si="14"/>
        <v>0.5714285714285714</v>
      </c>
      <c r="N67" s="299">
        <f>_xlfn.XLOOKUP(C67,SEMANA2[COD],SEMANA2[Columna36],"")</f>
        <v>3</v>
      </c>
      <c r="O67" s="299">
        <f>_xlfn.XLOOKUP(C67,SEMANA2[COD],SEMANA2[Columna37],"")</f>
        <v>2</v>
      </c>
      <c r="P67" s="300">
        <f t="shared" si="15"/>
        <v>0.66666666666666663</v>
      </c>
      <c r="Q67" s="301">
        <f>_xlfn.XLOOKUP(C67,SEMANA2[COD],SEMANA2[Columna1],"")</f>
        <v>32.5</v>
      </c>
      <c r="R67" s="3"/>
      <c r="U67" s="388" t="str">
        <v>COD 08</v>
      </c>
      <c r="V67" s="388" t="str">
        <f t="shared" si="16"/>
        <v>COD 08</v>
      </c>
    </row>
    <row r="68" spans="1:22" s="388" customFormat="1" ht="23.1" customHeight="1" outlineLevel="1" x14ac:dyDescent="0.35">
      <c r="A68" s="290"/>
      <c r="B68" s="291">
        <f t="shared" si="17"/>
        <v>9</v>
      </c>
      <c r="C68" s="543" t="str">
        <v>COD 09</v>
      </c>
      <c r="D68" s="464" t="str">
        <f>_xlfn.XLOOKUP(C68,CODIGOS_Y_PAGOS[CODIGO],CODIGOS_Y_PAGOS[NOMBRE PARTICIPANTE],"")</f>
        <v>JESUS ARASME</v>
      </c>
      <c r="E68" s="293">
        <f>_xlfn.XLOOKUP($C68,SEMANA2[COD],SEMANA2[Columna14],"")</f>
        <v>14</v>
      </c>
      <c r="F68" s="293">
        <f>_xlfn.XLOOKUP(C68,SEMANA2[COD],SEMANA2[Columna19],"")</f>
        <v>5</v>
      </c>
      <c r="G68" s="294">
        <f t="shared" si="12"/>
        <v>0.35714285714285715</v>
      </c>
      <c r="H68" s="295">
        <f>_xlfn.XLOOKUP(C68,SEMANA2[COD],SEMANA2[Columna32],"")</f>
        <v>14</v>
      </c>
      <c r="I68" s="295">
        <f>_xlfn.XLOOKUP(C68,SEMANA2[COD],SEMANA2[Columna30],"")</f>
        <v>7</v>
      </c>
      <c r="J68" s="296">
        <f t="shared" si="13"/>
        <v>0.5</v>
      </c>
      <c r="K68" s="297">
        <f>_xlfn.XLOOKUP(C68,SEMANA2[COD],SEMANA2[Columna32],"")</f>
        <v>14</v>
      </c>
      <c r="L68" s="297">
        <f>_xlfn.XLOOKUP(C68,SEMANA2[COD],SEMANA2[Columna34],"")</f>
        <v>10</v>
      </c>
      <c r="M68" s="298">
        <f t="shared" si="14"/>
        <v>0.7142857142857143</v>
      </c>
      <c r="N68" s="299">
        <f>_xlfn.XLOOKUP(C68,SEMANA2[COD],SEMANA2[Columna36],"")</f>
        <v>3</v>
      </c>
      <c r="O68" s="299">
        <f>_xlfn.XLOOKUP(C68,SEMANA2[COD],SEMANA2[Columna37],"")</f>
        <v>2</v>
      </c>
      <c r="P68" s="300">
        <f t="shared" si="15"/>
        <v>0.66666666666666663</v>
      </c>
      <c r="Q68" s="301">
        <f>_xlfn.XLOOKUP(C68,SEMANA2[COD],SEMANA2[Columna1],"")</f>
        <v>32.5</v>
      </c>
      <c r="R68" s="3"/>
      <c r="U68" s="388" t="str">
        <v>COD 09</v>
      </c>
      <c r="V68" s="388" t="str">
        <f t="shared" si="16"/>
        <v>COD 09</v>
      </c>
    </row>
    <row r="69" spans="1:22" s="388" customFormat="1" ht="23.1" customHeight="1" outlineLevel="1" x14ac:dyDescent="0.35">
      <c r="A69" s="290"/>
      <c r="B69" s="291">
        <f t="shared" si="17"/>
        <v>10</v>
      </c>
      <c r="C69" s="543" t="str">
        <v>COD 10</v>
      </c>
      <c r="D69" s="464" t="str">
        <f>_xlfn.XLOOKUP(C69,CODIGOS_Y_PAGOS[CODIGO],CODIGOS_Y_PAGOS[NOMBRE PARTICIPANTE],"")</f>
        <v>JESUS CARAYACA</v>
      </c>
      <c r="E69" s="293">
        <f>_xlfn.XLOOKUP($C69,SEMANA2[COD],SEMANA2[Columna14],"")</f>
        <v>14</v>
      </c>
      <c r="F69" s="293">
        <f>_xlfn.XLOOKUP(C69,SEMANA2[COD],SEMANA2[Columna19],"")</f>
        <v>4</v>
      </c>
      <c r="G69" s="294">
        <f t="shared" si="12"/>
        <v>0.2857142857142857</v>
      </c>
      <c r="H69" s="295">
        <f>_xlfn.XLOOKUP(C69,SEMANA2[COD],SEMANA2[Columna32],"")</f>
        <v>14</v>
      </c>
      <c r="I69" s="295">
        <f>_xlfn.XLOOKUP(C69,SEMANA2[COD],SEMANA2[Columna30],"")</f>
        <v>9</v>
      </c>
      <c r="J69" s="296">
        <f t="shared" si="13"/>
        <v>0.6428571428571429</v>
      </c>
      <c r="K69" s="297">
        <f>_xlfn.XLOOKUP(C69,SEMANA2[COD],SEMANA2[Columna32],"")</f>
        <v>14</v>
      </c>
      <c r="L69" s="297">
        <f>_xlfn.XLOOKUP(C69,SEMANA2[COD],SEMANA2[Columna34],"")</f>
        <v>9</v>
      </c>
      <c r="M69" s="298">
        <f t="shared" si="14"/>
        <v>0.6428571428571429</v>
      </c>
      <c r="N69" s="299">
        <f>_xlfn.XLOOKUP(C69,SEMANA2[COD],SEMANA2[Columna36],"")</f>
        <v>3</v>
      </c>
      <c r="O69" s="299">
        <f>_xlfn.XLOOKUP(C69,SEMANA2[COD],SEMANA2[Columna37],"")</f>
        <v>2</v>
      </c>
      <c r="P69" s="300">
        <f t="shared" si="15"/>
        <v>0.66666666666666663</v>
      </c>
      <c r="Q69" s="301">
        <f>_xlfn.XLOOKUP(C69,SEMANA2[COD],SEMANA2[Columna1],"")</f>
        <v>32.5</v>
      </c>
      <c r="R69" s="3"/>
      <c r="U69" s="388" t="str">
        <v>COD 10</v>
      </c>
      <c r="V69" s="388" t="str">
        <f t="shared" si="16"/>
        <v>COD 10</v>
      </c>
    </row>
    <row r="70" spans="1:22" s="388" customFormat="1" ht="23.1" customHeight="1" outlineLevel="1" x14ac:dyDescent="0.35">
      <c r="A70" s="290"/>
      <c r="B70" s="291">
        <f t="shared" si="17"/>
        <v>11</v>
      </c>
      <c r="C70" s="543" t="str">
        <v>COD 11</v>
      </c>
      <c r="D70" s="464" t="str">
        <f>_xlfn.XLOOKUP(C70,CODIGOS_Y_PAGOS[CODIGO],CODIGOS_Y_PAGOS[NOMBRE PARTICIPANTE],"")</f>
        <v>ANDERSON ZERPA</v>
      </c>
      <c r="E70" s="293">
        <f>_xlfn.XLOOKUP($C70,SEMANA2[COD],SEMANA2[Columna14],"")</f>
        <v>14</v>
      </c>
      <c r="F70" s="293">
        <f>_xlfn.XLOOKUP(C70,SEMANA2[COD],SEMANA2[Columna19],"")</f>
        <v>5</v>
      </c>
      <c r="G70" s="294">
        <f t="shared" si="12"/>
        <v>0.35714285714285715</v>
      </c>
      <c r="H70" s="295">
        <f>_xlfn.XLOOKUP(C70,SEMANA2[COD],SEMANA2[Columna32],"")</f>
        <v>14</v>
      </c>
      <c r="I70" s="295">
        <f>_xlfn.XLOOKUP(C70,SEMANA2[COD],SEMANA2[Columna30],"")</f>
        <v>8</v>
      </c>
      <c r="J70" s="296">
        <f t="shared" si="13"/>
        <v>0.5714285714285714</v>
      </c>
      <c r="K70" s="297">
        <f>_xlfn.XLOOKUP(C70,SEMANA2[COD],SEMANA2[Columna32],"")</f>
        <v>14</v>
      </c>
      <c r="L70" s="297">
        <f>_xlfn.XLOOKUP(C70,SEMANA2[COD],SEMANA2[Columna34],"")</f>
        <v>9</v>
      </c>
      <c r="M70" s="298">
        <f t="shared" si="14"/>
        <v>0.6428571428571429</v>
      </c>
      <c r="N70" s="299">
        <f>_xlfn.XLOOKUP(C70,SEMANA2[COD],SEMANA2[Columna36],"")</f>
        <v>3</v>
      </c>
      <c r="O70" s="299">
        <f>_xlfn.XLOOKUP(C70,SEMANA2[COD],SEMANA2[Columna37],"")</f>
        <v>2</v>
      </c>
      <c r="P70" s="300">
        <f t="shared" si="15"/>
        <v>0.66666666666666663</v>
      </c>
      <c r="Q70" s="301">
        <f>_xlfn.XLOOKUP(C70,SEMANA2[COD],SEMANA2[Columna1],"")</f>
        <v>32.5</v>
      </c>
      <c r="R70" s="3"/>
      <c r="U70" s="388" t="str">
        <v>COD 11</v>
      </c>
      <c r="V70" s="388" t="str">
        <f t="shared" si="16"/>
        <v>COD 11</v>
      </c>
    </row>
    <row r="71" spans="1:22" s="388" customFormat="1" ht="23.1" customHeight="1" outlineLevel="1" x14ac:dyDescent="0.35">
      <c r="A71" s="290"/>
      <c r="B71" s="291">
        <f t="shared" si="17"/>
        <v>12</v>
      </c>
      <c r="C71" s="543" t="str">
        <v>COD 12</v>
      </c>
      <c r="D71" s="464">
        <f>_xlfn.XLOOKUP(C71,CODIGOS_Y_PAGOS[CODIGO],CODIGOS_Y_PAGOS[NOMBRE PARTICIPANTE],"")</f>
        <v>0</v>
      </c>
      <c r="E71" s="293">
        <f>_xlfn.XLOOKUP($C71,SEMANA2[COD],SEMANA2[Columna14],"")</f>
        <v>14</v>
      </c>
      <c r="F71" s="293">
        <f>_xlfn.XLOOKUP(C71,SEMANA2[COD],SEMANA2[Columna19],"")</f>
        <v>4</v>
      </c>
      <c r="G71" s="294">
        <f t="shared" si="12"/>
        <v>0.2857142857142857</v>
      </c>
      <c r="H71" s="295">
        <f>_xlfn.XLOOKUP(C71,SEMANA2[COD],SEMANA2[Columna32],"")</f>
        <v>14</v>
      </c>
      <c r="I71" s="295">
        <f>_xlfn.XLOOKUP(C71,SEMANA2[COD],SEMANA2[Columna30],"")</f>
        <v>6</v>
      </c>
      <c r="J71" s="296">
        <f t="shared" si="13"/>
        <v>0.42857142857142855</v>
      </c>
      <c r="K71" s="297">
        <f>_xlfn.XLOOKUP(C71,SEMANA2[COD],SEMANA2[Columna32],"")</f>
        <v>14</v>
      </c>
      <c r="L71" s="297">
        <f>_xlfn.XLOOKUP(C71,SEMANA2[COD],SEMANA2[Columna34],"")</f>
        <v>8</v>
      </c>
      <c r="M71" s="298">
        <f t="shared" si="14"/>
        <v>0.5714285714285714</v>
      </c>
      <c r="N71" s="299">
        <f>_xlfn.XLOOKUP(C71,SEMANA2[COD],SEMANA2[Columna36],"")</f>
        <v>3</v>
      </c>
      <c r="O71" s="299">
        <f>_xlfn.XLOOKUP(C71,SEMANA2[COD],SEMANA2[Columna37],"")</f>
        <v>1</v>
      </c>
      <c r="P71" s="300">
        <f t="shared" si="15"/>
        <v>0.33333333333333331</v>
      </c>
      <c r="Q71" s="301">
        <f>_xlfn.XLOOKUP(C71,SEMANA2[COD],SEMANA2[Columna1],"")</f>
        <v>31.5</v>
      </c>
      <c r="R71" s="3"/>
      <c r="U71" s="388" t="str">
        <v>COD 12</v>
      </c>
      <c r="V71" s="388" t="str">
        <f t="shared" si="16"/>
        <v>COD 12</v>
      </c>
    </row>
    <row r="72" spans="1:22" s="388" customFormat="1" ht="23.1" customHeight="1" outlineLevel="1" x14ac:dyDescent="0.35">
      <c r="A72" s="290"/>
      <c r="B72" s="291">
        <f t="shared" si="17"/>
        <v>13</v>
      </c>
      <c r="C72" s="543" t="str">
        <v>COD 13</v>
      </c>
      <c r="D72" s="464" t="str">
        <f>_xlfn.XLOOKUP(C72,CODIGOS_Y_PAGOS[CODIGO],CODIGOS_Y_PAGOS[NOMBRE PARTICIPANTE],"")</f>
        <v>NOTAS HIPICAS</v>
      </c>
      <c r="E72" s="293">
        <f>_xlfn.XLOOKUP($C72,SEMANA2[COD],SEMANA2[Columna14],"")</f>
        <v>14</v>
      </c>
      <c r="F72" s="293">
        <f>_xlfn.XLOOKUP(C72,SEMANA2[COD],SEMANA2[Columna19],"")</f>
        <v>4</v>
      </c>
      <c r="G72" s="294">
        <f t="shared" si="12"/>
        <v>0.2857142857142857</v>
      </c>
      <c r="H72" s="295">
        <f>_xlfn.XLOOKUP(C72,SEMANA2[COD],SEMANA2[Columna32],"")</f>
        <v>14</v>
      </c>
      <c r="I72" s="295">
        <f>_xlfn.XLOOKUP(C72,SEMANA2[COD],SEMANA2[Columna30],"")</f>
        <v>6</v>
      </c>
      <c r="J72" s="296">
        <f t="shared" si="13"/>
        <v>0.42857142857142855</v>
      </c>
      <c r="K72" s="297">
        <f>_xlfn.XLOOKUP(C72,SEMANA2[COD],SEMANA2[Columna32],"")</f>
        <v>14</v>
      </c>
      <c r="L72" s="297">
        <f>_xlfn.XLOOKUP(C72,SEMANA2[COD],SEMANA2[Columna34],"")</f>
        <v>8</v>
      </c>
      <c r="M72" s="298">
        <f t="shared" si="14"/>
        <v>0.5714285714285714</v>
      </c>
      <c r="N72" s="299">
        <f>_xlfn.XLOOKUP(C72,SEMANA2[COD],SEMANA2[Columna36],"")</f>
        <v>2</v>
      </c>
      <c r="O72" s="299">
        <f>_xlfn.XLOOKUP(C72,SEMANA2[COD],SEMANA2[Columna37],"")</f>
        <v>2</v>
      </c>
      <c r="P72" s="300">
        <f t="shared" si="15"/>
        <v>1</v>
      </c>
      <c r="Q72" s="301">
        <f>_xlfn.XLOOKUP(C72,SEMANA2[COD],SEMANA2[Columna1],"")</f>
        <v>31.5</v>
      </c>
      <c r="R72" s="3"/>
      <c r="U72" s="388" t="str">
        <v>COD 13</v>
      </c>
      <c r="V72" s="388" t="str">
        <f t="shared" si="16"/>
        <v>COD 13</v>
      </c>
    </row>
    <row r="73" spans="1:22" s="388" customFormat="1" ht="23.1" customHeight="1" outlineLevel="1" x14ac:dyDescent="0.35">
      <c r="A73" s="290"/>
      <c r="B73" s="291">
        <f t="shared" si="17"/>
        <v>14</v>
      </c>
      <c r="C73" s="543" t="str">
        <v>COD 14</v>
      </c>
      <c r="D73" s="464" t="str">
        <f>_xlfn.XLOOKUP(C73,CODIGOS_Y_PAGOS[CODIGO],CODIGOS_Y_PAGOS[NOMBRE PARTICIPANTE],"")</f>
        <v>PEDRO ALVAREZ</v>
      </c>
      <c r="E73" s="293">
        <f>_xlfn.XLOOKUP($C73,SEMANA2[COD],SEMANA2[Columna14],"")</f>
        <v>14</v>
      </c>
      <c r="F73" s="293">
        <f>_xlfn.XLOOKUP(C73,SEMANA2[COD],SEMANA2[Columna19],"")</f>
        <v>5</v>
      </c>
      <c r="G73" s="294">
        <f t="shared" si="12"/>
        <v>0.35714285714285715</v>
      </c>
      <c r="H73" s="295">
        <f>_xlfn.XLOOKUP(C73,SEMANA2[COD],SEMANA2[Columna32],"")</f>
        <v>14</v>
      </c>
      <c r="I73" s="295">
        <f>_xlfn.XLOOKUP(C73,SEMANA2[COD],SEMANA2[Columna30],"")</f>
        <v>6</v>
      </c>
      <c r="J73" s="296">
        <f t="shared" si="13"/>
        <v>0.42857142857142855</v>
      </c>
      <c r="K73" s="297">
        <f>_xlfn.XLOOKUP(C73,SEMANA2[COD],SEMANA2[Columna32],"")</f>
        <v>14</v>
      </c>
      <c r="L73" s="297">
        <f>_xlfn.XLOOKUP(C73,SEMANA2[COD],SEMANA2[Columna34],"")</f>
        <v>9</v>
      </c>
      <c r="M73" s="298">
        <f t="shared" si="14"/>
        <v>0.6428571428571429</v>
      </c>
      <c r="N73" s="299">
        <f>_xlfn.XLOOKUP(C73,SEMANA2[COD],SEMANA2[Columna36],"")</f>
        <v>3</v>
      </c>
      <c r="O73" s="299">
        <f>_xlfn.XLOOKUP(C73,SEMANA2[COD],SEMANA2[Columna37],"")</f>
        <v>2</v>
      </c>
      <c r="P73" s="300">
        <f t="shared" si="15"/>
        <v>0.66666666666666663</v>
      </c>
      <c r="Q73" s="301">
        <f>_xlfn.XLOOKUP(C73,SEMANA2[COD],SEMANA2[Columna1],"")</f>
        <v>30.5</v>
      </c>
      <c r="R73" s="3"/>
      <c r="U73" s="388" t="str">
        <v>COD 14</v>
      </c>
      <c r="V73" s="388" t="str">
        <f t="shared" si="16"/>
        <v>COD 14</v>
      </c>
    </row>
    <row r="74" spans="1:22" s="388" customFormat="1" ht="23.1" customHeight="1" outlineLevel="1" x14ac:dyDescent="0.35">
      <c r="A74" s="290"/>
      <c r="B74" s="291">
        <f t="shared" si="17"/>
        <v>15</v>
      </c>
      <c r="C74" s="543" t="str">
        <v>COD 15</v>
      </c>
      <c r="D74" s="464" t="str">
        <f>_xlfn.XLOOKUP(C74,CODIGOS_Y_PAGOS[CODIGO],CODIGOS_Y_PAGOS[NOMBRE PARTICIPANTE],"")</f>
        <v>CARLOS SUAREZ</v>
      </c>
      <c r="E74" s="293">
        <f>_xlfn.XLOOKUP($C74,SEMANA2[COD],SEMANA2[Columna14],"")</f>
        <v>14</v>
      </c>
      <c r="F74" s="293">
        <f>_xlfn.XLOOKUP(C74,SEMANA2[COD],SEMANA2[Columna19],"")</f>
        <v>4</v>
      </c>
      <c r="G74" s="294">
        <f t="shared" si="12"/>
        <v>0.2857142857142857</v>
      </c>
      <c r="H74" s="295">
        <f>_xlfn.XLOOKUP(C74,SEMANA2[COD],SEMANA2[Columna32],"")</f>
        <v>14</v>
      </c>
      <c r="I74" s="295">
        <f>_xlfn.XLOOKUP(C74,SEMANA2[COD],SEMANA2[Columna30],"")</f>
        <v>6</v>
      </c>
      <c r="J74" s="296">
        <f t="shared" si="13"/>
        <v>0.42857142857142855</v>
      </c>
      <c r="K74" s="297">
        <f>_xlfn.XLOOKUP(C74,SEMANA2[COD],SEMANA2[Columna32],"")</f>
        <v>14</v>
      </c>
      <c r="L74" s="297">
        <f>_xlfn.XLOOKUP(C74,SEMANA2[COD],SEMANA2[Columna34],"")</f>
        <v>8</v>
      </c>
      <c r="M74" s="298">
        <f t="shared" si="14"/>
        <v>0.5714285714285714</v>
      </c>
      <c r="N74" s="299">
        <f>_xlfn.XLOOKUP(C74,SEMANA2[COD],SEMANA2[Columna36],"")</f>
        <v>3</v>
      </c>
      <c r="O74" s="299">
        <f>_xlfn.XLOOKUP(C74,SEMANA2[COD],SEMANA2[Columna37],"")</f>
        <v>2</v>
      </c>
      <c r="P74" s="300">
        <f t="shared" si="15"/>
        <v>0.66666666666666663</v>
      </c>
      <c r="Q74" s="301">
        <f>_xlfn.XLOOKUP(C74,SEMANA2[COD],SEMANA2[Columna1],"")</f>
        <v>30.5</v>
      </c>
      <c r="R74" s="3"/>
      <c r="U74" s="388" t="str">
        <v>COD 15</v>
      </c>
      <c r="V74" s="388" t="str">
        <f t="shared" si="16"/>
        <v>COD 15</v>
      </c>
    </row>
    <row r="75" spans="1:22" s="388" customFormat="1" ht="23.1" customHeight="1" outlineLevel="1" x14ac:dyDescent="0.35">
      <c r="A75" s="290"/>
      <c r="B75" s="291">
        <f t="shared" si="17"/>
        <v>16</v>
      </c>
      <c r="C75" s="543" t="str">
        <v>COD 16</v>
      </c>
      <c r="D75" s="464" t="str">
        <f>_xlfn.XLOOKUP(C75,CODIGOS_Y_PAGOS[CODIGO],CODIGOS_Y_PAGOS[NOMBRE PARTICIPANTE],"")</f>
        <v>PODER HIPICO</v>
      </c>
      <c r="E75" s="293">
        <f>_xlfn.XLOOKUP($C75,SEMANA2[COD],SEMANA2[Columna14],"")</f>
        <v>14</v>
      </c>
      <c r="F75" s="293">
        <f>_xlfn.XLOOKUP(C75,SEMANA2[COD],SEMANA2[Columna19],"")</f>
        <v>4</v>
      </c>
      <c r="G75" s="294">
        <f t="shared" si="12"/>
        <v>0.2857142857142857</v>
      </c>
      <c r="H75" s="295">
        <f>_xlfn.XLOOKUP(C75,SEMANA2[COD],SEMANA2[Columna32],"")</f>
        <v>14</v>
      </c>
      <c r="I75" s="295">
        <f>_xlfn.XLOOKUP(C75,SEMANA2[COD],SEMANA2[Columna30],"")</f>
        <v>5</v>
      </c>
      <c r="J75" s="296">
        <f t="shared" si="13"/>
        <v>0.35714285714285715</v>
      </c>
      <c r="K75" s="297">
        <f>_xlfn.XLOOKUP(C75,SEMANA2[COD],SEMANA2[Columna32],"")</f>
        <v>14</v>
      </c>
      <c r="L75" s="297">
        <f>_xlfn.XLOOKUP(C75,SEMANA2[COD],SEMANA2[Columna34],"")</f>
        <v>10</v>
      </c>
      <c r="M75" s="298">
        <f t="shared" si="14"/>
        <v>0.7142857142857143</v>
      </c>
      <c r="N75" s="299">
        <f>_xlfn.XLOOKUP(C75,SEMANA2[COD],SEMANA2[Columna36],"")</f>
        <v>3</v>
      </c>
      <c r="O75" s="299">
        <f>_xlfn.XLOOKUP(C75,SEMANA2[COD],SEMANA2[Columna37],"")</f>
        <v>2</v>
      </c>
      <c r="P75" s="300">
        <f t="shared" si="15"/>
        <v>0.66666666666666663</v>
      </c>
      <c r="Q75" s="301">
        <f>_xlfn.XLOOKUP(C75,SEMANA2[COD],SEMANA2[Columna1],"")</f>
        <v>30.5</v>
      </c>
      <c r="R75" s="3"/>
      <c r="U75" s="388" t="str">
        <v>COD 16</v>
      </c>
      <c r="V75" s="388" t="str">
        <f t="shared" si="16"/>
        <v>COD 16</v>
      </c>
    </row>
    <row r="76" spans="1:22" s="388" customFormat="1" ht="23.1" customHeight="1" outlineLevel="1" x14ac:dyDescent="0.35">
      <c r="A76" s="290"/>
      <c r="B76" s="291">
        <f t="shared" si="17"/>
        <v>17</v>
      </c>
      <c r="C76" s="543" t="str">
        <v>COD 17</v>
      </c>
      <c r="D76" s="464" t="str">
        <f>_xlfn.XLOOKUP(C76,CODIGOS_Y_PAGOS[CODIGO],CODIGOS_Y_PAGOS[NOMBRE PARTICIPANTE],"")</f>
        <v>FERNANDO VALDIRIO</v>
      </c>
      <c r="E76" s="293">
        <f>_xlfn.XLOOKUP($C76,SEMANA2[COD],SEMANA2[Columna14],"")</f>
        <v>14</v>
      </c>
      <c r="F76" s="293">
        <f>_xlfn.XLOOKUP(C76,SEMANA2[COD],SEMANA2[Columna19],"")</f>
        <v>4</v>
      </c>
      <c r="G76" s="294">
        <f t="shared" si="12"/>
        <v>0.2857142857142857</v>
      </c>
      <c r="H76" s="295">
        <f>_xlfn.XLOOKUP(C76,SEMANA2[COD],SEMANA2[Columna32],"")</f>
        <v>14</v>
      </c>
      <c r="I76" s="295">
        <f>_xlfn.XLOOKUP(C76,SEMANA2[COD],SEMANA2[Columna30],"")</f>
        <v>7</v>
      </c>
      <c r="J76" s="296">
        <f t="shared" si="13"/>
        <v>0.5</v>
      </c>
      <c r="K76" s="297">
        <f>_xlfn.XLOOKUP(C76,SEMANA2[COD],SEMANA2[Columna32],"")</f>
        <v>14</v>
      </c>
      <c r="L76" s="297">
        <f>_xlfn.XLOOKUP(C76,SEMANA2[COD],SEMANA2[Columna34],"")</f>
        <v>8</v>
      </c>
      <c r="M76" s="298">
        <f t="shared" si="14"/>
        <v>0.5714285714285714</v>
      </c>
      <c r="N76" s="299">
        <f>_xlfn.XLOOKUP(C76,SEMANA2[COD],SEMANA2[Columna36],"")</f>
        <v>3</v>
      </c>
      <c r="O76" s="299">
        <f>_xlfn.XLOOKUP(C76,SEMANA2[COD],SEMANA2[Columna37],"")</f>
        <v>2</v>
      </c>
      <c r="P76" s="300">
        <f t="shared" si="15"/>
        <v>0.66666666666666663</v>
      </c>
      <c r="Q76" s="301">
        <f>_xlfn.XLOOKUP(C76,SEMANA2[COD],SEMANA2[Columna1],"")</f>
        <v>29.5</v>
      </c>
      <c r="R76" s="3"/>
      <c r="U76" s="388" t="str">
        <v>COD 17</v>
      </c>
      <c r="V76" s="388" t="str">
        <f t="shared" si="16"/>
        <v>COD 17</v>
      </c>
    </row>
    <row r="77" spans="1:22" s="388" customFormat="1" ht="23.1" customHeight="1" outlineLevel="1" x14ac:dyDescent="0.35">
      <c r="A77" s="290"/>
      <c r="B77" s="291">
        <f t="shared" si="17"/>
        <v>18</v>
      </c>
      <c r="C77" s="543" t="str">
        <v>COD 18</v>
      </c>
      <c r="D77" s="464" t="str">
        <f>_xlfn.XLOOKUP(C77,CODIGOS_Y_PAGOS[CODIGO],CODIGOS_Y_PAGOS[NOMBRE PARTICIPANTE],"")</f>
        <v>CASTOR CHIRINOS</v>
      </c>
      <c r="E77" s="293">
        <f>_xlfn.XLOOKUP($C77,SEMANA2[COD],SEMANA2[Columna14],"")</f>
        <v>14</v>
      </c>
      <c r="F77" s="293">
        <f>_xlfn.XLOOKUP(C77,SEMANA2[COD],SEMANA2[Columna19],"")</f>
        <v>4</v>
      </c>
      <c r="G77" s="294">
        <f t="shared" si="12"/>
        <v>0.2857142857142857</v>
      </c>
      <c r="H77" s="295">
        <f>_xlfn.XLOOKUP(C77,SEMANA2[COD],SEMANA2[Columna32],"")</f>
        <v>14</v>
      </c>
      <c r="I77" s="295">
        <f>_xlfn.XLOOKUP(C77,SEMANA2[COD],SEMANA2[Columna30],"")</f>
        <v>6</v>
      </c>
      <c r="J77" s="296">
        <f t="shared" si="13"/>
        <v>0.42857142857142855</v>
      </c>
      <c r="K77" s="297">
        <f>_xlfn.XLOOKUP(C77,SEMANA2[COD],SEMANA2[Columna32],"")</f>
        <v>14</v>
      </c>
      <c r="L77" s="297">
        <f>_xlfn.XLOOKUP(C77,SEMANA2[COD],SEMANA2[Columna34],"")</f>
        <v>9</v>
      </c>
      <c r="M77" s="298">
        <f t="shared" si="14"/>
        <v>0.6428571428571429</v>
      </c>
      <c r="N77" s="299">
        <f>_xlfn.XLOOKUP(C77,SEMANA2[COD],SEMANA2[Columna36],"")</f>
        <v>3</v>
      </c>
      <c r="O77" s="299">
        <f>_xlfn.XLOOKUP(C77,SEMANA2[COD],SEMANA2[Columna37],"")</f>
        <v>2</v>
      </c>
      <c r="P77" s="300">
        <f t="shared" si="15"/>
        <v>0.66666666666666663</v>
      </c>
      <c r="Q77" s="301">
        <f>_xlfn.XLOOKUP(C77,SEMANA2[COD],SEMANA2[Columna1],"")</f>
        <v>29.5</v>
      </c>
      <c r="R77" s="3"/>
      <c r="U77" s="388" t="str">
        <v>COD 18</v>
      </c>
      <c r="V77" s="388" t="str">
        <f t="shared" si="16"/>
        <v>COD 18</v>
      </c>
    </row>
    <row r="78" spans="1:22" s="388" customFormat="1" ht="23.1" customHeight="1" outlineLevel="1" x14ac:dyDescent="0.35">
      <c r="A78" s="290"/>
      <c r="B78" s="291">
        <f t="shared" si="17"/>
        <v>19</v>
      </c>
      <c r="C78" s="543" t="str">
        <v>COD 19</v>
      </c>
      <c r="D78" s="464" t="str">
        <f>_xlfn.XLOOKUP(C78,CODIGOS_Y_PAGOS[CODIGO],CODIGOS_Y_PAGOS[NOMBRE PARTICIPANTE],"")</f>
        <v>EL SAMURAI HIPICO</v>
      </c>
      <c r="E78" s="293">
        <f>_xlfn.XLOOKUP($C78,SEMANA2[COD],SEMANA2[Columna14],"")</f>
        <v>14</v>
      </c>
      <c r="F78" s="293">
        <f>_xlfn.XLOOKUP(C78,SEMANA2[COD],SEMANA2[Columna19],"")</f>
        <v>4</v>
      </c>
      <c r="G78" s="294">
        <f t="shared" si="12"/>
        <v>0.2857142857142857</v>
      </c>
      <c r="H78" s="295">
        <f>_xlfn.XLOOKUP(C78,SEMANA2[COD],SEMANA2[Columna32],"")</f>
        <v>14</v>
      </c>
      <c r="I78" s="295">
        <f>_xlfn.XLOOKUP(C78,SEMANA2[COD],SEMANA2[Columna30],"")</f>
        <v>6</v>
      </c>
      <c r="J78" s="296">
        <f t="shared" si="13"/>
        <v>0.42857142857142855</v>
      </c>
      <c r="K78" s="297">
        <f>_xlfn.XLOOKUP(C78,SEMANA2[COD],SEMANA2[Columna32],"")</f>
        <v>14</v>
      </c>
      <c r="L78" s="297">
        <f>_xlfn.XLOOKUP(C78,SEMANA2[COD],SEMANA2[Columna34],"")</f>
        <v>9</v>
      </c>
      <c r="M78" s="298">
        <f t="shared" si="14"/>
        <v>0.6428571428571429</v>
      </c>
      <c r="N78" s="299">
        <f>_xlfn.XLOOKUP(C78,SEMANA2[COD],SEMANA2[Columna36],"")</f>
        <v>3</v>
      </c>
      <c r="O78" s="299">
        <f>_xlfn.XLOOKUP(C78,SEMANA2[COD],SEMANA2[Columna37],"")</f>
        <v>0</v>
      </c>
      <c r="P78" s="300">
        <f t="shared" si="15"/>
        <v>0</v>
      </c>
      <c r="Q78" s="301">
        <f>_xlfn.XLOOKUP(C78,SEMANA2[COD],SEMANA2[Columna1],"")</f>
        <v>28.5</v>
      </c>
      <c r="R78" s="3"/>
      <c r="U78" s="388" t="str">
        <v>COD 19</v>
      </c>
      <c r="V78" s="388" t="str">
        <f t="shared" si="16"/>
        <v>COD 19</v>
      </c>
    </row>
    <row r="79" spans="1:22" s="388" customFormat="1" ht="23.1" customHeight="1" outlineLevel="1" x14ac:dyDescent="0.35">
      <c r="A79" s="290"/>
      <c r="B79" s="291">
        <f t="shared" si="17"/>
        <v>20</v>
      </c>
      <c r="C79" s="543" t="str">
        <v>COD 20</v>
      </c>
      <c r="D79" s="464" t="str">
        <f>_xlfn.XLOOKUP(C79,CODIGOS_Y_PAGOS[CODIGO],CODIGOS_Y_PAGOS[NOMBRE PARTICIPANTE],"")</f>
        <v>CHINO</v>
      </c>
      <c r="E79" s="293">
        <f>_xlfn.XLOOKUP($C79,SEMANA2[COD],SEMANA2[Columna14],"")</f>
        <v>14</v>
      </c>
      <c r="F79" s="293">
        <f>_xlfn.XLOOKUP(C79,SEMANA2[COD],SEMANA2[Columna19],"")</f>
        <v>5</v>
      </c>
      <c r="G79" s="294">
        <f t="shared" si="12"/>
        <v>0.35714285714285715</v>
      </c>
      <c r="H79" s="295">
        <f>_xlfn.XLOOKUP(C79,SEMANA2[COD],SEMANA2[Columna32],"")</f>
        <v>14</v>
      </c>
      <c r="I79" s="295">
        <f>_xlfn.XLOOKUP(C79,SEMANA2[COD],SEMANA2[Columna30],"")</f>
        <v>7</v>
      </c>
      <c r="J79" s="296">
        <f t="shared" si="13"/>
        <v>0.5</v>
      </c>
      <c r="K79" s="297">
        <f>_xlfn.XLOOKUP(C79,SEMANA2[COD],SEMANA2[Columna32],"")</f>
        <v>14</v>
      </c>
      <c r="L79" s="297">
        <f>_xlfn.XLOOKUP(C79,SEMANA2[COD],SEMANA2[Columna34],"")</f>
        <v>9</v>
      </c>
      <c r="M79" s="298">
        <f t="shared" si="14"/>
        <v>0.6428571428571429</v>
      </c>
      <c r="N79" s="299">
        <f>_xlfn.XLOOKUP(C79,SEMANA2[COD],SEMANA2[Columna36],"")</f>
        <v>3</v>
      </c>
      <c r="O79" s="299">
        <f>_xlfn.XLOOKUP(C79,SEMANA2[COD],SEMANA2[Columna37],"")</f>
        <v>1</v>
      </c>
      <c r="P79" s="300">
        <f t="shared" si="15"/>
        <v>0.33333333333333331</v>
      </c>
      <c r="Q79" s="301">
        <f>_xlfn.XLOOKUP(C79,SEMANA2[COD],SEMANA2[Columna1],"")</f>
        <v>28.5</v>
      </c>
      <c r="R79" s="3"/>
      <c r="U79" s="388" t="str">
        <v>COD 20</v>
      </c>
      <c r="V79" s="388" t="str">
        <f t="shared" si="16"/>
        <v>COD 20</v>
      </c>
    </row>
    <row r="80" spans="1:22" s="388" customFormat="1" ht="23.1" customHeight="1" outlineLevel="1" x14ac:dyDescent="0.35">
      <c r="A80" s="290"/>
      <c r="B80" s="302">
        <f t="shared" si="17"/>
        <v>21</v>
      </c>
      <c r="C80" s="543" t="str">
        <v>COD 21</v>
      </c>
      <c r="D80" s="464" t="str">
        <f>_xlfn.XLOOKUP(C80,CODIGOS_Y_PAGOS[CODIGO],CODIGOS_Y_PAGOS[NOMBRE PARTICIPANTE],"")</f>
        <v>WILMER</v>
      </c>
      <c r="E80" s="293">
        <f>_xlfn.XLOOKUP($C80,SEMANA2[COD],SEMANA2[Columna14],"")</f>
        <v>14</v>
      </c>
      <c r="F80" s="293">
        <f>_xlfn.XLOOKUP(C80,SEMANA2[COD],SEMANA2[Columna19],"")</f>
        <v>3</v>
      </c>
      <c r="G80" s="294">
        <f t="shared" si="12"/>
        <v>0.21428571428571427</v>
      </c>
      <c r="H80" s="295">
        <f>_xlfn.XLOOKUP(C80,SEMANA2[COD],SEMANA2[Columna32],"")</f>
        <v>14</v>
      </c>
      <c r="I80" s="295">
        <f>_xlfn.XLOOKUP(C80,SEMANA2[COD],SEMANA2[Columna30],"")</f>
        <v>6</v>
      </c>
      <c r="J80" s="296">
        <f t="shared" si="13"/>
        <v>0.42857142857142855</v>
      </c>
      <c r="K80" s="297">
        <f>_xlfn.XLOOKUP(C80,SEMANA2[COD],SEMANA2[Columna32],"")</f>
        <v>14</v>
      </c>
      <c r="L80" s="297">
        <f>_xlfn.XLOOKUP(C80,SEMANA2[COD],SEMANA2[Columna34],"")</f>
        <v>9</v>
      </c>
      <c r="M80" s="298">
        <f t="shared" si="14"/>
        <v>0.6428571428571429</v>
      </c>
      <c r="N80" s="299">
        <f>_xlfn.XLOOKUP(C80,SEMANA2[COD],SEMANA2[Columna36],"")</f>
        <v>3</v>
      </c>
      <c r="O80" s="299">
        <f>_xlfn.XLOOKUP(C80,SEMANA2[COD],SEMANA2[Columna37],"")</f>
        <v>2</v>
      </c>
      <c r="P80" s="300">
        <f t="shared" si="15"/>
        <v>0.66666666666666663</v>
      </c>
      <c r="Q80" s="301">
        <f>_xlfn.XLOOKUP(C80,SEMANA2[COD],SEMANA2[Columna1],"")</f>
        <v>28.5</v>
      </c>
      <c r="R80" s="3"/>
      <c r="U80" s="388" t="str">
        <v>COD 21</v>
      </c>
      <c r="V80" s="388" t="str">
        <f t="shared" si="16"/>
        <v>COD 21</v>
      </c>
    </row>
    <row r="81" spans="1:22" s="388" customFormat="1" ht="23.1" customHeight="1" outlineLevel="1" x14ac:dyDescent="0.35">
      <c r="A81" s="290"/>
      <c r="B81" s="303">
        <f t="shared" si="17"/>
        <v>22</v>
      </c>
      <c r="C81" s="543" t="str">
        <v>COD 22</v>
      </c>
      <c r="D81" s="464" t="str">
        <f>_xlfn.XLOOKUP(C81,CODIGOS_Y_PAGOS[CODIGO],CODIGOS_Y_PAGOS[NOMBRE PARTICIPANTE],"")</f>
        <v>ROGER PIÑA</v>
      </c>
      <c r="E81" s="293">
        <f>_xlfn.XLOOKUP($C81,SEMANA2[COD],SEMANA2[Columna14],"")</f>
        <v>14</v>
      </c>
      <c r="F81" s="293">
        <f>_xlfn.XLOOKUP(C81,SEMANA2[COD],SEMANA2[Columna19],"")</f>
        <v>4</v>
      </c>
      <c r="G81" s="294">
        <f t="shared" si="12"/>
        <v>0.2857142857142857</v>
      </c>
      <c r="H81" s="295">
        <f>_xlfn.XLOOKUP(C81,SEMANA2[COD],SEMANA2[Columna32],"")</f>
        <v>14</v>
      </c>
      <c r="I81" s="295">
        <f>_xlfn.XLOOKUP(C81,SEMANA2[COD],SEMANA2[Columna30],"")</f>
        <v>6</v>
      </c>
      <c r="J81" s="296">
        <f t="shared" si="13"/>
        <v>0.42857142857142855</v>
      </c>
      <c r="K81" s="297">
        <f>_xlfn.XLOOKUP(C81,SEMANA2[COD],SEMANA2[Columna32],"")</f>
        <v>14</v>
      </c>
      <c r="L81" s="297">
        <f>_xlfn.XLOOKUP(C81,SEMANA2[COD],SEMANA2[Columna34],"")</f>
        <v>7</v>
      </c>
      <c r="M81" s="298">
        <f t="shared" si="14"/>
        <v>0.5</v>
      </c>
      <c r="N81" s="299">
        <f>_xlfn.XLOOKUP(C81,SEMANA2[COD],SEMANA2[Columna36],"")</f>
        <v>2</v>
      </c>
      <c r="O81" s="299">
        <f>_xlfn.XLOOKUP(C81,SEMANA2[COD],SEMANA2[Columna37],"")</f>
        <v>1</v>
      </c>
      <c r="P81" s="300">
        <f t="shared" si="15"/>
        <v>0.5</v>
      </c>
      <c r="Q81" s="301">
        <f>_xlfn.XLOOKUP(C81,SEMANA2[COD],SEMANA2[Columna1],"")</f>
        <v>27.5</v>
      </c>
      <c r="R81" s="3"/>
      <c r="U81" s="388" t="str">
        <v>COD 22</v>
      </c>
      <c r="V81" s="388" t="str">
        <f t="shared" si="16"/>
        <v>COD 22</v>
      </c>
    </row>
    <row r="82" spans="1:22" s="388" customFormat="1" ht="23.1" customHeight="1" outlineLevel="1" x14ac:dyDescent="0.35">
      <c r="A82" s="290"/>
      <c r="B82" s="302">
        <f t="shared" si="17"/>
        <v>23</v>
      </c>
      <c r="C82" s="543" t="str">
        <v>COD 23</v>
      </c>
      <c r="D82" s="464" t="str">
        <f>_xlfn.XLOOKUP(C82,CODIGOS_Y_PAGOS[CODIGO],CODIGOS_Y_PAGOS[NOMBRE PARTICIPANTE],"")</f>
        <v>GILBERT</v>
      </c>
      <c r="E82" s="293">
        <f>_xlfn.XLOOKUP($C82,SEMANA2[COD],SEMANA2[Columna14],"")</f>
        <v>14</v>
      </c>
      <c r="F82" s="293">
        <f>_xlfn.XLOOKUP(C82,SEMANA2[COD],SEMANA2[Columna19],"")</f>
        <v>3</v>
      </c>
      <c r="G82" s="294">
        <f t="shared" si="12"/>
        <v>0.21428571428571427</v>
      </c>
      <c r="H82" s="295">
        <f>_xlfn.XLOOKUP(C82,SEMANA2[COD],SEMANA2[Columna32],"")</f>
        <v>14</v>
      </c>
      <c r="I82" s="295">
        <f>_xlfn.XLOOKUP(C82,SEMANA2[COD],SEMANA2[Columna30],"")</f>
        <v>4</v>
      </c>
      <c r="J82" s="296">
        <f t="shared" si="13"/>
        <v>0.2857142857142857</v>
      </c>
      <c r="K82" s="297">
        <f>_xlfn.XLOOKUP(C82,SEMANA2[COD],SEMANA2[Columna32],"")</f>
        <v>14</v>
      </c>
      <c r="L82" s="297">
        <f>_xlfn.XLOOKUP(C82,SEMANA2[COD],SEMANA2[Columna34],"")</f>
        <v>8</v>
      </c>
      <c r="M82" s="298">
        <f t="shared" si="14"/>
        <v>0.5714285714285714</v>
      </c>
      <c r="N82" s="299">
        <f>_xlfn.XLOOKUP(C82,SEMANA2[COD],SEMANA2[Columna36],"")</f>
        <v>3</v>
      </c>
      <c r="O82" s="299">
        <f>_xlfn.XLOOKUP(C82,SEMANA2[COD],SEMANA2[Columna37],"")</f>
        <v>2</v>
      </c>
      <c r="P82" s="300">
        <f t="shared" si="15"/>
        <v>0.66666666666666663</v>
      </c>
      <c r="Q82" s="301">
        <f>_xlfn.XLOOKUP(C82,SEMANA2[COD],SEMANA2[Columna1],"")</f>
        <v>27.5</v>
      </c>
      <c r="R82" s="3"/>
      <c r="U82" s="388" t="str">
        <v>COD 23</v>
      </c>
      <c r="V82" s="388" t="str">
        <f t="shared" si="16"/>
        <v>COD 23</v>
      </c>
    </row>
    <row r="83" spans="1:22" s="388" customFormat="1" ht="23.1" customHeight="1" outlineLevel="1" x14ac:dyDescent="0.35">
      <c r="A83" s="290"/>
      <c r="B83" s="302">
        <f t="shared" si="17"/>
        <v>24</v>
      </c>
      <c r="C83" s="543" t="str">
        <v>COD 24</v>
      </c>
      <c r="D83" s="464">
        <f>_xlfn.XLOOKUP(C83,CODIGOS_Y_PAGOS[CODIGO],CODIGOS_Y_PAGOS[NOMBRE PARTICIPANTE],"")</f>
        <v>0</v>
      </c>
      <c r="E83" s="293">
        <f>_xlfn.XLOOKUP($C83,SEMANA2[COD],SEMANA2[Columna14],"")</f>
        <v>14</v>
      </c>
      <c r="F83" s="293">
        <f>_xlfn.XLOOKUP(C83,SEMANA2[COD],SEMANA2[Columna19],"")</f>
        <v>4</v>
      </c>
      <c r="G83" s="294">
        <f t="shared" si="12"/>
        <v>0.2857142857142857</v>
      </c>
      <c r="H83" s="295">
        <f>_xlfn.XLOOKUP(C83,SEMANA2[COD],SEMANA2[Columna32],"")</f>
        <v>14</v>
      </c>
      <c r="I83" s="295">
        <f>_xlfn.XLOOKUP(C83,SEMANA2[COD],SEMANA2[Columna30],"")</f>
        <v>6</v>
      </c>
      <c r="J83" s="296">
        <f t="shared" si="13"/>
        <v>0.42857142857142855</v>
      </c>
      <c r="K83" s="297">
        <f>_xlfn.XLOOKUP(C83,SEMANA2[COD],SEMANA2[Columna32],"")</f>
        <v>14</v>
      </c>
      <c r="L83" s="297">
        <f>_xlfn.XLOOKUP(C83,SEMANA2[COD],SEMANA2[Columna34],"")</f>
        <v>8</v>
      </c>
      <c r="M83" s="298">
        <f t="shared" si="14"/>
        <v>0.5714285714285714</v>
      </c>
      <c r="N83" s="299">
        <f>_xlfn.XLOOKUP(C83,SEMANA2[COD],SEMANA2[Columna36],"")</f>
        <v>3</v>
      </c>
      <c r="O83" s="299">
        <f>_xlfn.XLOOKUP(C83,SEMANA2[COD],SEMANA2[Columna37],"")</f>
        <v>2</v>
      </c>
      <c r="P83" s="300">
        <f t="shared" si="15"/>
        <v>0.66666666666666663</v>
      </c>
      <c r="Q83" s="301">
        <f>_xlfn.XLOOKUP(C83,SEMANA2[COD],SEMANA2[Columna1],"")</f>
        <v>27.5</v>
      </c>
      <c r="R83" s="3"/>
      <c r="U83" s="388" t="str">
        <v>COD 24</v>
      </c>
      <c r="V83" s="388" t="str">
        <f t="shared" si="16"/>
        <v>COD 24</v>
      </c>
    </row>
    <row r="84" spans="1:22" s="388" customFormat="1" ht="23.1" customHeight="1" outlineLevel="1" x14ac:dyDescent="0.35">
      <c r="A84" s="290"/>
      <c r="B84" s="302">
        <f t="shared" si="17"/>
        <v>25</v>
      </c>
      <c r="C84" s="543" t="str">
        <v>COD 25</v>
      </c>
      <c r="D84" s="464" t="str">
        <f>_xlfn.XLOOKUP(C84,CODIGOS_Y_PAGOS[CODIGO],CODIGOS_Y_PAGOS[NOMBRE PARTICIPANTE],"")</f>
        <v>GLEY GARCIA</v>
      </c>
      <c r="E84" s="293">
        <f>_xlfn.XLOOKUP($C84,SEMANA2[COD],SEMANA2[Columna14],"")</f>
        <v>14</v>
      </c>
      <c r="F84" s="293">
        <f>_xlfn.XLOOKUP(C84,SEMANA2[COD],SEMANA2[Columna19],"")</f>
        <v>3</v>
      </c>
      <c r="G84" s="294">
        <f t="shared" si="12"/>
        <v>0.21428571428571427</v>
      </c>
      <c r="H84" s="295">
        <f>_xlfn.XLOOKUP(C84,SEMANA2[COD],SEMANA2[Columna32],"")</f>
        <v>14</v>
      </c>
      <c r="I84" s="295">
        <f>_xlfn.XLOOKUP(C84,SEMANA2[COD],SEMANA2[Columna30],"")</f>
        <v>8</v>
      </c>
      <c r="J84" s="296">
        <f t="shared" si="13"/>
        <v>0.5714285714285714</v>
      </c>
      <c r="K84" s="297">
        <f>_xlfn.XLOOKUP(C84,SEMANA2[COD],SEMANA2[Columna32],"")</f>
        <v>14</v>
      </c>
      <c r="L84" s="297">
        <f>_xlfn.XLOOKUP(C84,SEMANA2[COD],SEMANA2[Columna34],"")</f>
        <v>9</v>
      </c>
      <c r="M84" s="298">
        <f t="shared" si="14"/>
        <v>0.6428571428571429</v>
      </c>
      <c r="N84" s="299">
        <f>_xlfn.XLOOKUP(C84,SEMANA2[COD],SEMANA2[Columna36],"")</f>
        <v>3</v>
      </c>
      <c r="O84" s="299">
        <f>_xlfn.XLOOKUP(C84,SEMANA2[COD],SEMANA2[Columna37],"")</f>
        <v>1</v>
      </c>
      <c r="P84" s="300">
        <f t="shared" si="15"/>
        <v>0.33333333333333331</v>
      </c>
      <c r="Q84" s="301">
        <f>_xlfn.XLOOKUP(C84,SEMANA2[COD],SEMANA2[Columna1],"")</f>
        <v>26.5</v>
      </c>
      <c r="R84" s="3"/>
      <c r="U84" s="388" t="str">
        <v>COD 25</v>
      </c>
      <c r="V84" s="388" t="str">
        <f t="shared" si="16"/>
        <v>COD 25</v>
      </c>
    </row>
    <row r="85" spans="1:22" s="388" customFormat="1" ht="23.1" customHeight="1" outlineLevel="1" x14ac:dyDescent="0.35">
      <c r="A85" s="290"/>
      <c r="B85" s="302">
        <f t="shared" si="17"/>
        <v>26</v>
      </c>
      <c r="C85" s="543" t="str">
        <v>COD 26</v>
      </c>
      <c r="D85" s="464" t="str">
        <f>_xlfn.XLOOKUP(C85,CODIGOS_Y_PAGOS[CODIGO],CODIGOS_Y_PAGOS[NOMBRE PARTICIPANTE],"")</f>
        <v>PEDRO TABEROA</v>
      </c>
      <c r="E85" s="293">
        <f>_xlfn.XLOOKUP($C85,SEMANA2[COD],SEMANA2[Columna14],"")</f>
        <v>14</v>
      </c>
      <c r="F85" s="293">
        <f>_xlfn.XLOOKUP(C85,SEMANA2[COD],SEMANA2[Columna19],"")</f>
        <v>4</v>
      </c>
      <c r="G85" s="294">
        <f t="shared" si="12"/>
        <v>0.2857142857142857</v>
      </c>
      <c r="H85" s="295">
        <f>_xlfn.XLOOKUP(C85,SEMANA2[COD],SEMANA2[Columna32],"")</f>
        <v>14</v>
      </c>
      <c r="I85" s="295">
        <f>_xlfn.XLOOKUP(C85,SEMANA2[COD],SEMANA2[Columna30],"")</f>
        <v>6</v>
      </c>
      <c r="J85" s="296">
        <f t="shared" si="13"/>
        <v>0.42857142857142855</v>
      </c>
      <c r="K85" s="297">
        <f>_xlfn.XLOOKUP(C85,SEMANA2[COD],SEMANA2[Columna32],"")</f>
        <v>14</v>
      </c>
      <c r="L85" s="297">
        <f>_xlfn.XLOOKUP(C85,SEMANA2[COD],SEMANA2[Columna34],"")</f>
        <v>9</v>
      </c>
      <c r="M85" s="298">
        <f t="shared" si="14"/>
        <v>0.6428571428571429</v>
      </c>
      <c r="N85" s="299">
        <f>_xlfn.XLOOKUP(C85,SEMANA2[COD],SEMANA2[Columna36],"")</f>
        <v>3</v>
      </c>
      <c r="O85" s="299">
        <f>_xlfn.XLOOKUP(C85,SEMANA2[COD],SEMANA2[Columna37],"")</f>
        <v>2</v>
      </c>
      <c r="P85" s="300">
        <f t="shared" si="15"/>
        <v>0.66666666666666663</v>
      </c>
      <c r="Q85" s="301">
        <f>_xlfn.XLOOKUP(C85,SEMANA2[COD],SEMANA2[Columna1],"")</f>
        <v>26.5</v>
      </c>
      <c r="R85" s="3"/>
      <c r="U85" s="388" t="str">
        <v>COD 26</v>
      </c>
      <c r="V85" s="388" t="str">
        <f t="shared" si="16"/>
        <v>COD 26</v>
      </c>
    </row>
    <row r="86" spans="1:22" s="388" customFormat="1" ht="23.1" customHeight="1" outlineLevel="1" x14ac:dyDescent="0.35">
      <c r="A86" s="290"/>
      <c r="B86" s="302">
        <f t="shared" si="17"/>
        <v>27</v>
      </c>
      <c r="C86" s="543" t="str">
        <v>COD 27</v>
      </c>
      <c r="D86" s="464" t="str">
        <f>_xlfn.XLOOKUP(C86,CODIGOS_Y_PAGOS[CODIGO],CODIGOS_Y_PAGOS[NOMBRE PARTICIPANTE],"")</f>
        <v>ANDERSON HERNANDEZ</v>
      </c>
      <c r="E86" s="293">
        <f>_xlfn.XLOOKUP($C86,SEMANA2[COD],SEMANA2[Columna14],"")</f>
        <v>14</v>
      </c>
      <c r="F86" s="293">
        <f>_xlfn.XLOOKUP(C86,SEMANA2[COD],SEMANA2[Columna19],"")</f>
        <v>5</v>
      </c>
      <c r="G86" s="294">
        <f t="shared" si="12"/>
        <v>0.35714285714285715</v>
      </c>
      <c r="H86" s="295">
        <f>_xlfn.XLOOKUP(C86,SEMANA2[COD],SEMANA2[Columna32],"")</f>
        <v>14</v>
      </c>
      <c r="I86" s="295">
        <f>_xlfn.XLOOKUP(C86,SEMANA2[COD],SEMANA2[Columna30],"")</f>
        <v>6</v>
      </c>
      <c r="J86" s="296">
        <f t="shared" si="13"/>
        <v>0.42857142857142855</v>
      </c>
      <c r="K86" s="297">
        <f>_xlfn.XLOOKUP(C86,SEMANA2[COD],SEMANA2[Columna32],"")</f>
        <v>14</v>
      </c>
      <c r="L86" s="297">
        <f>_xlfn.XLOOKUP(C86,SEMANA2[COD],SEMANA2[Columna34],"")</f>
        <v>6</v>
      </c>
      <c r="M86" s="298">
        <f t="shared" si="14"/>
        <v>0.42857142857142855</v>
      </c>
      <c r="N86" s="299">
        <f>_xlfn.XLOOKUP(C86,SEMANA2[COD],SEMANA2[Columna36],"")</f>
        <v>3</v>
      </c>
      <c r="O86" s="299">
        <f>_xlfn.XLOOKUP(C86,SEMANA2[COD],SEMANA2[Columna37],"")</f>
        <v>2</v>
      </c>
      <c r="P86" s="300">
        <f t="shared" si="15"/>
        <v>0.66666666666666663</v>
      </c>
      <c r="Q86" s="301">
        <f>_xlfn.XLOOKUP(C86,SEMANA2[COD],SEMANA2[Columna1],"")</f>
        <v>26.5</v>
      </c>
      <c r="R86" s="3"/>
      <c r="U86" s="388" t="str">
        <v>COD 27</v>
      </c>
      <c r="V86" s="388" t="str">
        <f t="shared" si="16"/>
        <v>COD 27</v>
      </c>
    </row>
    <row r="87" spans="1:22" s="388" customFormat="1" ht="23.1" customHeight="1" outlineLevel="1" x14ac:dyDescent="0.35">
      <c r="A87" s="290"/>
      <c r="B87" s="302">
        <f t="shared" si="17"/>
        <v>28</v>
      </c>
      <c r="C87" s="543" t="str">
        <v>COD 28</v>
      </c>
      <c r="D87" s="464" t="str">
        <f>_xlfn.XLOOKUP(C87,CODIGOS_Y_PAGOS[CODIGO],CODIGOS_Y_PAGOS[NOMBRE PARTICIPANTE],"")</f>
        <v>FRANKLIN DELGADO</v>
      </c>
      <c r="E87" s="293">
        <f>_xlfn.XLOOKUP($C87,SEMANA2[COD],SEMANA2[Columna14],"")</f>
        <v>14</v>
      </c>
      <c r="F87" s="293">
        <f>_xlfn.XLOOKUP(C87,SEMANA2[COD],SEMANA2[Columna19],"")</f>
        <v>3</v>
      </c>
      <c r="G87" s="294">
        <f t="shared" si="12"/>
        <v>0.21428571428571427</v>
      </c>
      <c r="H87" s="295">
        <f>_xlfn.XLOOKUP(C87,SEMANA2[COD],SEMANA2[Columna32],"")</f>
        <v>14</v>
      </c>
      <c r="I87" s="295">
        <f>_xlfn.XLOOKUP(C87,SEMANA2[COD],SEMANA2[Columna30],"")</f>
        <v>6</v>
      </c>
      <c r="J87" s="296">
        <f t="shared" si="13"/>
        <v>0.42857142857142855</v>
      </c>
      <c r="K87" s="297">
        <f>_xlfn.XLOOKUP(C87,SEMANA2[COD],SEMANA2[Columna32],"")</f>
        <v>14</v>
      </c>
      <c r="L87" s="297">
        <f>_xlfn.XLOOKUP(C87,SEMANA2[COD],SEMANA2[Columna34],"")</f>
        <v>9</v>
      </c>
      <c r="M87" s="298">
        <f t="shared" si="14"/>
        <v>0.6428571428571429</v>
      </c>
      <c r="N87" s="299">
        <f>_xlfn.XLOOKUP(C87,SEMANA2[COD],SEMANA2[Columna36],"")</f>
        <v>3</v>
      </c>
      <c r="O87" s="299">
        <f>_xlfn.XLOOKUP(C87,SEMANA2[COD],SEMANA2[Columna37],"")</f>
        <v>1</v>
      </c>
      <c r="P87" s="300">
        <f t="shared" si="15"/>
        <v>0.33333333333333331</v>
      </c>
      <c r="Q87" s="301">
        <f>_xlfn.XLOOKUP(C87,SEMANA2[COD],SEMANA2[Columna1],"")</f>
        <v>25.5</v>
      </c>
      <c r="R87" s="3"/>
      <c r="U87" s="388" t="str">
        <v>COD 28</v>
      </c>
      <c r="V87" s="388" t="str">
        <f t="shared" si="16"/>
        <v>COD 28</v>
      </c>
    </row>
    <row r="88" spans="1:22" s="388" customFormat="1" ht="23.1" customHeight="1" outlineLevel="1" x14ac:dyDescent="0.35">
      <c r="A88" s="290"/>
      <c r="B88" s="302">
        <f t="shared" si="17"/>
        <v>29</v>
      </c>
      <c r="C88" s="543" t="str">
        <v>COD 29</v>
      </c>
      <c r="D88" s="464" t="str">
        <f>_xlfn.XLOOKUP(C88,CODIGOS_Y_PAGOS[CODIGO],CODIGOS_Y_PAGOS[NOMBRE PARTICIPANTE],"")</f>
        <v>JEAN MARCO</v>
      </c>
      <c r="E88" s="293">
        <f>_xlfn.XLOOKUP($C88,SEMANA2[COD],SEMANA2[Columna14],"")</f>
        <v>14</v>
      </c>
      <c r="F88" s="293">
        <f>_xlfn.XLOOKUP(C88,SEMANA2[COD],SEMANA2[Columna19],"")</f>
        <v>3</v>
      </c>
      <c r="G88" s="294">
        <f t="shared" si="12"/>
        <v>0.21428571428571427</v>
      </c>
      <c r="H88" s="295">
        <f>_xlfn.XLOOKUP(C88,SEMANA2[COD],SEMANA2[Columna32],"")</f>
        <v>14</v>
      </c>
      <c r="I88" s="295">
        <f>_xlfn.XLOOKUP(C88,SEMANA2[COD],SEMANA2[Columna30],"")</f>
        <v>8</v>
      </c>
      <c r="J88" s="296">
        <f t="shared" si="13"/>
        <v>0.5714285714285714</v>
      </c>
      <c r="K88" s="297">
        <f>_xlfn.XLOOKUP(C88,SEMANA2[COD],SEMANA2[Columna32],"")</f>
        <v>14</v>
      </c>
      <c r="L88" s="297">
        <f>_xlfn.XLOOKUP(C88,SEMANA2[COD],SEMANA2[Columna34],"")</f>
        <v>9</v>
      </c>
      <c r="M88" s="298">
        <f t="shared" si="14"/>
        <v>0.6428571428571429</v>
      </c>
      <c r="N88" s="299">
        <f>_xlfn.XLOOKUP(C88,SEMANA2[COD],SEMANA2[Columna36],"")</f>
        <v>3</v>
      </c>
      <c r="O88" s="299">
        <f>_xlfn.XLOOKUP(C88,SEMANA2[COD],SEMANA2[Columna37],"")</f>
        <v>2</v>
      </c>
      <c r="P88" s="300">
        <f t="shared" si="15"/>
        <v>0.66666666666666663</v>
      </c>
      <c r="Q88" s="301">
        <f>_xlfn.XLOOKUP(C88,SEMANA2[COD],SEMANA2[Columna1],"")</f>
        <v>25.5</v>
      </c>
      <c r="R88" s="3"/>
      <c r="U88" s="388" t="str">
        <v>COD 29</v>
      </c>
      <c r="V88" s="388" t="str">
        <f t="shared" si="16"/>
        <v>COD 29</v>
      </c>
    </row>
    <row r="89" spans="1:22" s="388" customFormat="1" ht="23.1" customHeight="1" outlineLevel="1" x14ac:dyDescent="0.35">
      <c r="A89" s="290"/>
      <c r="B89" s="302">
        <f t="shared" si="17"/>
        <v>30</v>
      </c>
      <c r="C89" s="543" t="str">
        <v>COD 30</v>
      </c>
      <c r="D89" s="464" t="str">
        <f>_xlfn.XLOOKUP(C89,CODIGOS_Y_PAGOS[CODIGO],CODIGOS_Y_PAGOS[NOMBRE PARTICIPANTE],"")</f>
        <v>CARIACO</v>
      </c>
      <c r="E89" s="293">
        <f>_xlfn.XLOOKUP($C89,SEMANA2[COD],SEMANA2[Columna14],"")</f>
        <v>14</v>
      </c>
      <c r="F89" s="293">
        <f>_xlfn.XLOOKUP(C89,SEMANA2[COD],SEMANA2[Columna19],"")</f>
        <v>2</v>
      </c>
      <c r="G89" s="294">
        <f t="shared" si="12"/>
        <v>0.14285714285714285</v>
      </c>
      <c r="H89" s="295">
        <f>_xlfn.XLOOKUP(C89,SEMANA2[COD],SEMANA2[Columna32],"")</f>
        <v>14</v>
      </c>
      <c r="I89" s="295">
        <f>_xlfn.XLOOKUP(C89,SEMANA2[COD],SEMANA2[Columna30],"")</f>
        <v>6</v>
      </c>
      <c r="J89" s="296">
        <f t="shared" si="13"/>
        <v>0.42857142857142855</v>
      </c>
      <c r="K89" s="297">
        <f>_xlfn.XLOOKUP(C89,SEMANA2[COD],SEMANA2[Columna32],"")</f>
        <v>14</v>
      </c>
      <c r="L89" s="297">
        <f>_xlfn.XLOOKUP(C89,SEMANA2[COD],SEMANA2[Columna34],"")</f>
        <v>10</v>
      </c>
      <c r="M89" s="298">
        <f t="shared" si="14"/>
        <v>0.7142857142857143</v>
      </c>
      <c r="N89" s="299">
        <f>_xlfn.XLOOKUP(C89,SEMANA2[COD],SEMANA2[Columna36],"")</f>
        <v>3</v>
      </c>
      <c r="O89" s="299">
        <f>_xlfn.XLOOKUP(C89,SEMANA2[COD],SEMANA2[Columna37],"")</f>
        <v>1</v>
      </c>
      <c r="P89" s="300">
        <f t="shared" si="15"/>
        <v>0.33333333333333331</v>
      </c>
      <c r="Q89" s="301">
        <f>_xlfn.XLOOKUP(C89,SEMANA2[COD],SEMANA2[Columna1],"")</f>
        <v>24.5</v>
      </c>
      <c r="R89" s="3"/>
      <c r="U89" s="388" t="str">
        <v>COD 30</v>
      </c>
      <c r="V89" s="388" t="str">
        <f t="shared" si="16"/>
        <v>COD 30</v>
      </c>
    </row>
    <row r="90" spans="1:22" s="388" customFormat="1" ht="23.1" customHeight="1" outlineLevel="1" x14ac:dyDescent="0.35">
      <c r="A90" s="290"/>
      <c r="B90" s="302">
        <f t="shared" si="17"/>
        <v>31</v>
      </c>
      <c r="C90" s="543" t="str">
        <v>COD 31</v>
      </c>
      <c r="D90" s="464" t="str">
        <f>_xlfn.XLOOKUP(C90,CODIGOS_Y_PAGOS[CODIGO],CODIGOS_Y_PAGOS[NOMBRE PARTICIPANTE],"")</f>
        <v>ALBIN</v>
      </c>
      <c r="E90" s="293">
        <f>_xlfn.XLOOKUP($C90,SEMANA2[COD],SEMANA2[Columna14],"")</f>
        <v>14</v>
      </c>
      <c r="F90" s="293">
        <f>_xlfn.XLOOKUP(C90,SEMANA2[COD],SEMANA2[Columna19],"")</f>
        <v>4</v>
      </c>
      <c r="G90" s="294">
        <f t="shared" si="12"/>
        <v>0.2857142857142857</v>
      </c>
      <c r="H90" s="295">
        <f>_xlfn.XLOOKUP(C90,SEMANA2[COD],SEMANA2[Columna32],"")</f>
        <v>14</v>
      </c>
      <c r="I90" s="295">
        <f>_xlfn.XLOOKUP(C90,SEMANA2[COD],SEMANA2[Columna30],"")</f>
        <v>6</v>
      </c>
      <c r="J90" s="296">
        <f t="shared" si="13"/>
        <v>0.42857142857142855</v>
      </c>
      <c r="K90" s="297">
        <f>_xlfn.XLOOKUP(C90,SEMANA2[COD],SEMANA2[Columna32],"")</f>
        <v>14</v>
      </c>
      <c r="L90" s="297">
        <f>_xlfn.XLOOKUP(C90,SEMANA2[COD],SEMANA2[Columna34],"")</f>
        <v>8</v>
      </c>
      <c r="M90" s="298">
        <f t="shared" si="14"/>
        <v>0.5714285714285714</v>
      </c>
      <c r="N90" s="299">
        <f>_xlfn.XLOOKUP(C90,SEMANA2[COD],SEMANA2[Columna36],"")</f>
        <v>3</v>
      </c>
      <c r="O90" s="299">
        <f>_xlfn.XLOOKUP(C90,SEMANA2[COD],SEMANA2[Columna37],"")</f>
        <v>1</v>
      </c>
      <c r="P90" s="300">
        <f t="shared" si="15"/>
        <v>0.33333333333333331</v>
      </c>
      <c r="Q90" s="301">
        <f>_xlfn.XLOOKUP(C90,SEMANA2[COD],SEMANA2[Columna1],"")</f>
        <v>24.5</v>
      </c>
      <c r="R90" s="3"/>
      <c r="U90" s="388" t="str">
        <v>COD 31</v>
      </c>
      <c r="V90" s="388" t="str">
        <f t="shared" si="16"/>
        <v>COD 31</v>
      </c>
    </row>
    <row r="91" spans="1:22" s="388" customFormat="1" ht="23.1" customHeight="1" outlineLevel="1" x14ac:dyDescent="0.35">
      <c r="A91" s="290"/>
      <c r="B91" s="302">
        <f t="shared" si="17"/>
        <v>32</v>
      </c>
      <c r="C91" s="543" t="str">
        <v>COD 32</v>
      </c>
      <c r="D91" s="464" t="str">
        <f>_xlfn.XLOOKUP(C91,CODIGOS_Y_PAGOS[CODIGO],CODIGOS_Y_PAGOS[NOMBRE PARTICIPANTE],"")</f>
        <v>TONY CURTIS</v>
      </c>
      <c r="E91" s="293">
        <f>_xlfn.XLOOKUP($C91,SEMANA2[COD],SEMANA2[Columna14],"")</f>
        <v>14</v>
      </c>
      <c r="F91" s="293">
        <f>_xlfn.XLOOKUP(C91,SEMANA2[COD],SEMANA2[Columna19],"")</f>
        <v>4</v>
      </c>
      <c r="G91" s="294">
        <f t="shared" si="12"/>
        <v>0.2857142857142857</v>
      </c>
      <c r="H91" s="295">
        <f>_xlfn.XLOOKUP(C91,SEMANA2[COD],SEMANA2[Columna32],"")</f>
        <v>14</v>
      </c>
      <c r="I91" s="295">
        <f>_xlfn.XLOOKUP(C91,SEMANA2[COD],SEMANA2[Columna30],"")</f>
        <v>6</v>
      </c>
      <c r="J91" s="296">
        <f t="shared" si="13"/>
        <v>0.42857142857142855</v>
      </c>
      <c r="K91" s="297">
        <f>_xlfn.XLOOKUP(C91,SEMANA2[COD],SEMANA2[Columna32],"")</f>
        <v>14</v>
      </c>
      <c r="L91" s="297">
        <f>_xlfn.XLOOKUP(C91,SEMANA2[COD],SEMANA2[Columna34],"")</f>
        <v>7</v>
      </c>
      <c r="M91" s="298">
        <f t="shared" si="14"/>
        <v>0.5</v>
      </c>
      <c r="N91" s="299">
        <f>_xlfn.XLOOKUP(C91,SEMANA2[COD],SEMANA2[Columna36],"")</f>
        <v>3</v>
      </c>
      <c r="O91" s="299">
        <f>_xlfn.XLOOKUP(C91,SEMANA2[COD],SEMANA2[Columna37],"")</f>
        <v>1</v>
      </c>
      <c r="P91" s="300">
        <f t="shared" si="15"/>
        <v>0.33333333333333331</v>
      </c>
      <c r="Q91" s="301">
        <f>_xlfn.XLOOKUP(C91,SEMANA2[COD],SEMANA2[Columna1],"")</f>
        <v>23.5</v>
      </c>
      <c r="R91" s="3"/>
      <c r="U91" s="388" t="str">
        <v>COD 32</v>
      </c>
      <c r="V91" s="388" t="str">
        <f t="shared" si="16"/>
        <v>COD 32</v>
      </c>
    </row>
    <row r="92" spans="1:22" s="388" customFormat="1" ht="23.1" customHeight="1" outlineLevel="1" x14ac:dyDescent="0.35">
      <c r="A92" s="290"/>
      <c r="B92" s="302">
        <f t="shared" si="17"/>
        <v>33</v>
      </c>
      <c r="C92" s="543" t="str">
        <v>COD 33</v>
      </c>
      <c r="D92" s="464" t="str">
        <f>_xlfn.XLOOKUP(C92,CODIGOS_Y_PAGOS[CODIGO],CODIGOS_Y_PAGOS[NOMBRE PARTICIPANTE],"")</f>
        <v>JOSE LUIS ANTUNEZ</v>
      </c>
      <c r="E92" s="293">
        <f>_xlfn.XLOOKUP($C92,SEMANA2[COD],SEMANA2[Columna14],"")</f>
        <v>14</v>
      </c>
      <c r="F92" s="293">
        <f>_xlfn.XLOOKUP(C92,SEMANA2[COD],SEMANA2[Columna19],"")</f>
        <v>2</v>
      </c>
      <c r="G92" s="294">
        <f t="shared" ref="G92:G109" si="18">IFERROR(+F92/E92,"0,00")</f>
        <v>0.14285714285714285</v>
      </c>
      <c r="H92" s="295">
        <f>_xlfn.XLOOKUP(C92,SEMANA2[COD],SEMANA2[Columna32],"")</f>
        <v>14</v>
      </c>
      <c r="I92" s="295">
        <f>_xlfn.XLOOKUP(C92,SEMANA2[COD],SEMANA2[Columna30],"")</f>
        <v>6</v>
      </c>
      <c r="J92" s="296">
        <f t="shared" ref="J92:J109" si="19">IFERROR(+I92/H92,"0,00")</f>
        <v>0.42857142857142855</v>
      </c>
      <c r="K92" s="297">
        <f>_xlfn.XLOOKUP(C92,SEMANA2[COD],SEMANA2[Columna32],"")</f>
        <v>14</v>
      </c>
      <c r="L92" s="297">
        <f>_xlfn.XLOOKUP(C92,SEMANA2[COD],SEMANA2[Columna34],"")</f>
        <v>7</v>
      </c>
      <c r="M92" s="298">
        <f t="shared" ref="M92:M109" si="20">IFERROR(+L92/K92,"0,00")</f>
        <v>0.5</v>
      </c>
      <c r="N92" s="299">
        <f>_xlfn.XLOOKUP(C92,SEMANA2[COD],SEMANA2[Columna36],"")</f>
        <v>3</v>
      </c>
      <c r="O92" s="299">
        <f>_xlfn.XLOOKUP(C92,SEMANA2[COD],SEMANA2[Columna37],"")</f>
        <v>1</v>
      </c>
      <c r="P92" s="300">
        <f t="shared" ref="P92:P109" si="21">IFERROR(+O92/N92,"0,00")</f>
        <v>0.33333333333333331</v>
      </c>
      <c r="Q92" s="301">
        <f>_xlfn.XLOOKUP(C92,SEMANA2[COD],SEMANA2[Columna1],"")</f>
        <v>23.5</v>
      </c>
      <c r="R92" s="3"/>
      <c r="U92" s="388" t="str">
        <v>COD 33</v>
      </c>
      <c r="V92" s="388" t="str">
        <f t="shared" ref="V92:V109" si="22">U92</f>
        <v>COD 33</v>
      </c>
    </row>
    <row r="93" spans="1:22" s="388" customFormat="1" ht="23.1" customHeight="1" outlineLevel="1" x14ac:dyDescent="0.35">
      <c r="A93" s="290"/>
      <c r="B93" s="302">
        <f t="shared" ref="B93:B109" si="23">+B92+1</f>
        <v>34</v>
      </c>
      <c r="C93" s="543" t="str">
        <v>COD 34</v>
      </c>
      <c r="D93" s="464" t="str">
        <f>_xlfn.XLOOKUP(C93,CODIGOS_Y_PAGOS[CODIGO],CODIGOS_Y_PAGOS[NOMBRE PARTICIPANTE],"")</f>
        <v>ROBERTO CARLOS</v>
      </c>
      <c r="E93" s="293">
        <f>_xlfn.XLOOKUP($C93,SEMANA2[COD],SEMANA2[Columna14],"")</f>
        <v>14</v>
      </c>
      <c r="F93" s="293">
        <f>_xlfn.XLOOKUP(C93,SEMANA2[COD],SEMANA2[Columna19],"")</f>
        <v>3</v>
      </c>
      <c r="G93" s="294">
        <f t="shared" si="18"/>
        <v>0.21428571428571427</v>
      </c>
      <c r="H93" s="295">
        <f>_xlfn.XLOOKUP(C93,SEMANA2[COD],SEMANA2[Columna32],"")</f>
        <v>14</v>
      </c>
      <c r="I93" s="295">
        <f>_xlfn.XLOOKUP(C93,SEMANA2[COD],SEMANA2[Columna30],"")</f>
        <v>5</v>
      </c>
      <c r="J93" s="296">
        <f t="shared" si="19"/>
        <v>0.35714285714285715</v>
      </c>
      <c r="K93" s="297">
        <f>_xlfn.XLOOKUP(C93,SEMANA2[COD],SEMANA2[Columna32],"")</f>
        <v>14</v>
      </c>
      <c r="L93" s="297">
        <f>_xlfn.XLOOKUP(C93,SEMANA2[COD],SEMANA2[Columna34],"")</f>
        <v>7</v>
      </c>
      <c r="M93" s="298">
        <f t="shared" si="20"/>
        <v>0.5</v>
      </c>
      <c r="N93" s="299">
        <f>_xlfn.XLOOKUP(C93,SEMANA2[COD],SEMANA2[Columna36],"")</f>
        <v>3</v>
      </c>
      <c r="O93" s="299">
        <f>_xlfn.XLOOKUP(C93,SEMANA2[COD],SEMANA2[Columna37],"")</f>
        <v>1</v>
      </c>
      <c r="P93" s="300">
        <f t="shared" si="21"/>
        <v>0.33333333333333331</v>
      </c>
      <c r="Q93" s="301">
        <f>_xlfn.XLOOKUP(C93,SEMANA2[COD],SEMANA2[Columna1],"")</f>
        <v>23.5</v>
      </c>
      <c r="R93" s="3"/>
      <c r="U93" s="388" t="str">
        <v>COD 34</v>
      </c>
      <c r="V93" s="388" t="str">
        <f t="shared" si="22"/>
        <v>COD 34</v>
      </c>
    </row>
    <row r="94" spans="1:22" s="388" customFormat="1" ht="23.1" customHeight="1" outlineLevel="1" x14ac:dyDescent="0.35">
      <c r="A94" s="290"/>
      <c r="B94" s="302">
        <f t="shared" si="23"/>
        <v>35</v>
      </c>
      <c r="C94" s="543" t="str">
        <v>COD 35</v>
      </c>
      <c r="D94" s="464" t="str">
        <f>_xlfn.XLOOKUP(C94,CODIGOS_Y_PAGOS[CODIGO],CODIGOS_Y_PAGOS[NOMBRE PARTICIPANTE],"")</f>
        <v>YOVANNY</v>
      </c>
      <c r="E94" s="293">
        <f>_xlfn.XLOOKUP($C94,SEMANA2[COD],SEMANA2[Columna14],"")</f>
        <v>14</v>
      </c>
      <c r="F94" s="293">
        <f>_xlfn.XLOOKUP(C94,SEMANA2[COD],SEMANA2[Columna19],"")</f>
        <v>4</v>
      </c>
      <c r="G94" s="294">
        <f t="shared" si="18"/>
        <v>0.2857142857142857</v>
      </c>
      <c r="H94" s="295">
        <f>_xlfn.XLOOKUP(C94,SEMANA2[COD],SEMANA2[Columna32],"")</f>
        <v>14</v>
      </c>
      <c r="I94" s="295">
        <f>_xlfn.XLOOKUP(C94,SEMANA2[COD],SEMANA2[Columna30],"")</f>
        <v>5</v>
      </c>
      <c r="J94" s="296">
        <f t="shared" si="19"/>
        <v>0.35714285714285715</v>
      </c>
      <c r="K94" s="297">
        <f>_xlfn.XLOOKUP(C94,SEMANA2[COD],SEMANA2[Columna32],"")</f>
        <v>14</v>
      </c>
      <c r="L94" s="297">
        <f>_xlfn.XLOOKUP(C94,SEMANA2[COD],SEMANA2[Columna34],"")</f>
        <v>9</v>
      </c>
      <c r="M94" s="298">
        <f t="shared" si="20"/>
        <v>0.6428571428571429</v>
      </c>
      <c r="N94" s="299">
        <f>_xlfn.XLOOKUP(C94,SEMANA2[COD],SEMANA2[Columna36],"")</f>
        <v>3</v>
      </c>
      <c r="O94" s="299">
        <f>_xlfn.XLOOKUP(C94,SEMANA2[COD],SEMANA2[Columna37],"")</f>
        <v>1</v>
      </c>
      <c r="P94" s="300">
        <f t="shared" si="21"/>
        <v>0.33333333333333331</v>
      </c>
      <c r="Q94" s="301">
        <f>_xlfn.XLOOKUP(C94,SEMANA2[COD],SEMANA2[Columna1],"")</f>
        <v>23.5</v>
      </c>
      <c r="R94" s="3"/>
      <c r="U94" s="388" t="str">
        <v>COD 35</v>
      </c>
      <c r="V94" s="388" t="str">
        <f t="shared" si="22"/>
        <v>COD 35</v>
      </c>
    </row>
    <row r="95" spans="1:22" s="388" customFormat="1" ht="23.1" customHeight="1" outlineLevel="1" x14ac:dyDescent="0.35">
      <c r="A95" s="290"/>
      <c r="B95" s="302">
        <f t="shared" si="23"/>
        <v>36</v>
      </c>
      <c r="C95" s="543" t="str">
        <v>COD 36</v>
      </c>
      <c r="D95" s="464" t="str">
        <f>_xlfn.XLOOKUP(C95,CODIGOS_Y_PAGOS[CODIGO],CODIGOS_Y_PAGOS[NOMBRE PARTICIPANTE],"")</f>
        <v>EDGAR ALEXANDER</v>
      </c>
      <c r="E95" s="293">
        <f>_xlfn.XLOOKUP($C95,SEMANA2[COD],SEMANA2[Columna14],"")</f>
        <v>14</v>
      </c>
      <c r="F95" s="293">
        <f>_xlfn.XLOOKUP(C95,SEMANA2[COD],SEMANA2[Columna19],"")</f>
        <v>2</v>
      </c>
      <c r="G95" s="294">
        <f t="shared" si="18"/>
        <v>0.14285714285714285</v>
      </c>
      <c r="H95" s="295">
        <f>_xlfn.XLOOKUP(C95,SEMANA2[COD],SEMANA2[Columna32],"")</f>
        <v>14</v>
      </c>
      <c r="I95" s="295">
        <f>_xlfn.XLOOKUP(C95,SEMANA2[COD],SEMANA2[Columna30],"")</f>
        <v>6</v>
      </c>
      <c r="J95" s="296">
        <f t="shared" si="19"/>
        <v>0.42857142857142855</v>
      </c>
      <c r="K95" s="297">
        <f>_xlfn.XLOOKUP(C95,SEMANA2[COD],SEMANA2[Columna32],"")</f>
        <v>14</v>
      </c>
      <c r="L95" s="297">
        <f>_xlfn.XLOOKUP(C95,SEMANA2[COD],SEMANA2[Columna34],"")</f>
        <v>7</v>
      </c>
      <c r="M95" s="298">
        <f t="shared" si="20"/>
        <v>0.5</v>
      </c>
      <c r="N95" s="299">
        <f>_xlfn.XLOOKUP(C95,SEMANA2[COD],SEMANA2[Columna36],"")</f>
        <v>3</v>
      </c>
      <c r="O95" s="299">
        <f>_xlfn.XLOOKUP(C95,SEMANA2[COD],SEMANA2[Columna37],"")</f>
        <v>1</v>
      </c>
      <c r="P95" s="300">
        <f t="shared" si="21"/>
        <v>0.33333333333333331</v>
      </c>
      <c r="Q95" s="301">
        <f>_xlfn.XLOOKUP(C95,SEMANA2[COD],SEMANA2[Columna1],"")</f>
        <v>21.5</v>
      </c>
      <c r="R95" s="3"/>
      <c r="U95" s="388" t="str">
        <v>COD 36</v>
      </c>
      <c r="V95" s="388" t="str">
        <f t="shared" si="22"/>
        <v>COD 36</v>
      </c>
    </row>
    <row r="96" spans="1:22" s="388" customFormat="1" ht="23.1" customHeight="1" outlineLevel="1" x14ac:dyDescent="0.35">
      <c r="A96" s="290"/>
      <c r="B96" s="302">
        <f t="shared" si="23"/>
        <v>37</v>
      </c>
      <c r="C96" s="543" t="str">
        <v>COD 37</v>
      </c>
      <c r="D96" s="464" t="str">
        <f>_xlfn.XLOOKUP(C96,CODIGOS_Y_PAGOS[CODIGO],CODIGOS_Y_PAGOS[NOMBRE PARTICIPANTE],"")</f>
        <v>GLADIADOR HIPICO</v>
      </c>
      <c r="E96" s="293">
        <f>_xlfn.XLOOKUP($C96,SEMANA2[COD],SEMANA2[Columna14],"")</f>
        <v>14</v>
      </c>
      <c r="F96" s="293">
        <f>_xlfn.XLOOKUP(C96,SEMANA2[COD],SEMANA2[Columna19],"")</f>
        <v>2</v>
      </c>
      <c r="G96" s="294">
        <f t="shared" si="18"/>
        <v>0.14285714285714285</v>
      </c>
      <c r="H96" s="295">
        <f>_xlfn.XLOOKUP(C96,SEMANA2[COD],SEMANA2[Columna32],"")</f>
        <v>14</v>
      </c>
      <c r="I96" s="295">
        <f>_xlfn.XLOOKUP(C96,SEMANA2[COD],SEMANA2[Columna30],"")</f>
        <v>5</v>
      </c>
      <c r="J96" s="296">
        <f t="shared" si="19"/>
        <v>0.35714285714285715</v>
      </c>
      <c r="K96" s="297">
        <f>_xlfn.XLOOKUP(C96,SEMANA2[COD],SEMANA2[Columna32],"")</f>
        <v>14</v>
      </c>
      <c r="L96" s="297">
        <f>_xlfn.XLOOKUP(C96,SEMANA2[COD],SEMANA2[Columna34],"")</f>
        <v>7</v>
      </c>
      <c r="M96" s="298">
        <f t="shared" si="20"/>
        <v>0.5</v>
      </c>
      <c r="N96" s="299">
        <f>_xlfn.XLOOKUP(C96,SEMANA2[COD],SEMANA2[Columna36],"")</f>
        <v>3</v>
      </c>
      <c r="O96" s="299">
        <f>_xlfn.XLOOKUP(C96,SEMANA2[COD],SEMANA2[Columna37],"")</f>
        <v>2</v>
      </c>
      <c r="P96" s="300">
        <f t="shared" si="21"/>
        <v>0.66666666666666663</v>
      </c>
      <c r="Q96" s="301">
        <f>_xlfn.XLOOKUP(C96,SEMANA2[COD],SEMANA2[Columna1],"")</f>
        <v>20.5</v>
      </c>
      <c r="R96" s="3"/>
      <c r="U96" s="388" t="str">
        <v>COD 37</v>
      </c>
      <c r="V96" s="388" t="str">
        <f t="shared" si="22"/>
        <v>COD 37</v>
      </c>
    </row>
    <row r="97" spans="1:22" s="388" customFormat="1" ht="23.1" customHeight="1" outlineLevel="1" x14ac:dyDescent="0.35">
      <c r="A97" s="290"/>
      <c r="B97" s="302">
        <f t="shared" si="23"/>
        <v>38</v>
      </c>
      <c r="C97" s="543" t="str">
        <v>COD 38</v>
      </c>
      <c r="D97" s="464" t="str">
        <f>_xlfn.XLOOKUP(C97,CODIGOS_Y_PAGOS[CODIGO],CODIGOS_Y_PAGOS[NOMBRE PARTICIPANTE],"")</f>
        <v>DERVIN</v>
      </c>
      <c r="E97" s="293">
        <f>_xlfn.XLOOKUP($C97,SEMANA2[COD],SEMANA2[Columna14],"")</f>
        <v>14</v>
      </c>
      <c r="F97" s="293">
        <f>_xlfn.XLOOKUP(C97,SEMANA2[COD],SEMANA2[Columna19],"")</f>
        <v>2</v>
      </c>
      <c r="G97" s="294">
        <f t="shared" si="18"/>
        <v>0.14285714285714285</v>
      </c>
      <c r="H97" s="295">
        <f>_xlfn.XLOOKUP(C97,SEMANA2[COD],SEMANA2[Columna32],"")</f>
        <v>14</v>
      </c>
      <c r="I97" s="295">
        <f>_xlfn.XLOOKUP(C97,SEMANA2[COD],SEMANA2[Columna30],"")</f>
        <v>4</v>
      </c>
      <c r="J97" s="296">
        <f t="shared" si="19"/>
        <v>0.2857142857142857</v>
      </c>
      <c r="K97" s="297">
        <f>_xlfn.XLOOKUP(C97,SEMANA2[COD],SEMANA2[Columna32],"")</f>
        <v>14</v>
      </c>
      <c r="L97" s="297">
        <f>_xlfn.XLOOKUP(C97,SEMANA2[COD],SEMANA2[Columna34],"")</f>
        <v>7</v>
      </c>
      <c r="M97" s="298">
        <f t="shared" si="20"/>
        <v>0.5</v>
      </c>
      <c r="N97" s="299">
        <f>_xlfn.XLOOKUP(C97,SEMANA2[COD],SEMANA2[Columna36],"")</f>
        <v>3</v>
      </c>
      <c r="O97" s="299">
        <f>_xlfn.XLOOKUP(C97,SEMANA2[COD],SEMANA2[Columna37],"")</f>
        <v>1</v>
      </c>
      <c r="P97" s="300">
        <f t="shared" si="21"/>
        <v>0.33333333333333331</v>
      </c>
      <c r="Q97" s="301">
        <f>_xlfn.XLOOKUP(C97,SEMANA2[COD],SEMANA2[Columna1],"")</f>
        <v>19.5</v>
      </c>
      <c r="R97" s="3"/>
      <c r="U97" s="388" t="str">
        <v>COD 38</v>
      </c>
      <c r="V97" s="388" t="str">
        <f t="shared" si="22"/>
        <v>COD 38</v>
      </c>
    </row>
    <row r="98" spans="1:22" s="388" customFormat="1" ht="23.1" customHeight="1" outlineLevel="1" x14ac:dyDescent="0.35">
      <c r="A98" s="290"/>
      <c r="B98" s="302">
        <f t="shared" si="23"/>
        <v>39</v>
      </c>
      <c r="C98" s="543" t="str">
        <v>COD 39</v>
      </c>
      <c r="D98" s="464" t="str">
        <f>_xlfn.XLOOKUP(C98,CODIGOS_Y_PAGOS[CODIGO],CODIGOS_Y_PAGOS[NOMBRE PARTICIPANTE],"")</f>
        <v>EL TAMAO</v>
      </c>
      <c r="E98" s="293">
        <f>_xlfn.XLOOKUP($C98,SEMANA2[COD],SEMANA2[Columna14],"")</f>
        <v>14</v>
      </c>
      <c r="F98" s="293">
        <f>_xlfn.XLOOKUP(C98,SEMANA2[COD],SEMANA2[Columna19],"")</f>
        <v>3</v>
      </c>
      <c r="G98" s="294">
        <f t="shared" si="18"/>
        <v>0.21428571428571427</v>
      </c>
      <c r="H98" s="295">
        <f>_xlfn.XLOOKUP(C98,SEMANA2[COD],SEMANA2[Columna32],"")</f>
        <v>14</v>
      </c>
      <c r="I98" s="295">
        <f>_xlfn.XLOOKUP(C98,SEMANA2[COD],SEMANA2[Columna30],"")</f>
        <v>4</v>
      </c>
      <c r="J98" s="296">
        <f t="shared" si="19"/>
        <v>0.2857142857142857</v>
      </c>
      <c r="K98" s="297">
        <f>_xlfn.XLOOKUP(C98,SEMANA2[COD],SEMANA2[Columna32],"")</f>
        <v>14</v>
      </c>
      <c r="L98" s="297">
        <f>_xlfn.XLOOKUP(C98,SEMANA2[COD],SEMANA2[Columna34],"")</f>
        <v>7</v>
      </c>
      <c r="M98" s="298">
        <f t="shared" si="20"/>
        <v>0.5</v>
      </c>
      <c r="N98" s="299">
        <f>_xlfn.XLOOKUP(C98,SEMANA2[COD],SEMANA2[Columna36],"")</f>
        <v>3</v>
      </c>
      <c r="O98" s="299">
        <f>_xlfn.XLOOKUP(C98,SEMANA2[COD],SEMANA2[Columna37],"")</f>
        <v>1</v>
      </c>
      <c r="P98" s="300">
        <f t="shared" si="21"/>
        <v>0.33333333333333331</v>
      </c>
      <c r="Q98" s="301">
        <f>_xlfn.XLOOKUP(C98,SEMANA2[COD],SEMANA2[Columna1],"")</f>
        <v>18.5</v>
      </c>
      <c r="R98" s="3"/>
      <c r="U98" s="388" t="str">
        <v>COD 39</v>
      </c>
      <c r="V98" s="388" t="str">
        <f t="shared" si="22"/>
        <v>COD 39</v>
      </c>
    </row>
    <row r="99" spans="1:22" s="388" customFormat="1" ht="23.1" customHeight="1" outlineLevel="2" x14ac:dyDescent="0.35">
      <c r="A99" s="290"/>
      <c r="B99" s="302">
        <f t="shared" si="23"/>
        <v>40</v>
      </c>
      <c r="C99" s="543" t="str">
        <v>COD 40</v>
      </c>
      <c r="D99" s="292" t="str">
        <f>_xlfn.XLOOKUP(C99,CODIGOS_Y_PAGOS[CODIGO],CODIGOS_Y_PAGOS[NOMBRE PARTICIPANTE],"")</f>
        <v>FRED</v>
      </c>
      <c r="E99" s="293">
        <f>_xlfn.XLOOKUP($C99,SEMANA2[COD],SEMANA2[Columna14],"")</f>
        <v>0</v>
      </c>
      <c r="F99" s="293">
        <f>_xlfn.XLOOKUP(C99,SEMANA2[COD],SEMANA2[Columna19],"")</f>
        <v>0</v>
      </c>
      <c r="G99" s="294" t="str">
        <f t="shared" si="18"/>
        <v>0,00</v>
      </c>
      <c r="H99" s="295">
        <f>_xlfn.XLOOKUP(C99,SEMANA2[COD],SEMANA2[Columna32],"")</f>
        <v>0</v>
      </c>
      <c r="I99" s="295">
        <f>_xlfn.XLOOKUP(C99,SEMANA2[COD],SEMANA2[Columna30],"")</f>
        <v>0</v>
      </c>
      <c r="J99" s="296" t="str">
        <f t="shared" si="19"/>
        <v>0,00</v>
      </c>
      <c r="K99" s="297">
        <f>_xlfn.XLOOKUP(C99,SEMANA2[COD],SEMANA2[Columna32],"")</f>
        <v>0</v>
      </c>
      <c r="L99" s="297">
        <f>_xlfn.XLOOKUP(C99,SEMANA2[COD],SEMANA2[Columna34],"")</f>
        <v>0</v>
      </c>
      <c r="M99" s="298" t="str">
        <f t="shared" si="20"/>
        <v>0,00</v>
      </c>
      <c r="N99" s="299">
        <f>_xlfn.XLOOKUP(C99,SEMANA2[COD],SEMANA2[Columna36],"")</f>
        <v>0</v>
      </c>
      <c r="O99" s="299">
        <f>_xlfn.XLOOKUP(C99,SEMANA2[COD],SEMANA2[Columna37],"")</f>
        <v>0</v>
      </c>
      <c r="P99" s="300" t="str">
        <f t="shared" si="21"/>
        <v>0,00</v>
      </c>
      <c r="Q99" s="301">
        <f>_xlfn.XLOOKUP(C99,SEMANA2[COD],SEMANA2[Columna1],"")</f>
        <v>0</v>
      </c>
      <c r="R99" s="3"/>
      <c r="U99" s="388" t="str">
        <v>COD 40</v>
      </c>
      <c r="V99" s="388" t="str">
        <f t="shared" si="22"/>
        <v>COD 40</v>
      </c>
    </row>
    <row r="100" spans="1:22" s="388" customFormat="1" ht="23.1" customHeight="1" outlineLevel="2" x14ac:dyDescent="0.35">
      <c r="A100" s="290"/>
      <c r="B100" s="302">
        <f t="shared" si="23"/>
        <v>41</v>
      </c>
      <c r="C100" s="543" t="str">
        <v>COD 41</v>
      </c>
      <c r="D100" s="292" t="str">
        <f>_xlfn.XLOOKUP(C100,CODIGOS_Y_PAGOS[CODIGO],CODIGOS_Y_PAGOS[NOMBRE PARTICIPANTE],"")</f>
        <v>ENRIQUE LEFEBRE</v>
      </c>
      <c r="E100" s="293">
        <f>_xlfn.XLOOKUP($C100,SEMANA2[COD],SEMANA2[Columna14],"")</f>
        <v>0</v>
      </c>
      <c r="F100" s="293">
        <f>_xlfn.XLOOKUP(C100,SEMANA2[COD],SEMANA2[Columna19],"")</f>
        <v>0</v>
      </c>
      <c r="G100" s="294" t="str">
        <f t="shared" si="18"/>
        <v>0,00</v>
      </c>
      <c r="H100" s="295">
        <f>_xlfn.XLOOKUP(C100,SEMANA2[COD],SEMANA2[Columna32],"")</f>
        <v>0</v>
      </c>
      <c r="I100" s="295">
        <f>_xlfn.XLOOKUP(C100,SEMANA2[COD],SEMANA2[Columna30],"")</f>
        <v>0</v>
      </c>
      <c r="J100" s="296" t="str">
        <f t="shared" si="19"/>
        <v>0,00</v>
      </c>
      <c r="K100" s="297">
        <f>_xlfn.XLOOKUP(C100,SEMANA2[COD],SEMANA2[Columna32],"")</f>
        <v>0</v>
      </c>
      <c r="L100" s="297">
        <f>_xlfn.XLOOKUP(C100,SEMANA2[COD],SEMANA2[Columna34],"")</f>
        <v>0</v>
      </c>
      <c r="M100" s="298" t="str">
        <f t="shared" si="20"/>
        <v>0,00</v>
      </c>
      <c r="N100" s="299">
        <f>_xlfn.XLOOKUP(C100,SEMANA2[COD],SEMANA2[Columna36],"")</f>
        <v>0</v>
      </c>
      <c r="O100" s="299">
        <f>_xlfn.XLOOKUP(C100,SEMANA2[COD],SEMANA2[Columna37],"")</f>
        <v>0</v>
      </c>
      <c r="P100" s="300" t="str">
        <f t="shared" si="21"/>
        <v>0,00</v>
      </c>
      <c r="Q100" s="301">
        <f>_xlfn.XLOOKUP(C100,SEMANA2[COD],SEMANA2[Columna1],"")</f>
        <v>0</v>
      </c>
      <c r="R100" s="3"/>
      <c r="U100" s="388" t="str">
        <v>COD 41</v>
      </c>
      <c r="V100" s="388" t="str">
        <f t="shared" si="22"/>
        <v>COD 41</v>
      </c>
    </row>
    <row r="101" spans="1:22" s="388" customFormat="1" ht="23.1" customHeight="1" outlineLevel="2" x14ac:dyDescent="0.35">
      <c r="A101" s="290"/>
      <c r="B101" s="302">
        <f t="shared" si="23"/>
        <v>42</v>
      </c>
      <c r="C101" s="543" t="str">
        <v>COD 42</v>
      </c>
      <c r="D101" s="292">
        <f>_xlfn.XLOOKUP(C101,CODIGOS_Y_PAGOS[CODIGO],CODIGOS_Y_PAGOS[NOMBRE PARTICIPANTE],"")</f>
        <v>0</v>
      </c>
      <c r="E101" s="293">
        <f>_xlfn.XLOOKUP($C101,SEMANA2[COD],SEMANA2[Columna14],"")</f>
        <v>0</v>
      </c>
      <c r="F101" s="293">
        <f>_xlfn.XLOOKUP(C101,SEMANA2[COD],SEMANA2[Columna19],"")</f>
        <v>0</v>
      </c>
      <c r="G101" s="294" t="str">
        <f t="shared" si="18"/>
        <v>0,00</v>
      </c>
      <c r="H101" s="295">
        <f>_xlfn.XLOOKUP(C101,SEMANA2[COD],SEMANA2[Columna32],"")</f>
        <v>0</v>
      </c>
      <c r="I101" s="295">
        <f>_xlfn.XLOOKUP(C101,SEMANA2[COD],SEMANA2[Columna30],"")</f>
        <v>0</v>
      </c>
      <c r="J101" s="296" t="str">
        <f t="shared" si="19"/>
        <v>0,00</v>
      </c>
      <c r="K101" s="297">
        <f>_xlfn.XLOOKUP(C101,SEMANA2[COD],SEMANA2[Columna32],"")</f>
        <v>0</v>
      </c>
      <c r="L101" s="297">
        <f>_xlfn.XLOOKUP(C101,SEMANA2[COD],SEMANA2[Columna34],"")</f>
        <v>0</v>
      </c>
      <c r="M101" s="298" t="str">
        <f t="shared" si="20"/>
        <v>0,00</v>
      </c>
      <c r="N101" s="299">
        <f>_xlfn.XLOOKUP(C101,SEMANA2[COD],SEMANA2[Columna36],"")</f>
        <v>0</v>
      </c>
      <c r="O101" s="299">
        <f>_xlfn.XLOOKUP(C101,SEMANA2[COD],SEMANA2[Columna37],"")</f>
        <v>0</v>
      </c>
      <c r="P101" s="300" t="str">
        <f t="shared" si="21"/>
        <v>0,00</v>
      </c>
      <c r="Q101" s="301">
        <f>_xlfn.XLOOKUP(C101,SEMANA2[COD],SEMANA2[Columna1],"")</f>
        <v>0</v>
      </c>
      <c r="R101" s="3"/>
      <c r="U101" s="388" t="str">
        <v>COD 42</v>
      </c>
      <c r="V101" s="388" t="str">
        <f t="shared" si="22"/>
        <v>COD 42</v>
      </c>
    </row>
    <row r="102" spans="1:22" s="388" customFormat="1" ht="23.1" customHeight="1" outlineLevel="2" x14ac:dyDescent="0.35">
      <c r="A102" s="290"/>
      <c r="B102" s="304">
        <f t="shared" si="23"/>
        <v>43</v>
      </c>
      <c r="C102" s="543" t="str">
        <v>COD 43</v>
      </c>
      <c r="D102" s="292">
        <f>_xlfn.XLOOKUP(C102,CODIGOS_Y_PAGOS[CODIGO],CODIGOS_Y_PAGOS[NOMBRE PARTICIPANTE],"")</f>
        <v>0</v>
      </c>
      <c r="E102" s="293">
        <f>_xlfn.XLOOKUP($C102,SEMANA2[COD],SEMANA2[Columna14],"")</f>
        <v>0</v>
      </c>
      <c r="F102" s="293">
        <f>_xlfn.XLOOKUP(C102,SEMANA2[COD],SEMANA2[Columna19],"")</f>
        <v>0</v>
      </c>
      <c r="G102" s="294" t="str">
        <f t="shared" si="18"/>
        <v>0,00</v>
      </c>
      <c r="H102" s="295">
        <f>_xlfn.XLOOKUP(C102,SEMANA2[COD],SEMANA2[Columna32],"")</f>
        <v>0</v>
      </c>
      <c r="I102" s="295">
        <f>_xlfn.XLOOKUP(C102,SEMANA2[COD],SEMANA2[Columna30],"")</f>
        <v>0</v>
      </c>
      <c r="J102" s="296" t="str">
        <f t="shared" si="19"/>
        <v>0,00</v>
      </c>
      <c r="K102" s="297">
        <f>_xlfn.XLOOKUP(C102,SEMANA2[COD],SEMANA2[Columna32],"")</f>
        <v>0</v>
      </c>
      <c r="L102" s="297">
        <f>_xlfn.XLOOKUP(C102,SEMANA2[COD],SEMANA2[Columna34],"")</f>
        <v>0</v>
      </c>
      <c r="M102" s="298" t="str">
        <f t="shared" si="20"/>
        <v>0,00</v>
      </c>
      <c r="N102" s="299">
        <f>_xlfn.XLOOKUP(C102,SEMANA2[COD],SEMANA2[Columna36],"")</f>
        <v>0</v>
      </c>
      <c r="O102" s="299">
        <f>_xlfn.XLOOKUP(C102,SEMANA2[COD],SEMANA2[Columna37],"")</f>
        <v>0</v>
      </c>
      <c r="P102" s="300" t="str">
        <f t="shared" si="21"/>
        <v>0,00</v>
      </c>
      <c r="Q102" s="301">
        <f>_xlfn.XLOOKUP(C102,SEMANA2[COD],SEMANA2[Columna1],"")</f>
        <v>0</v>
      </c>
      <c r="R102" s="3"/>
      <c r="U102" s="388" t="str">
        <v>COD 43</v>
      </c>
      <c r="V102" s="388" t="str">
        <f t="shared" si="22"/>
        <v>COD 43</v>
      </c>
    </row>
    <row r="103" spans="1:22" s="388" customFormat="1" ht="23.1" customHeight="1" outlineLevel="2" x14ac:dyDescent="0.35">
      <c r="A103" s="290"/>
      <c r="B103" s="304">
        <f t="shared" si="23"/>
        <v>44</v>
      </c>
      <c r="C103" s="543" t="str">
        <v>COD 44</v>
      </c>
      <c r="D103" s="292">
        <f>_xlfn.XLOOKUP(C103,CODIGOS_Y_PAGOS[CODIGO],CODIGOS_Y_PAGOS[NOMBRE PARTICIPANTE],"")</f>
        <v>0</v>
      </c>
      <c r="E103" s="293">
        <f>_xlfn.XLOOKUP($C103,SEMANA2[COD],SEMANA2[Columna14],"")</f>
        <v>0</v>
      </c>
      <c r="F103" s="293">
        <f>_xlfn.XLOOKUP(C103,SEMANA2[COD],SEMANA2[Columna19],"")</f>
        <v>0</v>
      </c>
      <c r="G103" s="294" t="str">
        <f t="shared" si="18"/>
        <v>0,00</v>
      </c>
      <c r="H103" s="295">
        <f>_xlfn.XLOOKUP(C103,SEMANA2[COD],SEMANA2[Columna32],"")</f>
        <v>0</v>
      </c>
      <c r="I103" s="295">
        <f>_xlfn.XLOOKUP(C103,SEMANA2[COD],SEMANA2[Columna30],"")</f>
        <v>0</v>
      </c>
      <c r="J103" s="296" t="str">
        <f t="shared" si="19"/>
        <v>0,00</v>
      </c>
      <c r="K103" s="297">
        <f>_xlfn.XLOOKUP(C103,SEMANA2[COD],SEMANA2[Columna32],"")</f>
        <v>0</v>
      </c>
      <c r="L103" s="297">
        <f>_xlfn.XLOOKUP(C103,SEMANA2[COD],SEMANA2[Columna34],"")</f>
        <v>0</v>
      </c>
      <c r="M103" s="298" t="str">
        <f t="shared" si="20"/>
        <v>0,00</v>
      </c>
      <c r="N103" s="299">
        <f>_xlfn.XLOOKUP(C103,SEMANA2[COD],SEMANA2[Columna36],"")</f>
        <v>0</v>
      </c>
      <c r="O103" s="299">
        <f>_xlfn.XLOOKUP(C103,SEMANA2[COD],SEMANA2[Columna37],"")</f>
        <v>0</v>
      </c>
      <c r="P103" s="300" t="str">
        <f t="shared" si="21"/>
        <v>0,00</v>
      </c>
      <c r="Q103" s="301">
        <f>_xlfn.XLOOKUP(C103,SEMANA2[COD],SEMANA2[Columna1],"")</f>
        <v>0</v>
      </c>
      <c r="R103" s="3"/>
      <c r="U103" s="388" t="str">
        <v>COD 44</v>
      </c>
      <c r="V103" s="388" t="str">
        <f t="shared" si="22"/>
        <v>COD 44</v>
      </c>
    </row>
    <row r="104" spans="1:22" s="388" customFormat="1" ht="23.1" customHeight="1" outlineLevel="2" x14ac:dyDescent="0.35">
      <c r="A104" s="290"/>
      <c r="B104" s="304">
        <f t="shared" si="23"/>
        <v>45</v>
      </c>
      <c r="C104" s="543" t="str">
        <v>COD 45</v>
      </c>
      <c r="D104" s="292" t="str">
        <f>_xlfn.XLOOKUP(C104,CODIGOS_Y_PAGOS[CODIGO],CODIGOS_Y_PAGOS[NOMBRE PARTICIPANTE],"")</f>
        <v>GUADIZMI</v>
      </c>
      <c r="E104" s="293">
        <f>_xlfn.XLOOKUP($C104,SEMANA2[COD],SEMANA2[Columna14],"")</f>
        <v>0</v>
      </c>
      <c r="F104" s="293">
        <f>_xlfn.XLOOKUP(C104,SEMANA2[COD],SEMANA2[Columna19],"")</f>
        <v>0</v>
      </c>
      <c r="G104" s="294" t="str">
        <f t="shared" si="18"/>
        <v>0,00</v>
      </c>
      <c r="H104" s="295">
        <f>_xlfn.XLOOKUP(C104,SEMANA2[COD],SEMANA2[Columna32],"")</f>
        <v>0</v>
      </c>
      <c r="I104" s="295">
        <f>_xlfn.XLOOKUP(C104,SEMANA2[COD],SEMANA2[Columna30],"")</f>
        <v>0</v>
      </c>
      <c r="J104" s="296" t="str">
        <f t="shared" si="19"/>
        <v>0,00</v>
      </c>
      <c r="K104" s="297">
        <f>_xlfn.XLOOKUP(C104,SEMANA2[COD],SEMANA2[Columna32],"")</f>
        <v>0</v>
      </c>
      <c r="L104" s="297">
        <f>_xlfn.XLOOKUP(C104,SEMANA2[COD],SEMANA2[Columna34],"")</f>
        <v>0</v>
      </c>
      <c r="M104" s="298" t="str">
        <f t="shared" si="20"/>
        <v>0,00</v>
      </c>
      <c r="N104" s="299">
        <f>_xlfn.XLOOKUP(C104,SEMANA2[COD],SEMANA2[Columna36],"")</f>
        <v>0</v>
      </c>
      <c r="O104" s="299">
        <f>_xlfn.XLOOKUP(C104,SEMANA2[COD],SEMANA2[Columna37],"")</f>
        <v>0</v>
      </c>
      <c r="P104" s="300" t="str">
        <f t="shared" si="21"/>
        <v>0,00</v>
      </c>
      <c r="Q104" s="301">
        <f>_xlfn.XLOOKUP(C104,SEMANA2[COD],SEMANA2[Columna1],"")</f>
        <v>0</v>
      </c>
      <c r="R104" s="3"/>
      <c r="U104" s="388" t="str">
        <v>COD 45</v>
      </c>
      <c r="V104" s="388" t="str">
        <f t="shared" si="22"/>
        <v>COD 45</v>
      </c>
    </row>
    <row r="105" spans="1:22" s="388" customFormat="1" ht="23.1" customHeight="1" outlineLevel="2" x14ac:dyDescent="0.35">
      <c r="A105" s="290"/>
      <c r="B105" s="304">
        <f t="shared" si="23"/>
        <v>46</v>
      </c>
      <c r="C105" s="543" t="str">
        <v>COD 46</v>
      </c>
      <c r="D105" s="292">
        <f>_xlfn.XLOOKUP(C105,CODIGOS_Y_PAGOS[CODIGO],CODIGOS_Y_PAGOS[NOMBRE PARTICIPANTE],"")</f>
        <v>0</v>
      </c>
      <c r="E105" s="293">
        <f>_xlfn.XLOOKUP($C105,SEMANA2[COD],SEMANA2[Columna14],"")</f>
        <v>0</v>
      </c>
      <c r="F105" s="293">
        <f>_xlfn.XLOOKUP(C105,SEMANA2[COD],SEMANA2[Columna19],"")</f>
        <v>0</v>
      </c>
      <c r="G105" s="294" t="str">
        <f t="shared" si="18"/>
        <v>0,00</v>
      </c>
      <c r="H105" s="295">
        <f>_xlfn.XLOOKUP(C105,SEMANA2[COD],SEMANA2[Columna32],"")</f>
        <v>0</v>
      </c>
      <c r="I105" s="295">
        <f>_xlfn.XLOOKUP(C105,SEMANA2[COD],SEMANA2[Columna30],"")</f>
        <v>0</v>
      </c>
      <c r="J105" s="296" t="str">
        <f t="shared" si="19"/>
        <v>0,00</v>
      </c>
      <c r="K105" s="297">
        <f>_xlfn.XLOOKUP(C105,SEMANA2[COD],SEMANA2[Columna32],"")</f>
        <v>0</v>
      </c>
      <c r="L105" s="297">
        <f>_xlfn.XLOOKUP(C105,SEMANA2[COD],SEMANA2[Columna34],"")</f>
        <v>0</v>
      </c>
      <c r="M105" s="298" t="str">
        <f t="shared" si="20"/>
        <v>0,00</v>
      </c>
      <c r="N105" s="299">
        <f>_xlfn.XLOOKUP(C105,SEMANA2[COD],SEMANA2[Columna36],"")</f>
        <v>0</v>
      </c>
      <c r="O105" s="299">
        <f>_xlfn.XLOOKUP(C105,SEMANA2[COD],SEMANA2[Columna37],"")</f>
        <v>0</v>
      </c>
      <c r="P105" s="300" t="str">
        <f t="shared" si="21"/>
        <v>0,00</v>
      </c>
      <c r="Q105" s="301">
        <f>_xlfn.XLOOKUP(C105,SEMANA2[COD],SEMANA2[Columna1],"")</f>
        <v>0</v>
      </c>
      <c r="R105" s="3"/>
      <c r="U105" s="388" t="str">
        <v>COD 46</v>
      </c>
      <c r="V105" s="388" t="str">
        <f t="shared" si="22"/>
        <v>COD 46</v>
      </c>
    </row>
    <row r="106" spans="1:22" s="388" customFormat="1" ht="23.1" customHeight="1" outlineLevel="2" x14ac:dyDescent="0.35">
      <c r="A106" s="290"/>
      <c r="B106" s="304">
        <f t="shared" si="23"/>
        <v>47</v>
      </c>
      <c r="C106" s="543" t="str">
        <v>COD 47</v>
      </c>
      <c r="D106" s="292">
        <f>_xlfn.XLOOKUP(C106,CODIGOS_Y_PAGOS[CODIGO],CODIGOS_Y_PAGOS[NOMBRE PARTICIPANTE],"")</f>
        <v>0</v>
      </c>
      <c r="E106" s="293">
        <f>_xlfn.XLOOKUP($C106,SEMANA2[COD],SEMANA2[Columna14],"")</f>
        <v>0</v>
      </c>
      <c r="F106" s="293">
        <f>_xlfn.XLOOKUP(C106,SEMANA2[COD],SEMANA2[Columna19],"")</f>
        <v>0</v>
      </c>
      <c r="G106" s="294" t="str">
        <f t="shared" si="18"/>
        <v>0,00</v>
      </c>
      <c r="H106" s="295">
        <f>_xlfn.XLOOKUP(C106,SEMANA2[COD],SEMANA2[Columna32],"")</f>
        <v>0</v>
      </c>
      <c r="I106" s="295">
        <f>_xlfn.XLOOKUP(C106,SEMANA2[COD],SEMANA2[Columna30],"")</f>
        <v>0</v>
      </c>
      <c r="J106" s="296" t="str">
        <f t="shared" si="19"/>
        <v>0,00</v>
      </c>
      <c r="K106" s="297">
        <f>_xlfn.XLOOKUP(C106,SEMANA2[COD],SEMANA2[Columna32],"")</f>
        <v>0</v>
      </c>
      <c r="L106" s="297">
        <f>_xlfn.XLOOKUP(C106,SEMANA2[COD],SEMANA2[Columna34],"")</f>
        <v>0</v>
      </c>
      <c r="M106" s="298" t="str">
        <f t="shared" si="20"/>
        <v>0,00</v>
      </c>
      <c r="N106" s="299">
        <f>_xlfn.XLOOKUP(C106,SEMANA2[COD],SEMANA2[Columna36],"")</f>
        <v>0</v>
      </c>
      <c r="O106" s="299">
        <f>_xlfn.XLOOKUP(C106,SEMANA2[COD],SEMANA2[Columna37],"")</f>
        <v>0</v>
      </c>
      <c r="P106" s="300" t="str">
        <f t="shared" si="21"/>
        <v>0,00</v>
      </c>
      <c r="Q106" s="301">
        <f>_xlfn.XLOOKUP(C106,SEMANA2[COD],SEMANA2[Columna1],"")</f>
        <v>0</v>
      </c>
      <c r="R106" s="3"/>
      <c r="U106" s="388" t="str">
        <v>COD 47</v>
      </c>
      <c r="V106" s="388" t="str">
        <f t="shared" si="22"/>
        <v>COD 47</v>
      </c>
    </row>
    <row r="107" spans="1:22" s="388" customFormat="1" ht="23.1" customHeight="1" outlineLevel="2" x14ac:dyDescent="0.35">
      <c r="A107" s="290"/>
      <c r="B107" s="304">
        <f t="shared" si="23"/>
        <v>48</v>
      </c>
      <c r="C107" s="543" t="str">
        <v>COD 48</v>
      </c>
      <c r="D107" s="292">
        <f>_xlfn.XLOOKUP(C107,CODIGOS_Y_PAGOS[CODIGO],CODIGOS_Y_PAGOS[NOMBRE PARTICIPANTE],"")</f>
        <v>0</v>
      </c>
      <c r="E107" s="293">
        <f>_xlfn.XLOOKUP($C107,SEMANA2[COD],SEMANA2[Columna14],"")</f>
        <v>0</v>
      </c>
      <c r="F107" s="293">
        <f>_xlfn.XLOOKUP(C107,SEMANA2[COD],SEMANA2[Columna19],"")</f>
        <v>0</v>
      </c>
      <c r="G107" s="294" t="str">
        <f t="shared" si="18"/>
        <v>0,00</v>
      </c>
      <c r="H107" s="295">
        <f>_xlfn.XLOOKUP(C107,SEMANA2[COD],SEMANA2[Columna32],"")</f>
        <v>0</v>
      </c>
      <c r="I107" s="295">
        <f>_xlfn.XLOOKUP(C107,SEMANA2[COD],SEMANA2[Columna30],"")</f>
        <v>0</v>
      </c>
      <c r="J107" s="296" t="str">
        <f t="shared" si="19"/>
        <v>0,00</v>
      </c>
      <c r="K107" s="297">
        <f>_xlfn.XLOOKUP(C107,SEMANA2[COD],SEMANA2[Columna32],"")</f>
        <v>0</v>
      </c>
      <c r="L107" s="297">
        <f>_xlfn.XLOOKUP(C107,SEMANA2[COD],SEMANA2[Columna34],"")</f>
        <v>0</v>
      </c>
      <c r="M107" s="298" t="str">
        <f t="shared" si="20"/>
        <v>0,00</v>
      </c>
      <c r="N107" s="299">
        <f>_xlfn.XLOOKUP(C107,SEMANA2[COD],SEMANA2[Columna36],"")</f>
        <v>0</v>
      </c>
      <c r="O107" s="299">
        <f>_xlfn.XLOOKUP(C107,SEMANA2[COD],SEMANA2[Columna37],"")</f>
        <v>0</v>
      </c>
      <c r="P107" s="300" t="str">
        <f t="shared" si="21"/>
        <v>0,00</v>
      </c>
      <c r="Q107" s="301">
        <f>_xlfn.XLOOKUP(C107,SEMANA2[COD],SEMANA2[Columna1],"")</f>
        <v>0</v>
      </c>
      <c r="R107" s="3"/>
      <c r="U107" s="388" t="str">
        <v>COD 48</v>
      </c>
      <c r="V107" s="388" t="str">
        <f t="shared" si="22"/>
        <v>COD 48</v>
      </c>
    </row>
    <row r="108" spans="1:22" s="388" customFormat="1" ht="23.1" customHeight="1" outlineLevel="2" x14ac:dyDescent="0.35">
      <c r="A108" s="290"/>
      <c r="B108" s="304">
        <f t="shared" si="23"/>
        <v>49</v>
      </c>
      <c r="C108" s="543" t="str">
        <v>COD 49</v>
      </c>
      <c r="D108" s="292">
        <f>_xlfn.XLOOKUP(C108,CODIGOS_Y_PAGOS[CODIGO],CODIGOS_Y_PAGOS[NOMBRE PARTICIPANTE],"")</f>
        <v>0</v>
      </c>
      <c r="E108" s="293">
        <f>_xlfn.XLOOKUP($C108,SEMANA2[COD],SEMANA2[Columna14],"")</f>
        <v>0</v>
      </c>
      <c r="F108" s="293">
        <f>_xlfn.XLOOKUP(C108,SEMANA2[COD],SEMANA2[Columna19],"")</f>
        <v>0</v>
      </c>
      <c r="G108" s="294" t="str">
        <f t="shared" si="18"/>
        <v>0,00</v>
      </c>
      <c r="H108" s="295">
        <f>_xlfn.XLOOKUP(C108,SEMANA2[COD],SEMANA2[Columna32],"")</f>
        <v>0</v>
      </c>
      <c r="I108" s="295">
        <f>_xlfn.XLOOKUP(C108,SEMANA2[COD],SEMANA2[Columna30],"")</f>
        <v>0</v>
      </c>
      <c r="J108" s="296" t="str">
        <f t="shared" si="19"/>
        <v>0,00</v>
      </c>
      <c r="K108" s="297">
        <f>_xlfn.XLOOKUP(C108,SEMANA2[COD],SEMANA2[Columna32],"")</f>
        <v>0</v>
      </c>
      <c r="L108" s="297">
        <f>_xlfn.XLOOKUP(C108,SEMANA2[COD],SEMANA2[Columna34],"")</f>
        <v>0</v>
      </c>
      <c r="M108" s="298" t="str">
        <f t="shared" si="20"/>
        <v>0,00</v>
      </c>
      <c r="N108" s="299">
        <f>_xlfn.XLOOKUP(C108,SEMANA2[COD],SEMANA2[Columna36],"")</f>
        <v>0</v>
      </c>
      <c r="O108" s="299">
        <f>_xlfn.XLOOKUP(C108,SEMANA2[COD],SEMANA2[Columna37],"")</f>
        <v>0</v>
      </c>
      <c r="P108" s="300" t="str">
        <f t="shared" si="21"/>
        <v>0,00</v>
      </c>
      <c r="Q108" s="301">
        <f>_xlfn.XLOOKUP(C108,SEMANA2[COD],SEMANA2[Columna1],"")</f>
        <v>0</v>
      </c>
      <c r="R108" s="3"/>
      <c r="U108" s="388" t="str">
        <v>COD 49</v>
      </c>
      <c r="V108" s="388" t="str">
        <f t="shared" si="22"/>
        <v>COD 49</v>
      </c>
    </row>
    <row r="109" spans="1:22" s="388" customFormat="1" ht="23.1" customHeight="1" outlineLevel="2" x14ac:dyDescent="0.35">
      <c r="A109" s="290"/>
      <c r="B109" s="304">
        <f t="shared" si="23"/>
        <v>50</v>
      </c>
      <c r="C109" s="543" t="str">
        <v>COD 50</v>
      </c>
      <c r="D109" s="292">
        <f>_xlfn.XLOOKUP(C109,CODIGOS_Y_PAGOS[CODIGO],CODIGOS_Y_PAGOS[NOMBRE PARTICIPANTE],"")</f>
        <v>0</v>
      </c>
      <c r="E109" s="293">
        <f>_xlfn.XLOOKUP($C109,SEMANA2[COD],SEMANA2[Columna14],"")</f>
        <v>0</v>
      </c>
      <c r="F109" s="293">
        <f>_xlfn.XLOOKUP(C109,SEMANA2[COD],SEMANA2[Columna19],"")</f>
        <v>0</v>
      </c>
      <c r="G109" s="294" t="str">
        <f t="shared" si="18"/>
        <v>0,00</v>
      </c>
      <c r="H109" s="295">
        <f>_xlfn.XLOOKUP(C109,SEMANA2[COD],SEMANA2[Columna32],"")</f>
        <v>0</v>
      </c>
      <c r="I109" s="295">
        <f>_xlfn.XLOOKUP(C109,SEMANA2[COD],SEMANA2[Columna30],"")</f>
        <v>0</v>
      </c>
      <c r="J109" s="296" t="str">
        <f t="shared" si="19"/>
        <v>0,00</v>
      </c>
      <c r="K109" s="297">
        <f>_xlfn.XLOOKUP(C109,SEMANA2[COD],SEMANA2[Columna32],"")</f>
        <v>0</v>
      </c>
      <c r="L109" s="297">
        <f>_xlfn.XLOOKUP(C109,SEMANA2[COD],SEMANA2[Columna34],"")</f>
        <v>0</v>
      </c>
      <c r="M109" s="298" t="str">
        <f t="shared" si="20"/>
        <v>0,00</v>
      </c>
      <c r="N109" s="299">
        <f>_xlfn.XLOOKUP(C109,SEMANA2[COD],SEMANA2[Columna36],"")</f>
        <v>0</v>
      </c>
      <c r="O109" s="299">
        <f>_xlfn.XLOOKUP(C109,SEMANA2[COD],SEMANA2[Columna37],"")</f>
        <v>0</v>
      </c>
      <c r="P109" s="300" t="str">
        <f t="shared" si="21"/>
        <v>0,00</v>
      </c>
      <c r="Q109" s="301">
        <f>_xlfn.XLOOKUP(C109,SEMANA2[COD],SEMANA2[Columna1],"")</f>
        <v>0</v>
      </c>
      <c r="R109" s="3"/>
      <c r="U109" s="388" t="str">
        <v>COD 50</v>
      </c>
      <c r="V109" s="388" t="str">
        <f t="shared" si="22"/>
        <v>COD 50</v>
      </c>
    </row>
    <row r="110" spans="1:22" s="311" customFormat="1" ht="12" customHeight="1" outlineLevel="1" x14ac:dyDescent="0.35">
      <c r="A110" s="290"/>
      <c r="B110" s="305"/>
      <c r="C110" s="306"/>
      <c r="D110" s="307"/>
      <c r="E110" s="308"/>
      <c r="F110" s="308"/>
      <c r="G110" s="309"/>
      <c r="H110" s="308"/>
      <c r="I110" s="308"/>
      <c r="J110" s="309"/>
      <c r="K110" s="308"/>
      <c r="L110" s="308"/>
      <c r="M110" s="309"/>
      <c r="N110" s="308"/>
      <c r="O110" s="308"/>
      <c r="P110" s="310"/>
      <c r="Q110" s="305"/>
      <c r="R110" s="3"/>
    </row>
    <row r="111" spans="1:22" ht="21.75" customHeight="1" x14ac:dyDescent="0.25">
      <c r="A111" s="3"/>
      <c r="B111" s="312"/>
      <c r="C111" s="313"/>
      <c r="D111" s="313"/>
      <c r="E111" s="314"/>
      <c r="F111" s="314"/>
      <c r="G111" s="315"/>
      <c r="H111" s="314"/>
      <c r="I111" s="314"/>
      <c r="J111" s="316"/>
      <c r="K111" s="316"/>
      <c r="L111" s="345" t="str">
        <f>'SEM 1'!CG3</f>
        <v>SEMANA 1</v>
      </c>
      <c r="M111" s="356"/>
      <c r="N111" s="314"/>
      <c r="O111" s="314"/>
      <c r="P111" s="317"/>
      <c r="Q111" s="357" t="str">
        <f>+N58</f>
        <v>13/09/2026</v>
      </c>
      <c r="R111" s="3"/>
    </row>
    <row r="112" spans="1:22" ht="22.5" customHeight="1" x14ac:dyDescent="0.25">
      <c r="A112" s="1"/>
      <c r="B112" s="354" t="s">
        <v>298</v>
      </c>
      <c r="C112" s="511"/>
      <c r="D112" s="355"/>
      <c r="E112" s="511"/>
      <c r="F112" s="511"/>
      <c r="G112" s="511"/>
      <c r="H112" s="511"/>
      <c r="I112" s="511"/>
      <c r="J112" s="511"/>
      <c r="K112" s="511"/>
      <c r="L112" s="511"/>
      <c r="M112" s="318"/>
      <c r="N112" s="319"/>
      <c r="O112" s="319"/>
      <c r="P112" s="319"/>
      <c r="Q112" s="320"/>
      <c r="R112" s="3"/>
    </row>
    <row r="113" spans="1:46" s="515" customFormat="1" ht="18" customHeight="1" x14ac:dyDescent="0.25">
      <c r="A113" s="280"/>
      <c r="B113" s="321" t="s">
        <v>9</v>
      </c>
      <c r="C113" s="322"/>
      <c r="D113" s="323" t="s">
        <v>10</v>
      </c>
      <c r="E113" s="512" t="s">
        <v>299</v>
      </c>
      <c r="F113" s="512"/>
      <c r="G113" s="512"/>
      <c r="H113" s="512"/>
      <c r="I113" s="512"/>
      <c r="J113" s="512"/>
      <c r="K113" s="381" t="s">
        <v>300</v>
      </c>
      <c r="L113" s="382"/>
      <c r="M113" s="578"/>
      <c r="N113" s="579"/>
      <c r="O113" s="579"/>
      <c r="P113" s="513"/>
      <c r="Q113" s="324"/>
      <c r="R113" s="3"/>
      <c r="U113" s="515" t="s">
        <v>301</v>
      </c>
      <c r="Y113" s="515" t="s">
        <v>302</v>
      </c>
      <c r="AC113" s="515" t="s">
        <v>303</v>
      </c>
      <c r="AG113" s="515" t="s">
        <v>304</v>
      </c>
      <c r="AK113" s="515" t="s">
        <v>305</v>
      </c>
      <c r="AO113" s="515" t="s">
        <v>306</v>
      </c>
      <c r="AS113" s="515" t="s">
        <v>307</v>
      </c>
    </row>
    <row r="114" spans="1:46" s="388" customFormat="1" ht="23.1" customHeight="1" x14ac:dyDescent="0.35">
      <c r="A114" s="290"/>
      <c r="B114" s="548"/>
      <c r="C114" s="545" t="str">
        <f>U114</f>
        <v>COD 01</v>
      </c>
      <c r="D114" s="352" t="str">
        <f>_xlfn.XLOOKUP(C114,CODIGOS_Y_PAGOS[CODIGO],CODIGOS_Y_PAGOS[NOMBRE PARTICIPANTE],"")</f>
        <v>GANADORES Y PULSO</v>
      </c>
      <c r="E114" s="347" t="s">
        <v>308</v>
      </c>
      <c r="F114" s="347"/>
      <c r="G114" s="347"/>
      <c r="H114" s="347"/>
      <c r="I114" s="347"/>
      <c r="J114" s="379"/>
      <c r="K114" s="546">
        <f>MAX(Q$60:Q$109)</f>
        <v>40.5</v>
      </c>
      <c r="L114" s="547"/>
      <c r="M114" s="358"/>
      <c r="N114" s="358"/>
      <c r="O114" s="359"/>
      <c r="P114" s="359"/>
      <c r="Q114" s="325"/>
      <c r="R114" s="3"/>
      <c r="U114" s="388" t="str">
        <f t="array" ref="U114:V114">_xlfn._xlws.FILTER(C60:D109, Q60:Q109 = MAX(Q60:Q109))</f>
        <v>COD 01</v>
      </c>
      <c r="V114" s="388" t="str">
        <v>GANADORES Y PULSO</v>
      </c>
      <c r="Y114" s="388" t="str">
        <f t="array" ref="Y114:Z114">_xlfn._xlws.FILTER(C60:D109, F60:F109 = MAX(F60:F109))</f>
        <v>COD 08</v>
      </c>
      <c r="Z114" s="388" t="str">
        <v>RUBEN DARIO CARDENAS</v>
      </c>
      <c r="AC114" s="388" t="str">
        <f t="array" ref="AC114:AD115">_xlfn._xlws.FILTER(C60:D109, I60:I109 = MAX(I60:I109))</f>
        <v>COD 02</v>
      </c>
      <c r="AD114" s="388" t="str">
        <v>JESUS QUERALES</v>
      </c>
      <c r="AG114" s="388" t="str">
        <f t="array" ref="AG114:AH115">_xlfn._xlws.FILTER(C60:D109, L60:L109 = MAX(L60:L109))</f>
        <v>COD 01</v>
      </c>
      <c r="AH114" s="388" t="str">
        <v>GANADORES Y PULSO</v>
      </c>
      <c r="AK114" s="388">
        <f t="array" ref="AK114:AL114">_xlfn._xlws.FILTER('SEM 2'!CY27:CZ61, 'SEM 2'!DA27:DA61 = MIN('SEM 2'!DA27:DA62))</f>
        <v>7</v>
      </c>
      <c r="AL114" s="388" t="str">
        <v>COD 30</v>
      </c>
      <c r="AO114" s="388" t="e">
        <f t="array" ref="AO114:AP114">_xlfn._xlws.FILTER('SEM 2'!EI59:EJ61,'SEM 2'!EG59:EG61)</f>
        <v>#VALUE!</v>
      </c>
      <c r="AP114" s="388" t="e">
        <v>#VALUE!</v>
      </c>
      <c r="AS114" s="388" t="e">
        <f t="array" ref="AS114:AT114">_xlfn._xlws.FILTER('SEM 2'!DQ59:DR61,'SEM 2'!DO59:DO61)</f>
        <v>#VALUE!</v>
      </c>
      <c r="AT114" s="388" t="e">
        <v>#VALUE!</v>
      </c>
    </row>
    <row r="115" spans="1:46" s="388" customFormat="1" ht="23.1" customHeight="1" outlineLevel="1" x14ac:dyDescent="0.35">
      <c r="A115" s="290"/>
      <c r="B115" s="548"/>
      <c r="C115" s="545">
        <f>U115</f>
        <v>0</v>
      </c>
      <c r="D115" s="352" t="str">
        <f>_xlfn.XLOOKUP(C115,CODIGOS_Y_PAGOS[CODIGO],CODIGOS_Y_PAGOS[NOMBRE PARTICIPANTE],"")</f>
        <v/>
      </c>
      <c r="E115" s="347" t="s">
        <v>308</v>
      </c>
      <c r="F115" s="347"/>
      <c r="G115" s="347"/>
      <c r="H115" s="347"/>
      <c r="I115" s="347"/>
      <c r="J115" s="379"/>
      <c r="K115" s="546" t="str">
        <f>_xlfn.XLOOKUP(C115,'SEM 2'!$C$8:$C$57,'SEM 2'!$CS$8:$CS$57,"")</f>
        <v/>
      </c>
      <c r="L115" s="547"/>
      <c r="M115" s="358"/>
      <c r="N115" s="358"/>
      <c r="O115" s="359"/>
      <c r="P115" s="359"/>
      <c r="Q115" s="325"/>
      <c r="R115" s="3"/>
      <c r="AC115" s="388" t="str">
        <v>COD 10</v>
      </c>
      <c r="AD115" s="388" t="str">
        <v>JESUS CARAYACA</v>
      </c>
      <c r="AG115" s="388" t="str">
        <v>COD 05</v>
      </c>
      <c r="AH115" s="388" t="str">
        <v>MARCOS HIDALGO</v>
      </c>
    </row>
    <row r="116" spans="1:46" s="388" customFormat="1" ht="23.1" customHeight="1" outlineLevel="1" x14ac:dyDescent="0.35">
      <c r="A116" s="290"/>
      <c r="B116" s="548"/>
      <c r="C116" s="545">
        <f>U116</f>
        <v>0</v>
      </c>
      <c r="D116" s="352" t="str">
        <f>_xlfn.XLOOKUP(C116,CODIGOS_Y_PAGOS[CODIGO],CODIGOS_Y_PAGOS[NOMBRE PARTICIPANTE],"")</f>
        <v/>
      </c>
      <c r="E116" s="347" t="s">
        <v>308</v>
      </c>
      <c r="F116" s="347"/>
      <c r="G116" s="347"/>
      <c r="H116" s="347"/>
      <c r="I116" s="347"/>
      <c r="J116" s="379"/>
      <c r="K116" s="546" t="str">
        <f>_xlfn.XLOOKUP(C116,'SEM 2'!$C$8:$C$57,'SEM 2'!$CS$8:$CS$57,"")</f>
        <v/>
      </c>
      <c r="L116" s="549"/>
      <c r="M116" s="358"/>
      <c r="N116" s="358"/>
      <c r="O116" s="359"/>
      <c r="P116" s="359"/>
      <c r="Q116" s="325"/>
      <c r="R116" s="3"/>
    </row>
    <row r="117" spans="1:46" s="388" customFormat="1" ht="23.1" customHeight="1" x14ac:dyDescent="0.35">
      <c r="A117" s="290"/>
      <c r="B117" s="550"/>
      <c r="C117" s="551" t="str">
        <f>Y114</f>
        <v>COD 08</v>
      </c>
      <c r="D117" s="352" t="str">
        <f>_xlfn.XLOOKUP(C117,CODIGOS_Y_PAGOS[CODIGO],CODIGOS_Y_PAGOS[NOMBRE PARTICIPANTE],"")</f>
        <v>RUBEN DARIO CARDENAS</v>
      </c>
      <c r="E117" s="347" t="s">
        <v>309</v>
      </c>
      <c r="F117" s="347"/>
      <c r="G117" s="347"/>
      <c r="H117" s="347"/>
      <c r="I117" s="347"/>
      <c r="J117" s="379"/>
      <c r="K117" s="462">
        <f>_xlfn.XLOOKUP(C117,'SEM 2'!$C$8:$C$57,'SEM 2'!$CH$8:$CH$57,"")</f>
        <v>7</v>
      </c>
      <c r="L117" s="547"/>
      <c r="M117" s="358"/>
      <c r="N117" s="358"/>
      <c r="O117" s="359"/>
      <c r="P117" s="359"/>
      <c r="Q117" s="325"/>
      <c r="R117" s="3"/>
    </row>
    <row r="118" spans="1:46" s="388" customFormat="1" ht="23.1" customHeight="1" outlineLevel="1" x14ac:dyDescent="0.35">
      <c r="A118" s="290"/>
      <c r="B118" s="550"/>
      <c r="C118" s="551">
        <f>Y115</f>
        <v>0</v>
      </c>
      <c r="D118" s="352" t="str">
        <f>_xlfn.XLOOKUP(C118,CODIGOS_Y_PAGOS[CODIGO],CODIGOS_Y_PAGOS[NOMBRE PARTICIPANTE],"")</f>
        <v/>
      </c>
      <c r="E118" s="347" t="s">
        <v>309</v>
      </c>
      <c r="F118" s="347"/>
      <c r="G118" s="347"/>
      <c r="H118" s="347"/>
      <c r="I118" s="347"/>
      <c r="J118" s="379"/>
      <c r="K118" s="462" t="str">
        <f>_xlfn.XLOOKUP(C118,'SEM 2'!$C$8:$C$57,'SEM 2'!$CH$8:$CH$57,"")</f>
        <v/>
      </c>
      <c r="L118" s="549"/>
      <c r="M118" s="358"/>
      <c r="N118" s="358"/>
      <c r="O118" s="359"/>
      <c r="P118" s="359"/>
      <c r="Q118" s="325"/>
      <c r="R118" s="3"/>
    </row>
    <row r="119" spans="1:46" s="388" customFormat="1" ht="23.1" customHeight="1" outlineLevel="1" x14ac:dyDescent="0.35">
      <c r="A119" s="290"/>
      <c r="B119" s="550"/>
      <c r="C119" s="551">
        <f>Y116</f>
        <v>0</v>
      </c>
      <c r="D119" s="352" t="str">
        <f>_xlfn.XLOOKUP(C119,CODIGOS_Y_PAGOS[CODIGO],CODIGOS_Y_PAGOS[NOMBRE PARTICIPANTE],"")</f>
        <v/>
      </c>
      <c r="E119" s="347" t="s">
        <v>309</v>
      </c>
      <c r="F119" s="347"/>
      <c r="G119" s="347"/>
      <c r="H119" s="347"/>
      <c r="I119" s="347"/>
      <c r="J119" s="379"/>
      <c r="K119" s="462" t="str">
        <f>_xlfn.XLOOKUP(C119,'SEM 2'!$C$8:$C$57,'SEM 2'!$CH$8:$CH$57,"")</f>
        <v/>
      </c>
      <c r="L119" s="549"/>
      <c r="M119" s="358"/>
      <c r="N119" s="358"/>
      <c r="O119" s="359"/>
      <c r="P119" s="359"/>
      <c r="Q119" s="325"/>
      <c r="R119" s="3"/>
    </row>
    <row r="120" spans="1:46" s="388" customFormat="1" ht="23.1" customHeight="1" x14ac:dyDescent="0.35">
      <c r="A120" s="290"/>
      <c r="B120" s="550"/>
      <c r="C120" s="551" t="str">
        <f>AC114</f>
        <v>COD 02</v>
      </c>
      <c r="D120" s="352" t="str">
        <f>_xlfn.XLOOKUP(C120,CODIGOS_Y_PAGOS[CODIGO],CODIGOS_Y_PAGOS[NOMBRE PARTICIPANTE],"")</f>
        <v>JESUS QUERALES</v>
      </c>
      <c r="E120" s="347" t="s">
        <v>310</v>
      </c>
      <c r="F120" s="347"/>
      <c r="G120" s="347"/>
      <c r="H120" s="347"/>
      <c r="I120" s="347"/>
      <c r="J120" s="379"/>
      <c r="K120" s="462">
        <f>_xlfn.XLOOKUP(C120,'SEM 2'!$C$8:$C$57,'SEM 2'!$CK$8:$CK$57,"")</f>
        <v>9</v>
      </c>
      <c r="L120" s="547"/>
      <c r="M120" s="358"/>
      <c r="N120" s="358"/>
      <c r="O120" s="359"/>
      <c r="P120" s="359"/>
      <c r="Q120" s="325"/>
      <c r="R120" s="3"/>
    </row>
    <row r="121" spans="1:46" s="388" customFormat="1" ht="23.1" customHeight="1" x14ac:dyDescent="0.35">
      <c r="A121" s="290"/>
      <c r="B121" s="550"/>
      <c r="C121" s="551" t="str">
        <f>AC115</f>
        <v>COD 10</v>
      </c>
      <c r="D121" s="352" t="str">
        <f>_xlfn.XLOOKUP(C121,CODIGOS_Y_PAGOS[CODIGO],CODIGOS_Y_PAGOS[NOMBRE PARTICIPANTE],"")</f>
        <v>JESUS CARAYACA</v>
      </c>
      <c r="E121" s="347" t="s">
        <v>310</v>
      </c>
      <c r="F121" s="347"/>
      <c r="G121" s="347"/>
      <c r="H121" s="347"/>
      <c r="I121" s="347"/>
      <c r="J121" s="379"/>
      <c r="K121" s="462">
        <f>_xlfn.XLOOKUP(C121,'SEM 2'!$C$8:$C$57,'SEM 2'!$CK$8:$CK$57,"")</f>
        <v>9</v>
      </c>
      <c r="L121" s="383"/>
      <c r="M121" s="358"/>
      <c r="N121" s="358"/>
      <c r="O121" s="359"/>
      <c r="P121" s="359"/>
      <c r="Q121" s="325"/>
      <c r="R121" s="3"/>
    </row>
    <row r="122" spans="1:46" s="388" customFormat="1" ht="23.1" customHeight="1" outlineLevel="1" x14ac:dyDescent="0.35">
      <c r="A122" s="290"/>
      <c r="B122" s="550"/>
      <c r="C122" s="551">
        <f>AC116</f>
        <v>0</v>
      </c>
      <c r="D122" s="352" t="str">
        <f>_xlfn.XLOOKUP(C122,CODIGOS_Y_PAGOS[CODIGO],CODIGOS_Y_PAGOS[NOMBRE PARTICIPANTE],"")</f>
        <v/>
      </c>
      <c r="E122" s="347" t="s">
        <v>310</v>
      </c>
      <c r="F122" s="347"/>
      <c r="G122" s="347"/>
      <c r="H122" s="347"/>
      <c r="I122" s="347"/>
      <c r="J122" s="379"/>
      <c r="K122" s="462" t="str">
        <f>_xlfn.XLOOKUP(C122,'SEM 2'!$C$8:$C$57,'SEM 2'!$CK$8:$CK$57,"")</f>
        <v/>
      </c>
      <c r="L122" s="383"/>
      <c r="M122" s="358"/>
      <c r="N122" s="358"/>
      <c r="O122" s="359"/>
      <c r="P122" s="359"/>
      <c r="Q122" s="325"/>
      <c r="R122" s="3"/>
    </row>
    <row r="123" spans="1:46" s="388" customFormat="1" ht="23.1" customHeight="1" x14ac:dyDescent="0.35">
      <c r="A123" s="290"/>
      <c r="B123" s="550"/>
      <c r="C123" s="551" t="str">
        <f>AG114</f>
        <v>COD 01</v>
      </c>
      <c r="D123" s="352" t="str">
        <f>_xlfn.XLOOKUP(C123,CODIGOS_Y_PAGOS[CODIGO],CODIGOS_Y_PAGOS[NOMBRE PARTICIPANTE],"")</f>
        <v>GANADORES Y PULSO</v>
      </c>
      <c r="E123" s="347" t="s">
        <v>311</v>
      </c>
      <c r="F123" s="348"/>
      <c r="G123" s="348"/>
      <c r="H123" s="348"/>
      <c r="I123" s="348"/>
      <c r="J123" s="380"/>
      <c r="K123" s="462">
        <f>_xlfn.XLOOKUP(C123,'SEM 2'!$C$8:$C$57,'SEM 2'!$CN$8:$CN$57,"")</f>
        <v>11</v>
      </c>
      <c r="L123" s="547"/>
      <c r="M123" s="360"/>
      <c r="N123" s="360"/>
      <c r="O123" s="361"/>
      <c r="P123" s="361"/>
      <c r="Q123" s="362"/>
      <c r="R123" s="3"/>
    </row>
    <row r="124" spans="1:46" s="388" customFormat="1" ht="23.1" customHeight="1" x14ac:dyDescent="0.35">
      <c r="A124" s="290"/>
      <c r="B124" s="550"/>
      <c r="C124" s="551" t="str">
        <f>AG115</f>
        <v>COD 05</v>
      </c>
      <c r="D124" s="352" t="str">
        <f>_xlfn.XLOOKUP(C124,CODIGOS_Y_PAGOS[CODIGO],CODIGOS_Y_PAGOS[NOMBRE PARTICIPANTE],"")</f>
        <v>MARCOS HIDALGO</v>
      </c>
      <c r="E124" s="347" t="s">
        <v>311</v>
      </c>
      <c r="F124" s="348"/>
      <c r="G124" s="348"/>
      <c r="H124" s="348"/>
      <c r="I124" s="348"/>
      <c r="J124" s="380"/>
      <c r="K124" s="462">
        <f>_xlfn.XLOOKUP(C124,'SEM 2'!$C$8:$C$57,'SEM 2'!$CN$8:$CN$57,"")</f>
        <v>11</v>
      </c>
      <c r="L124" s="398"/>
      <c r="M124" s="358"/>
      <c r="N124" s="358"/>
      <c r="O124" s="359"/>
      <c r="P124" s="359"/>
      <c r="Q124" s="325"/>
      <c r="R124" s="3"/>
    </row>
    <row r="125" spans="1:46" s="388" customFormat="1" ht="23.1" customHeight="1" outlineLevel="1" x14ac:dyDescent="0.35">
      <c r="A125" s="290"/>
      <c r="B125" s="550"/>
      <c r="C125" s="551">
        <f>AG116</f>
        <v>0</v>
      </c>
      <c r="D125" s="352" t="str">
        <f>_xlfn.XLOOKUP(C125,CODIGOS_Y_PAGOS[CODIGO],CODIGOS_Y_PAGOS[NOMBRE PARTICIPANTE],"")</f>
        <v/>
      </c>
      <c r="E125" s="347" t="s">
        <v>311</v>
      </c>
      <c r="F125" s="348"/>
      <c r="G125" s="348"/>
      <c r="H125" s="348"/>
      <c r="I125" s="348"/>
      <c r="J125" s="380"/>
      <c r="K125" s="462" t="str">
        <f>_xlfn.XLOOKUP(C125,'SEM 2'!$C$8:$C$57,'SEM 2'!$CN$8:$CN$57,"")</f>
        <v/>
      </c>
      <c r="L125" s="383"/>
      <c r="M125" s="358"/>
      <c r="N125" s="358"/>
      <c r="O125" s="359"/>
      <c r="P125" s="359"/>
      <c r="Q125" s="325"/>
      <c r="R125" s="3"/>
    </row>
    <row r="126" spans="1:46" s="388" customFormat="1" ht="23.1" customHeight="1" x14ac:dyDescent="0.35">
      <c r="A126" s="290"/>
      <c r="B126" s="550"/>
      <c r="C126" s="551" t="str">
        <f>AL114</f>
        <v>COD 30</v>
      </c>
      <c r="D126" s="352" t="str">
        <f>_xlfn.XLOOKUP(C126,CODIGOS_Y_PAGOS[CODIGO],CODIGOS_Y_PAGOS[NOMBRE PARTICIPANTE],"")</f>
        <v>CARIACO</v>
      </c>
      <c r="E126" s="576" t="s">
        <v>312</v>
      </c>
      <c r="F126" s="556"/>
      <c r="G126" s="556"/>
      <c r="H126" s="556"/>
      <c r="I126" s="556"/>
      <c r="J126" s="577"/>
      <c r="K126" s="459">
        <f>IF(D126="","",'SEM 2'!$CZ$24)</f>
        <v>1046.8399999999999</v>
      </c>
      <c r="L126" s="547"/>
      <c r="M126" s="552">
        <f>AK114</f>
        <v>7</v>
      </c>
      <c r="N126" s="363">
        <f>IF(M126="","",'SEM 2'!$DA$25)</f>
        <v>9</v>
      </c>
      <c r="O126" s="460">
        <f t="array" ref="O126">_xlfn._xlws.FILTER('[1]ALFABETICO SEM'!$M$1:$M$196, ('[1]ALFABETICO SEM'!$L$1:$L$196 = $M$126) * ('[1]ALFABETICO SEM'!$N$1:$N$196 = N126), " - ")</f>
        <v>0</v>
      </c>
      <c r="P126" s="385"/>
      <c r="Q126" s="386"/>
      <c r="R126" s="3"/>
      <c r="T126" s="460" t="s">
        <v>328</v>
      </c>
      <c r="U126" s="385"/>
      <c r="V126" s="386"/>
    </row>
    <row r="127" spans="1:46" s="388" customFormat="1" ht="23.1" customHeight="1" outlineLevel="1" x14ac:dyDescent="0.35">
      <c r="A127" s="290"/>
      <c r="B127" s="550"/>
      <c r="C127" s="551">
        <f>AL115</f>
        <v>0</v>
      </c>
      <c r="D127" s="352" t="str">
        <f>_xlfn.XLOOKUP(C127,CODIGOS_Y_PAGOS[CODIGO],CODIGOS_Y_PAGOS[NOMBRE PARTICIPANTE],"")</f>
        <v/>
      </c>
      <c r="E127" s="576" t="s">
        <v>312</v>
      </c>
      <c r="F127" s="556"/>
      <c r="G127" s="556"/>
      <c r="H127" s="556"/>
      <c r="I127" s="556"/>
      <c r="J127" s="577"/>
      <c r="K127" s="459" t="str">
        <f>IF(D127="","",'SEM 2'!$CZ$24)</f>
        <v/>
      </c>
      <c r="L127" s="547"/>
      <c r="M127" s="552" t="str">
        <f>IF(D127="","",'SEM 1'!$CZ$25)</f>
        <v/>
      </c>
      <c r="N127" s="363" t="str">
        <f>IF(M127="","",'SEM 1'!$DA$25)</f>
        <v/>
      </c>
      <c r="O127" s="460" t="str">
        <f t="array" ref="O127">_xlfn._xlws.FILTER('[1]ALFABETICO SEM'!$M$1:$M$196, ('[1]ALFABETICO SEM'!$L$1:$L$196 = $M$126) * ('[1]ALFABETICO SEM'!$N$1:$N$196 = N127), " - ")</f>
        <v xml:space="preserve"> - </v>
      </c>
      <c r="P127" s="385"/>
      <c r="Q127" s="386"/>
      <c r="R127" s="3"/>
      <c r="T127" s="460" t="s">
        <v>329</v>
      </c>
      <c r="U127" s="385"/>
      <c r="V127" s="386"/>
    </row>
    <row r="128" spans="1:46" s="388" customFormat="1" ht="23.1" customHeight="1" outlineLevel="1" x14ac:dyDescent="0.35">
      <c r="A128" s="290"/>
      <c r="B128" s="550"/>
      <c r="C128" s="551">
        <f>AL116</f>
        <v>0</v>
      </c>
      <c r="D128" s="352" t="str">
        <f>_xlfn.XLOOKUP(C128,CODIGOS_Y_PAGOS[CODIGO],CODIGOS_Y_PAGOS[NOMBRE PARTICIPANTE],"")</f>
        <v/>
      </c>
      <c r="E128" s="576" t="s">
        <v>312</v>
      </c>
      <c r="F128" s="556"/>
      <c r="G128" s="556"/>
      <c r="H128" s="556"/>
      <c r="I128" s="556"/>
      <c r="J128" s="577"/>
      <c r="K128" s="459" t="str">
        <f>IF(D128="","",'SEM 2'!$CZ$24)</f>
        <v/>
      </c>
      <c r="L128" s="547"/>
      <c r="M128" s="552" t="str">
        <f>IF(D128="","",'SEM 1'!$CZ$25)</f>
        <v/>
      </c>
      <c r="N128" s="363" t="str">
        <f>IF(M128="","",'SEM 1'!$DA$25)</f>
        <v/>
      </c>
      <c r="O128" s="460" t="str">
        <f t="array" ref="O128">_xlfn._xlws.FILTER('[1]ALFABETICO SEM'!$M$1:$M$196, ('[1]ALFABETICO SEM'!$L$1:$L$196 = $M$126) * ('[1]ALFABETICO SEM'!$N$1:$N$196 = N128), " - ")</f>
        <v xml:space="preserve"> - </v>
      </c>
      <c r="P128" s="385"/>
      <c r="Q128" s="386"/>
      <c r="R128" s="3"/>
      <c r="T128" s="460" t="s">
        <v>329</v>
      </c>
      <c r="U128" s="385"/>
      <c r="V128" s="386"/>
    </row>
    <row r="129" spans="1:22" s="388" customFormat="1" ht="23.1" customHeight="1" outlineLevel="1" x14ac:dyDescent="0.35">
      <c r="A129" s="290"/>
      <c r="B129" s="550"/>
      <c r="C129" s="551"/>
      <c r="D129" s="352" t="str">
        <f>_xlfn.XLOOKUP(C129,CODIGOS_Y_PAGOS[CODIGO],CODIGOS_Y_PAGOS[NOMBRE PARTICIPANTE],"")</f>
        <v/>
      </c>
      <c r="E129" s="576" t="s">
        <v>314</v>
      </c>
      <c r="F129" s="556"/>
      <c r="G129" s="556"/>
      <c r="H129" s="556"/>
      <c r="I129" s="556"/>
      <c r="J129" s="577"/>
      <c r="K129" s="546"/>
      <c r="L129" s="547"/>
      <c r="M129" s="552"/>
      <c r="N129" s="363"/>
      <c r="O129" s="365"/>
      <c r="P129" s="364"/>
      <c r="Q129" s="366"/>
      <c r="R129" s="3"/>
      <c r="T129" s="365"/>
      <c r="U129" s="364"/>
      <c r="V129" s="366"/>
    </row>
    <row r="130" spans="1:22" s="388" customFormat="1" ht="23.1" customHeight="1" outlineLevel="1" x14ac:dyDescent="0.35">
      <c r="A130" s="290"/>
      <c r="B130" s="550"/>
      <c r="C130" s="551"/>
      <c r="D130" s="352" t="str">
        <f>_xlfn.XLOOKUP(C130,CODIGOS_Y_PAGOS[CODIGO],CODIGOS_Y_PAGOS[NOMBRE PARTICIPANTE],"")</f>
        <v/>
      </c>
      <c r="E130" s="576" t="s">
        <v>314</v>
      </c>
      <c r="F130" s="556"/>
      <c r="G130" s="556"/>
      <c r="H130" s="556"/>
      <c r="I130" s="556"/>
      <c r="J130" s="577"/>
      <c r="K130" s="546"/>
      <c r="L130" s="547"/>
      <c r="M130" s="552"/>
      <c r="N130" s="363"/>
      <c r="O130" s="384"/>
      <c r="P130" s="385"/>
      <c r="Q130" s="386"/>
      <c r="R130" s="3"/>
      <c r="T130" s="384"/>
      <c r="U130" s="385"/>
      <c r="V130" s="386"/>
    </row>
    <row r="131" spans="1:22" s="388" customFormat="1" ht="23.1" customHeight="1" outlineLevel="1" x14ac:dyDescent="0.35">
      <c r="A131" s="290"/>
      <c r="B131" s="550"/>
      <c r="C131" s="551"/>
      <c r="D131" s="352" t="str">
        <f>_xlfn.XLOOKUP(C131,CODIGOS_Y_PAGOS[CODIGO],CODIGOS_Y_PAGOS[NOMBRE PARTICIPANTE],"")</f>
        <v/>
      </c>
      <c r="E131" s="576" t="s">
        <v>314</v>
      </c>
      <c r="F131" s="556"/>
      <c r="G131" s="556"/>
      <c r="H131" s="556"/>
      <c r="I131" s="556"/>
      <c r="J131" s="577"/>
      <c r="K131" s="546"/>
      <c r="L131" s="547"/>
      <c r="M131" s="552"/>
      <c r="N131" s="363"/>
      <c r="O131" s="365"/>
      <c r="P131" s="364"/>
      <c r="Q131" s="366"/>
      <c r="R131" s="3"/>
      <c r="T131" s="365"/>
      <c r="U131" s="364"/>
      <c r="V131" s="366"/>
    </row>
    <row r="132" spans="1:22" s="388" customFormat="1" ht="23.1" customHeight="1" x14ac:dyDescent="0.35">
      <c r="A132" s="290"/>
      <c r="B132" s="550"/>
      <c r="C132" s="551" t="e">
        <f>AO114</f>
        <v>#VALUE!</v>
      </c>
      <c r="D132" s="352" t="e">
        <f>_xlfn.XLOOKUP(C132,CODIGOS_Y_PAGOS[CODIGO],CODIGOS_Y_PAGOS[NOMBRE PARTICIPANTE],"")</f>
        <v>#VALUE!</v>
      </c>
      <c r="E132" s="576" t="s">
        <v>315</v>
      </c>
      <c r="F132" s="556"/>
      <c r="G132" s="556"/>
      <c r="H132" s="556"/>
      <c r="I132" s="556"/>
      <c r="J132" s="577"/>
      <c r="K132" s="459" t="e">
        <f>IF(D132="","",'SEM 2'!EH59)</f>
        <v>#VALUE!</v>
      </c>
      <c r="L132" s="547"/>
      <c r="M132" s="552" t="e">
        <f>IF(D132="","",'SEM 2'!EJ59)</f>
        <v>#VALUE!</v>
      </c>
      <c r="N132" s="363" t="e">
        <f>IF(M132="","",'SEM 2'!$EG$59)</f>
        <v>#VALUE!</v>
      </c>
      <c r="O132" s="460" t="e">
        <f t="array" ref="O132">_xlfn._xlws.FILTER('[1]ALFABETICO SEM'!$M$1:$M$196, ('[1]ALFABETICO SEM'!$L$1:$L$196 = $M$132) * ('[1]ALFABETICO SEM'!$N$1:$N$196 = N132), " - ")</f>
        <v>#VALUE!</v>
      </c>
      <c r="P132" s="385"/>
      <c r="Q132" s="386"/>
      <c r="R132" s="3"/>
      <c r="T132" s="460" t="s">
        <v>330</v>
      </c>
      <c r="U132" s="385"/>
      <c r="V132" s="386"/>
    </row>
    <row r="133" spans="1:22" s="388" customFormat="1" ht="23.1" customHeight="1" outlineLevel="1" x14ac:dyDescent="0.35">
      <c r="A133" s="290"/>
      <c r="B133" s="550"/>
      <c r="C133" s="551">
        <f>AO115</f>
        <v>0</v>
      </c>
      <c r="D133" s="352" t="str">
        <f>_xlfn.XLOOKUP(C133,CODIGOS_Y_PAGOS[CODIGO],CODIGOS_Y_PAGOS[NOMBRE PARTICIPANTE],"")</f>
        <v/>
      </c>
      <c r="E133" s="576" t="s">
        <v>315</v>
      </c>
      <c r="F133" s="556"/>
      <c r="G133" s="556"/>
      <c r="H133" s="556"/>
      <c r="I133" s="556"/>
      <c r="J133" s="577"/>
      <c r="K133" s="459" t="str">
        <f>IF(D133="","",'SEM 2'!EH60)</f>
        <v/>
      </c>
      <c r="L133" s="547"/>
      <c r="M133" s="552" t="str">
        <f>IF(D133="","",'SEM 2'!EJ60)</f>
        <v/>
      </c>
      <c r="N133" s="363" t="str">
        <f>IF(M133="","",'SEM 2'!$EG$59)</f>
        <v/>
      </c>
      <c r="O133" s="460" t="e">
        <f t="array" ref="O133">_xlfn._xlws.FILTER('[1]ALFABETICO SEM'!$M$1:$M$196, ('[1]ALFABETICO SEM'!$L$1:$L$196 = $M$132) * ('[1]ALFABETICO SEM'!$N$1:$N$196 = N133), " - ")</f>
        <v>#VALUE!</v>
      </c>
      <c r="P133" s="364"/>
      <c r="Q133" s="366"/>
      <c r="R133" s="3"/>
      <c r="T133" s="460" t="s">
        <v>329</v>
      </c>
      <c r="U133" s="364"/>
      <c r="V133" s="366"/>
    </row>
    <row r="134" spans="1:22" s="388" customFormat="1" ht="23.1" customHeight="1" outlineLevel="1" x14ac:dyDescent="0.35">
      <c r="A134" s="290"/>
      <c r="B134" s="550"/>
      <c r="C134" s="551">
        <f>AO116</f>
        <v>0</v>
      </c>
      <c r="D134" s="352" t="str">
        <f>_xlfn.XLOOKUP(C134,CODIGOS_Y_PAGOS[CODIGO],CODIGOS_Y_PAGOS[NOMBRE PARTICIPANTE],"")</f>
        <v/>
      </c>
      <c r="E134" s="576" t="s">
        <v>315</v>
      </c>
      <c r="F134" s="556"/>
      <c r="G134" s="556"/>
      <c r="H134" s="556"/>
      <c r="I134" s="556"/>
      <c r="J134" s="577"/>
      <c r="K134" s="459" t="str">
        <f>IF(D134="","",'SEM 2'!EH61)</f>
        <v/>
      </c>
      <c r="L134" s="547"/>
      <c r="M134" s="552" t="str">
        <f>IF(D134="","",'SEM 2'!EJ61)</f>
        <v/>
      </c>
      <c r="N134" s="363" t="str">
        <f>IF(M134="","",'SEM 2'!$EG$59)</f>
        <v/>
      </c>
      <c r="O134" s="460" t="e">
        <f t="array" ref="O134">_xlfn._xlws.FILTER('[1]ALFABETICO SEM'!$M$1:$M$196, ('[1]ALFABETICO SEM'!$L$1:$L$196 = $M$132) * ('[1]ALFABETICO SEM'!$N$1:$N$196 = N134), " - ")</f>
        <v>#VALUE!</v>
      </c>
      <c r="P134" s="385"/>
      <c r="Q134" s="386"/>
      <c r="R134" s="3"/>
      <c r="T134" s="460" t="s">
        <v>329</v>
      </c>
      <c r="U134" s="385"/>
      <c r="V134" s="386"/>
    </row>
    <row r="135" spans="1:22" s="388" customFormat="1" ht="23.1" customHeight="1" x14ac:dyDescent="0.35">
      <c r="A135" s="290"/>
      <c r="B135" s="550"/>
      <c r="C135" s="551" t="str">
        <f>'SEM 2'!DQ59</f>
        <v>COD 38</v>
      </c>
      <c r="D135" s="352" t="str">
        <f>_xlfn.XLOOKUP(C135,CODIGOS_Y_PAGOS[CODIGO],CODIGOS_Y_PAGOS[NOMBRE PARTICIPANTE],"")</f>
        <v>DERVIN</v>
      </c>
      <c r="E135" s="576" t="s">
        <v>317</v>
      </c>
      <c r="F135" s="556"/>
      <c r="G135" s="556"/>
      <c r="H135" s="556"/>
      <c r="I135" s="556"/>
      <c r="J135" s="577"/>
      <c r="K135" s="459" t="e">
        <f>IF(D135="","",'SEM 2'!DP59)</f>
        <v>#VALUE!</v>
      </c>
      <c r="L135" s="547"/>
      <c r="M135" s="552" t="e">
        <f>IF(D135="","",'SEM 2'!DR59)</f>
        <v>#VALUE!</v>
      </c>
      <c r="N135" s="363" t="e">
        <f>IF(M135="","",'SEM 2'!$DO$59)</f>
        <v>#VALUE!</v>
      </c>
      <c r="O135" s="460" t="e">
        <f t="array" ref="O135">_xlfn._xlws.FILTER('[1]ALFABETICO SEM'!$M$1:$M$196, ('[1]ALFABETICO SEM'!$L$1:$L$196 = $M$135) * ('[1]ALFABETICO SEM'!$N$1:$N$196 = N135), " - ")</f>
        <v>#VALUE!</v>
      </c>
      <c r="P135" s="367"/>
      <c r="Q135" s="368"/>
      <c r="R135" s="3"/>
      <c r="T135" s="460" t="s">
        <v>331</v>
      </c>
      <c r="U135" s="367"/>
      <c r="V135" s="368"/>
    </row>
    <row r="136" spans="1:22" ht="23.1" customHeight="1" outlineLevel="2" x14ac:dyDescent="0.25">
      <c r="A136" s="3"/>
      <c r="B136" s="550"/>
      <c r="C136" s="551">
        <f>'SEM 2'!DQ60</f>
        <v>0</v>
      </c>
      <c r="D136" s="352" t="str">
        <f>_xlfn.XLOOKUP(C136,CODIGOS_Y_PAGOS[CODIGO],CODIGOS_Y_PAGOS[NOMBRE PARTICIPANTE],"")</f>
        <v/>
      </c>
      <c r="E136" s="576" t="s">
        <v>317</v>
      </c>
      <c r="F136" s="556"/>
      <c r="G136" s="556"/>
      <c r="H136" s="556"/>
      <c r="I136" s="556"/>
      <c r="J136" s="577"/>
      <c r="K136" s="459" t="str">
        <f>IF(D136="","",'SEM 2'!DP60)</f>
        <v/>
      </c>
      <c r="L136" s="547"/>
      <c r="M136" s="552" t="str">
        <f>IF(D136="","",'SEM 2'!DR60)</f>
        <v/>
      </c>
      <c r="N136" s="363" t="str">
        <f>IF(M136="","",'SEM 2'!$DO$59)</f>
        <v/>
      </c>
      <c r="O136" s="460" t="e">
        <f t="array" ref="O136">_xlfn._xlws.FILTER('[1]ALFABETICO SEM'!$M$1:$M$196, ('[1]ALFABETICO SEM'!$L$1:$L$196 = $M$135) * ('[1]ALFABETICO SEM'!$N$1:$N$196 = N136), " - ")</f>
        <v>#VALUE!</v>
      </c>
      <c r="P136" s="385"/>
      <c r="Q136" s="386"/>
      <c r="R136" s="3"/>
    </row>
    <row r="137" spans="1:22" ht="23.1" customHeight="1" outlineLevel="2" x14ac:dyDescent="0.25">
      <c r="A137" s="1"/>
      <c r="B137" s="550"/>
      <c r="C137" s="551">
        <f>'SEM 2'!DQ61</f>
        <v>0</v>
      </c>
      <c r="D137" s="352" t="str">
        <f>_xlfn.XLOOKUP(C137,CODIGOS_Y_PAGOS[CODIGO],CODIGOS_Y_PAGOS[NOMBRE PARTICIPANTE],"")</f>
        <v/>
      </c>
      <c r="E137" s="576" t="s">
        <v>317</v>
      </c>
      <c r="F137" s="556"/>
      <c r="G137" s="556"/>
      <c r="H137" s="556"/>
      <c r="I137" s="556"/>
      <c r="J137" s="577"/>
      <c r="K137" s="459" t="str">
        <f>IF(D137="","",'SEM 2'!DP61)</f>
        <v/>
      </c>
      <c r="L137" s="547"/>
      <c r="M137" s="552" t="str">
        <f>IF(D137="","",'SEM 2'!DR61)</f>
        <v/>
      </c>
      <c r="N137" s="363" t="str">
        <f>IF(M137="","",'SEM 2'!$DO$59)</f>
        <v/>
      </c>
      <c r="O137" s="460" t="e">
        <f t="array" ref="O137">_xlfn._xlws.FILTER('[1]ALFABETICO SEM'!$M$1:$M$196, ('[1]ALFABETICO SEM'!$L$1:$L$196 = $M$135) * ('[1]ALFABETICO SEM'!$N$1:$N$196 = N137), " - ")</f>
        <v>#VALUE!</v>
      </c>
      <c r="P137" s="367"/>
      <c r="Q137" s="368"/>
      <c r="R137" s="3"/>
    </row>
    <row r="138" spans="1:22" s="388" customFormat="1" ht="10.5" customHeight="1" outlineLevel="1" x14ac:dyDescent="0.35">
      <c r="A138" s="290"/>
      <c r="B138" s="326"/>
      <c r="C138" s="3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R138" s="311"/>
    </row>
    <row r="139" spans="1:22" s="388" customFormat="1" ht="21.75" customHeight="1" thickBot="1" x14ac:dyDescent="0.4">
      <c r="A139" s="290"/>
      <c r="B139" s="467"/>
      <c r="C139" s="468"/>
      <c r="D139" s="469" t="str">
        <f>L111</f>
        <v>SEMANA 1</v>
      </c>
      <c r="E139" s="470"/>
      <c r="F139" s="471"/>
      <c r="G139" s="472" t="str">
        <f>+Q111</f>
        <v>13/09/2026</v>
      </c>
      <c r="H139" s="3"/>
      <c r="I139" s="371"/>
      <c r="J139" s="372"/>
      <c r="K139" s="372"/>
      <c r="L139" s="372"/>
      <c r="M139" s="372"/>
      <c r="N139" s="373" t="str">
        <f>D139</f>
        <v>SEMANA 1</v>
      </c>
      <c r="O139" s="373"/>
      <c r="P139" s="372"/>
      <c r="Q139" s="374" t="str">
        <f>+G139</f>
        <v>13/09/2026</v>
      </c>
      <c r="R139" s="311"/>
    </row>
    <row r="140" spans="1:22" s="388" customFormat="1" ht="21" customHeight="1" x14ac:dyDescent="0.35">
      <c r="A140" s="290"/>
      <c r="B140" s="473"/>
      <c r="C140" s="370"/>
      <c r="D140" s="370"/>
      <c r="E140" s="370"/>
      <c r="F140" s="370"/>
      <c r="G140" s="474" t="s">
        <v>319</v>
      </c>
      <c r="H140" s="3"/>
      <c r="I140" s="375"/>
      <c r="J140" s="369"/>
      <c r="K140" s="369"/>
      <c r="L140" s="369"/>
      <c r="M140" s="369"/>
      <c r="N140" s="369"/>
      <c r="O140" s="369"/>
      <c r="P140" s="369"/>
      <c r="Q140" s="376" t="s">
        <v>320</v>
      </c>
      <c r="R140" s="311"/>
    </row>
    <row r="141" spans="1:22" s="388" customFormat="1" ht="23.1" customHeight="1" x14ac:dyDescent="0.35">
      <c r="A141" s="290"/>
      <c r="B141" s="329">
        <v>0</v>
      </c>
      <c r="C141" s="282" t="s">
        <v>9</v>
      </c>
      <c r="D141" s="283" t="s">
        <v>10</v>
      </c>
      <c r="E141" s="330" t="s">
        <v>321</v>
      </c>
      <c r="F141" s="330" t="s">
        <v>322</v>
      </c>
      <c r="G141" s="330" t="s">
        <v>323</v>
      </c>
      <c r="H141" s="290"/>
      <c r="I141" s="377">
        <v>0</v>
      </c>
      <c r="J141" s="331" t="s">
        <v>9</v>
      </c>
      <c r="K141" s="332" t="s">
        <v>10</v>
      </c>
      <c r="L141" s="333"/>
      <c r="M141" s="333"/>
      <c r="N141" s="334"/>
      <c r="O141" s="335" t="s">
        <v>321</v>
      </c>
      <c r="P141" s="330" t="s">
        <v>322</v>
      </c>
      <c r="Q141" s="330" t="s">
        <v>324</v>
      </c>
      <c r="R141" s="311"/>
    </row>
    <row r="142" spans="1:22" s="388" customFormat="1" ht="23.1" customHeight="1" x14ac:dyDescent="0.35">
      <c r="A142" s="290"/>
      <c r="B142" s="302">
        <f t="shared" ref="B142:B151" si="24">+B141+1</f>
        <v>1</v>
      </c>
      <c r="C142" s="553" t="str">
        <f t="array" ref="C142:C191">_xlfn.SORTBY($C$5:$C$54,$L$5:$L$54,-1)</f>
        <v>COD 01</v>
      </c>
      <c r="D142" s="463" t="str">
        <f>_xlfn.XLOOKUP(C142,CODIGOS_Y_PAGOS[CODIGO],CODIGOS_Y_PAGOS[NOMBRE PARTICIPANTE],"")</f>
        <v>GANADORES Y PULSO</v>
      </c>
      <c r="E142" s="336">
        <f t="shared" ref="E142:E173" si="25">_xlfn.XLOOKUP(C142,$C$5:$C$54,$K$5:$K$54)</f>
        <v>27</v>
      </c>
      <c r="F142" s="336">
        <f t="shared" ref="F142:F173" si="26">_xlfn.XLOOKUP(C142,$C$5:$C$54,$L$5:$L$54)</f>
        <v>22</v>
      </c>
      <c r="G142" s="378">
        <f t="shared" ref="G142:G173" si="27">+F142/E142</f>
        <v>0.81481481481481477</v>
      </c>
      <c r="H142" s="311"/>
      <c r="I142" s="302">
        <f t="shared" ref="I142:I151" si="28">+I141+1</f>
        <v>1</v>
      </c>
      <c r="J142" s="553" t="str">
        <f t="array" ref="J142:J191">_xlfn.SORTBY($C$5:$C$54,$P$5:$P$54,-1)</f>
        <v>COD 23</v>
      </c>
      <c r="K142" s="463" t="str">
        <f>_xlfn.XLOOKUP(J142,CODIGOS_Y_PAGOS[CODIGO],CODIGOS_Y_PAGOS[NOMBRE PARTICIPANTE],"")</f>
        <v>GILBERT</v>
      </c>
      <c r="L142" s="338"/>
      <c r="M142" s="338"/>
      <c r="N142" s="339"/>
      <c r="O142" s="340">
        <f t="shared" ref="O142:O151" si="29">_xlfn.XLOOKUP(J142,$C$5:$C$54,$N$5:$N$54)</f>
        <v>6</v>
      </c>
      <c r="P142" s="340">
        <f t="shared" ref="P142:P151" si="30">_xlfn.XLOOKUP(J142,$C$5:$C$54,$O$5:$O$54)</f>
        <v>5</v>
      </c>
      <c r="Q142" s="378">
        <f t="shared" ref="Q142:Q151" si="31">+P142/O142</f>
        <v>0.83333333333333337</v>
      </c>
      <c r="R142" s="311"/>
    </row>
    <row r="143" spans="1:22" s="388" customFormat="1" ht="23.1" customHeight="1" x14ac:dyDescent="0.35">
      <c r="A143" s="290"/>
      <c r="B143" s="302">
        <f t="shared" si="24"/>
        <v>2</v>
      </c>
      <c r="C143" s="553" t="str">
        <v>COD 05</v>
      </c>
      <c r="D143" s="463" t="str">
        <f>_xlfn.XLOOKUP(C143,CODIGOS_Y_PAGOS[CODIGO],CODIGOS_Y_PAGOS[NOMBRE PARTICIPANTE],"")</f>
        <v>MARCOS HIDALGO</v>
      </c>
      <c r="E143" s="336">
        <f t="shared" si="25"/>
        <v>27</v>
      </c>
      <c r="F143" s="336">
        <f t="shared" si="26"/>
        <v>21</v>
      </c>
      <c r="G143" s="378">
        <f t="shared" si="27"/>
        <v>0.77777777777777779</v>
      </c>
      <c r="H143" s="311"/>
      <c r="I143" s="302">
        <f t="shared" si="28"/>
        <v>2</v>
      </c>
      <c r="J143" s="553" t="str">
        <v>COD 15</v>
      </c>
      <c r="K143" s="463" t="str">
        <f>_xlfn.XLOOKUP(J143,CODIGOS_Y_PAGOS[CODIGO],CODIGOS_Y_PAGOS[NOMBRE PARTICIPANTE],"")</f>
        <v>CARLOS SUAREZ</v>
      </c>
      <c r="L143" s="341"/>
      <c r="M143" s="341"/>
      <c r="N143" s="342"/>
      <c r="O143" s="340">
        <f t="shared" si="29"/>
        <v>6</v>
      </c>
      <c r="P143" s="340">
        <f t="shared" si="30"/>
        <v>5</v>
      </c>
      <c r="Q143" s="378">
        <f t="shared" si="31"/>
        <v>0.83333333333333337</v>
      </c>
      <c r="R143" s="311"/>
    </row>
    <row r="144" spans="1:22" s="388" customFormat="1" ht="23.1" customHeight="1" x14ac:dyDescent="0.35">
      <c r="A144" s="290"/>
      <c r="B144" s="302">
        <f t="shared" si="24"/>
        <v>3</v>
      </c>
      <c r="C144" s="553" t="str">
        <v>COD 21</v>
      </c>
      <c r="D144" s="463" t="str">
        <f>_xlfn.XLOOKUP(C144,CODIGOS_Y_PAGOS[CODIGO],CODIGOS_Y_PAGOS[NOMBRE PARTICIPANTE],"")</f>
        <v>WILMER</v>
      </c>
      <c r="E144" s="336">
        <f t="shared" si="25"/>
        <v>27</v>
      </c>
      <c r="F144" s="336">
        <f t="shared" si="26"/>
        <v>20</v>
      </c>
      <c r="G144" s="378">
        <f t="shared" si="27"/>
        <v>0.7407407407407407</v>
      </c>
      <c r="H144" s="311"/>
      <c r="I144" s="302">
        <f t="shared" si="28"/>
        <v>3</v>
      </c>
      <c r="J144" s="553" t="str">
        <v>COD 13</v>
      </c>
      <c r="K144" s="463" t="str">
        <f>_xlfn.XLOOKUP(J144,CODIGOS_Y_PAGOS[CODIGO],CODIGOS_Y_PAGOS[NOMBRE PARTICIPANTE],"")</f>
        <v>NOTAS HIPICAS</v>
      </c>
      <c r="L144" s="341"/>
      <c r="M144" s="341"/>
      <c r="N144" s="342"/>
      <c r="O144" s="340">
        <f t="shared" si="29"/>
        <v>5</v>
      </c>
      <c r="P144" s="340">
        <f t="shared" si="30"/>
        <v>4</v>
      </c>
      <c r="Q144" s="378">
        <f t="shared" si="31"/>
        <v>0.8</v>
      </c>
      <c r="R144" s="311"/>
    </row>
    <row r="145" spans="1:18" s="388" customFormat="1" ht="23.1" customHeight="1" x14ac:dyDescent="0.35">
      <c r="A145" s="290"/>
      <c r="B145" s="302">
        <f t="shared" si="24"/>
        <v>4</v>
      </c>
      <c r="C145" s="553" t="str">
        <v>COD 25</v>
      </c>
      <c r="D145" s="463" t="str">
        <f>_xlfn.XLOOKUP(C145,CODIGOS_Y_PAGOS[CODIGO],CODIGOS_Y_PAGOS[NOMBRE PARTICIPANTE],"")</f>
        <v>GLEY GARCIA</v>
      </c>
      <c r="E145" s="336">
        <f t="shared" si="25"/>
        <v>27</v>
      </c>
      <c r="F145" s="336">
        <f t="shared" si="26"/>
        <v>20</v>
      </c>
      <c r="G145" s="378">
        <f t="shared" si="27"/>
        <v>0.7407407407407407</v>
      </c>
      <c r="H145" s="311"/>
      <c r="I145" s="302">
        <f t="shared" si="28"/>
        <v>4</v>
      </c>
      <c r="J145" s="553" t="str">
        <v>COD 02</v>
      </c>
      <c r="K145" s="463" t="str">
        <f>_xlfn.XLOOKUP(J145,CODIGOS_Y_PAGOS[CODIGO],CODIGOS_Y_PAGOS[NOMBRE PARTICIPANTE],"")</f>
        <v>JESUS QUERALES</v>
      </c>
      <c r="L145" s="341"/>
      <c r="M145" s="341"/>
      <c r="N145" s="342"/>
      <c r="O145" s="340">
        <f t="shared" si="29"/>
        <v>6</v>
      </c>
      <c r="P145" s="340">
        <f t="shared" si="30"/>
        <v>4</v>
      </c>
      <c r="Q145" s="378">
        <f t="shared" si="31"/>
        <v>0.66666666666666663</v>
      </c>
      <c r="R145" s="311"/>
    </row>
    <row r="146" spans="1:18" s="388" customFormat="1" ht="23.1" customHeight="1" x14ac:dyDescent="0.35">
      <c r="A146" s="290"/>
      <c r="B146" s="302">
        <f t="shared" si="24"/>
        <v>5</v>
      </c>
      <c r="C146" s="553" t="str">
        <v>COD 09</v>
      </c>
      <c r="D146" s="463" t="str">
        <f>_xlfn.XLOOKUP(C146,CODIGOS_Y_PAGOS[CODIGO],CODIGOS_Y_PAGOS[NOMBRE PARTICIPANTE],"")</f>
        <v>JESUS ARASME</v>
      </c>
      <c r="E146" s="336">
        <f t="shared" si="25"/>
        <v>27</v>
      </c>
      <c r="F146" s="336">
        <f t="shared" si="26"/>
        <v>20</v>
      </c>
      <c r="G146" s="378">
        <f t="shared" si="27"/>
        <v>0.7407407407407407</v>
      </c>
      <c r="H146" s="311"/>
      <c r="I146" s="302">
        <f t="shared" si="28"/>
        <v>5</v>
      </c>
      <c r="J146" s="553" t="str">
        <v>COD 21</v>
      </c>
      <c r="K146" s="463" t="str">
        <f>_xlfn.XLOOKUP(J146,CODIGOS_Y_PAGOS[CODIGO],CODIGOS_Y_PAGOS[NOMBRE PARTICIPANTE],"")</f>
        <v>WILMER</v>
      </c>
      <c r="L146" s="341"/>
      <c r="M146" s="341"/>
      <c r="N146" s="342"/>
      <c r="O146" s="340">
        <f t="shared" si="29"/>
        <v>6</v>
      </c>
      <c r="P146" s="340">
        <f t="shared" si="30"/>
        <v>4</v>
      </c>
      <c r="Q146" s="378">
        <f t="shared" si="31"/>
        <v>0.66666666666666663</v>
      </c>
      <c r="R146" s="311"/>
    </row>
    <row r="147" spans="1:18" s="388" customFormat="1" ht="23.1" customHeight="1" x14ac:dyDescent="0.35">
      <c r="A147" s="290"/>
      <c r="B147" s="302">
        <f t="shared" si="24"/>
        <v>6</v>
      </c>
      <c r="C147" s="553" t="str">
        <v>COD 16</v>
      </c>
      <c r="D147" s="463" t="str">
        <f>_xlfn.XLOOKUP(C147,CODIGOS_Y_PAGOS[CODIGO],CODIGOS_Y_PAGOS[NOMBRE PARTICIPANTE],"")</f>
        <v>PODER HIPICO</v>
      </c>
      <c r="E147" s="336">
        <f t="shared" si="25"/>
        <v>27</v>
      </c>
      <c r="F147" s="336">
        <f t="shared" si="26"/>
        <v>20</v>
      </c>
      <c r="G147" s="378">
        <f t="shared" si="27"/>
        <v>0.7407407407407407</v>
      </c>
      <c r="H147" s="311"/>
      <c r="I147" s="302">
        <f t="shared" si="28"/>
        <v>6</v>
      </c>
      <c r="J147" s="553" t="str">
        <v>COD 10</v>
      </c>
      <c r="K147" s="463" t="str">
        <f>_xlfn.XLOOKUP(J147,CODIGOS_Y_PAGOS[CODIGO],CODIGOS_Y_PAGOS[NOMBRE PARTICIPANTE],"")</f>
        <v>JESUS CARAYACA</v>
      </c>
      <c r="L147" s="341"/>
      <c r="M147" s="341"/>
      <c r="N147" s="342"/>
      <c r="O147" s="340">
        <f t="shared" si="29"/>
        <v>6</v>
      </c>
      <c r="P147" s="340">
        <f t="shared" si="30"/>
        <v>4</v>
      </c>
      <c r="Q147" s="378">
        <f t="shared" si="31"/>
        <v>0.66666666666666663</v>
      </c>
      <c r="R147" s="311"/>
    </row>
    <row r="148" spans="1:18" ht="23.1" customHeight="1" x14ac:dyDescent="0.35">
      <c r="A148" s="3"/>
      <c r="B148" s="302">
        <f t="shared" si="24"/>
        <v>7</v>
      </c>
      <c r="C148" s="553" t="str">
        <v>COD 28</v>
      </c>
      <c r="D148" s="463" t="str">
        <f>_xlfn.XLOOKUP(C148,CODIGOS_Y_PAGOS[CODIGO],CODIGOS_Y_PAGOS[NOMBRE PARTICIPANTE],"")</f>
        <v>FRANKLIN DELGADO</v>
      </c>
      <c r="E148" s="336">
        <f t="shared" si="25"/>
        <v>27</v>
      </c>
      <c r="F148" s="336">
        <f t="shared" si="26"/>
        <v>20</v>
      </c>
      <c r="G148" s="378">
        <f t="shared" si="27"/>
        <v>0.7407407407407407</v>
      </c>
      <c r="H148" s="311"/>
      <c r="I148" s="302">
        <f t="shared" si="28"/>
        <v>7</v>
      </c>
      <c r="J148" s="553" t="str">
        <v>COD 25</v>
      </c>
      <c r="K148" s="463" t="str">
        <f>_xlfn.XLOOKUP(J148,CODIGOS_Y_PAGOS[CODIGO],CODIGOS_Y_PAGOS[NOMBRE PARTICIPANTE],"")</f>
        <v>GLEY GARCIA</v>
      </c>
      <c r="L148" s="341"/>
      <c r="M148" s="341"/>
      <c r="N148" s="342"/>
      <c r="O148" s="340">
        <f t="shared" si="29"/>
        <v>6</v>
      </c>
      <c r="P148" s="340">
        <f t="shared" si="30"/>
        <v>4</v>
      </c>
      <c r="Q148" s="378">
        <f t="shared" si="31"/>
        <v>0.66666666666666663</v>
      </c>
      <c r="R148" s="3"/>
    </row>
    <row r="149" spans="1:18" ht="23.1" customHeight="1" x14ac:dyDescent="0.35">
      <c r="B149" s="302">
        <f t="shared" si="24"/>
        <v>8</v>
      </c>
      <c r="C149" s="553" t="str">
        <v>COD 29</v>
      </c>
      <c r="D149" s="463" t="str">
        <f>_xlfn.XLOOKUP(C149,CODIGOS_Y_PAGOS[CODIGO],CODIGOS_Y_PAGOS[NOMBRE PARTICIPANTE],"")</f>
        <v>JEAN MARCO</v>
      </c>
      <c r="E149" s="336">
        <f t="shared" si="25"/>
        <v>27</v>
      </c>
      <c r="F149" s="336">
        <f t="shared" si="26"/>
        <v>20</v>
      </c>
      <c r="G149" s="378">
        <f t="shared" si="27"/>
        <v>0.7407407407407407</v>
      </c>
      <c r="H149" s="311"/>
      <c r="I149" s="302">
        <f t="shared" si="28"/>
        <v>8</v>
      </c>
      <c r="J149" s="553" t="str">
        <v>COD 05</v>
      </c>
      <c r="K149" s="463" t="str">
        <f>_xlfn.XLOOKUP(J149,CODIGOS_Y_PAGOS[CODIGO],CODIGOS_Y_PAGOS[NOMBRE PARTICIPANTE],"")</f>
        <v>MARCOS HIDALGO</v>
      </c>
      <c r="L149" s="341"/>
      <c r="M149" s="341"/>
      <c r="N149" s="342"/>
      <c r="O149" s="340">
        <f t="shared" si="29"/>
        <v>6</v>
      </c>
      <c r="P149" s="340">
        <f t="shared" si="30"/>
        <v>4</v>
      </c>
      <c r="Q149" s="378">
        <f t="shared" si="31"/>
        <v>0.66666666666666663</v>
      </c>
      <c r="R149" s="3"/>
    </row>
    <row r="150" spans="1:18" ht="23.1" customHeight="1" x14ac:dyDescent="0.35">
      <c r="B150" s="302">
        <f t="shared" si="24"/>
        <v>9</v>
      </c>
      <c r="C150" s="553" t="str">
        <v>COD 02</v>
      </c>
      <c r="D150" s="463" t="str">
        <f>_xlfn.XLOOKUP(C150,CODIGOS_Y_PAGOS[CODIGO],CODIGOS_Y_PAGOS[NOMBRE PARTICIPANTE],"")</f>
        <v>JESUS QUERALES</v>
      </c>
      <c r="E150" s="336">
        <f t="shared" si="25"/>
        <v>27</v>
      </c>
      <c r="F150" s="336">
        <f t="shared" si="26"/>
        <v>19</v>
      </c>
      <c r="G150" s="378">
        <f t="shared" si="27"/>
        <v>0.70370370370370372</v>
      </c>
      <c r="H150" s="311"/>
      <c r="I150" s="302">
        <f t="shared" si="28"/>
        <v>9</v>
      </c>
      <c r="J150" s="553" t="str">
        <v>COD 27</v>
      </c>
      <c r="K150" s="463" t="str">
        <f>_xlfn.XLOOKUP(J150,CODIGOS_Y_PAGOS[CODIGO],CODIGOS_Y_PAGOS[NOMBRE PARTICIPANTE],"")</f>
        <v>ANDERSON HERNANDEZ</v>
      </c>
      <c r="L150" s="341"/>
      <c r="M150" s="341"/>
      <c r="N150" s="342"/>
      <c r="O150" s="340">
        <f t="shared" si="29"/>
        <v>6</v>
      </c>
      <c r="P150" s="340">
        <f t="shared" si="30"/>
        <v>4</v>
      </c>
      <c r="Q150" s="378">
        <f t="shared" si="31"/>
        <v>0.66666666666666663</v>
      </c>
      <c r="R150" s="3"/>
    </row>
    <row r="151" spans="1:18" ht="23.1" customHeight="1" x14ac:dyDescent="0.35">
      <c r="B151" s="302">
        <f t="shared" si="24"/>
        <v>10</v>
      </c>
      <c r="C151" s="553" t="str">
        <v>COD 10</v>
      </c>
      <c r="D151" s="463" t="str">
        <f>_xlfn.XLOOKUP(C151,CODIGOS_Y_PAGOS[CODIGO],CODIGOS_Y_PAGOS[NOMBRE PARTICIPANTE],"")</f>
        <v>JESUS CARAYACA</v>
      </c>
      <c r="E151" s="336">
        <f t="shared" si="25"/>
        <v>27</v>
      </c>
      <c r="F151" s="336">
        <f t="shared" si="26"/>
        <v>19</v>
      </c>
      <c r="G151" s="378">
        <f t="shared" si="27"/>
        <v>0.70370370370370372</v>
      </c>
      <c r="H151" s="311"/>
      <c r="I151" s="302">
        <f t="shared" si="28"/>
        <v>10</v>
      </c>
      <c r="J151" s="553" t="str">
        <v>COD 08</v>
      </c>
      <c r="K151" s="463" t="str">
        <f>_xlfn.XLOOKUP(J151,CODIGOS_Y_PAGOS[CODIGO],CODIGOS_Y_PAGOS[NOMBRE PARTICIPANTE],"")</f>
        <v>RUBEN DARIO CARDENAS</v>
      </c>
      <c r="L151" s="341"/>
      <c r="M151" s="341"/>
      <c r="N151" s="342"/>
      <c r="O151" s="340">
        <f t="shared" si="29"/>
        <v>6</v>
      </c>
      <c r="P151" s="340">
        <f t="shared" si="30"/>
        <v>4</v>
      </c>
      <c r="Q151" s="378">
        <f t="shared" si="31"/>
        <v>0.66666666666666663</v>
      </c>
      <c r="R151" s="3"/>
    </row>
    <row r="152" spans="1:18" ht="21" customHeight="1" x14ac:dyDescent="0.25">
      <c r="B152" s="326"/>
      <c r="C152" s="346" t="str">
        <v>COD 11</v>
      </c>
      <c r="D152" s="475" t="str">
        <f>_xlfn.XLOOKUP(C152,CODIGOS_Y_PAGOS[CODIGO],CODIGOS_Y_PAGOS[NOMBRE PARTICIPANTE],"")</f>
        <v>ANDERSON ZERPA</v>
      </c>
      <c r="E152" s="465">
        <f t="shared" si="25"/>
        <v>27</v>
      </c>
      <c r="F152" s="465">
        <f t="shared" si="26"/>
        <v>19</v>
      </c>
      <c r="G152" s="466">
        <f t="shared" si="27"/>
        <v>0.70370370370370372</v>
      </c>
      <c r="H152" s="3"/>
      <c r="I152" s="3"/>
      <c r="J152" s="346" t="str">
        <v>COD 16</v>
      </c>
      <c r="K152" s="3"/>
      <c r="L152" s="3"/>
      <c r="M152" s="3"/>
      <c r="N152" s="3"/>
      <c r="O152" s="3"/>
      <c r="P152" s="3"/>
      <c r="Q152" s="3"/>
      <c r="R152" s="3"/>
    </row>
    <row r="153" spans="1:18" ht="21" customHeight="1" x14ac:dyDescent="0.25">
      <c r="C153" s="72" t="str">
        <v>COD 37</v>
      </c>
      <c r="D153" s="475" t="str">
        <f>_xlfn.XLOOKUP(C153,CODIGOS_Y_PAGOS[CODIGO],CODIGOS_Y_PAGOS[NOMBRE PARTICIPANTE],"")</f>
        <v>GLADIADOR HIPICO</v>
      </c>
      <c r="E153" s="465">
        <f t="shared" si="25"/>
        <v>27</v>
      </c>
      <c r="F153" s="465">
        <f t="shared" si="26"/>
        <v>19</v>
      </c>
      <c r="G153" s="466">
        <f t="shared" si="27"/>
        <v>0.70370370370370372</v>
      </c>
      <c r="J153" s="72" t="str">
        <v>COD 34</v>
      </c>
      <c r="R153" s="3"/>
    </row>
    <row r="154" spans="1:18" ht="21" customHeight="1" x14ac:dyDescent="0.25">
      <c r="C154" s="72" t="str">
        <v>COD 14</v>
      </c>
      <c r="D154" s="475" t="str">
        <f>_xlfn.XLOOKUP(C154,CODIGOS_Y_PAGOS[CODIGO],CODIGOS_Y_PAGOS[NOMBRE PARTICIPANTE],"")</f>
        <v>PEDRO ALVAREZ</v>
      </c>
      <c r="E154" s="465">
        <f t="shared" si="25"/>
        <v>27</v>
      </c>
      <c r="F154" s="465">
        <f t="shared" si="26"/>
        <v>19</v>
      </c>
      <c r="G154" s="466">
        <f t="shared" si="27"/>
        <v>0.70370370370370372</v>
      </c>
      <c r="J154" s="72" t="str">
        <v>COD 37</v>
      </c>
      <c r="R154" s="3"/>
    </row>
    <row r="155" spans="1:18" ht="21" customHeight="1" x14ac:dyDescent="0.25">
      <c r="C155" s="72" t="str">
        <v>COD 18</v>
      </c>
      <c r="D155" s="475" t="str">
        <f>_xlfn.XLOOKUP(C155,CODIGOS_Y_PAGOS[CODIGO],CODIGOS_Y_PAGOS[NOMBRE PARTICIPANTE],"")</f>
        <v>CASTOR CHIRINOS</v>
      </c>
      <c r="E155" s="465">
        <f t="shared" si="25"/>
        <v>27</v>
      </c>
      <c r="F155" s="465">
        <f t="shared" si="26"/>
        <v>19</v>
      </c>
      <c r="G155" s="466">
        <f t="shared" si="27"/>
        <v>0.70370370370370372</v>
      </c>
      <c r="J155" s="72" t="str">
        <v>COD 07</v>
      </c>
      <c r="R155" s="3"/>
    </row>
    <row r="156" spans="1:18" ht="21" customHeight="1" x14ac:dyDescent="0.25">
      <c r="C156" s="72" t="str">
        <v>COD 26</v>
      </c>
      <c r="D156" s="475" t="str">
        <f>_xlfn.XLOOKUP(C156,CODIGOS_Y_PAGOS[CODIGO],CODIGOS_Y_PAGOS[NOMBRE PARTICIPANTE],"")</f>
        <v>PEDRO TABEROA</v>
      </c>
      <c r="E156" s="465">
        <f t="shared" si="25"/>
        <v>27</v>
      </c>
      <c r="F156" s="465">
        <f t="shared" si="26"/>
        <v>19</v>
      </c>
      <c r="G156" s="466">
        <f t="shared" si="27"/>
        <v>0.70370370370370372</v>
      </c>
      <c r="J156" s="72" t="str">
        <v>COD 35</v>
      </c>
      <c r="R156" s="3"/>
    </row>
    <row r="157" spans="1:18" ht="21" customHeight="1" x14ac:dyDescent="0.25">
      <c r="C157" s="72" t="str">
        <v>COD 22</v>
      </c>
      <c r="D157" s="475" t="str">
        <f>_xlfn.XLOOKUP(C157,CODIGOS_Y_PAGOS[CODIGO],CODIGOS_Y_PAGOS[NOMBRE PARTICIPANTE],"")</f>
        <v>ROGER PIÑA</v>
      </c>
      <c r="E157" s="465">
        <f t="shared" si="25"/>
        <v>27</v>
      </c>
      <c r="F157" s="465">
        <f t="shared" si="26"/>
        <v>18</v>
      </c>
      <c r="G157" s="466">
        <f t="shared" si="27"/>
        <v>0.66666666666666663</v>
      </c>
      <c r="J157" s="72" t="str">
        <v>COD 17</v>
      </c>
      <c r="R157" s="3"/>
    </row>
    <row r="158" spans="1:18" ht="21" customHeight="1" x14ac:dyDescent="0.25">
      <c r="C158" s="72" t="str">
        <v>COD 23</v>
      </c>
      <c r="D158" s="475" t="str">
        <f>_xlfn.XLOOKUP(C158,CODIGOS_Y_PAGOS[CODIGO],CODIGOS_Y_PAGOS[NOMBRE PARTICIPANTE],"")</f>
        <v>GILBERT</v>
      </c>
      <c r="E158" s="465">
        <f t="shared" si="25"/>
        <v>27</v>
      </c>
      <c r="F158" s="465">
        <f t="shared" si="26"/>
        <v>18</v>
      </c>
      <c r="G158" s="466">
        <f t="shared" si="27"/>
        <v>0.66666666666666663</v>
      </c>
      <c r="J158" s="72" t="str">
        <v>COD 18</v>
      </c>
      <c r="R158" s="3"/>
    </row>
    <row r="159" spans="1:18" ht="21" customHeight="1" x14ac:dyDescent="0.25">
      <c r="C159" s="72" t="str">
        <v>COD 03</v>
      </c>
      <c r="D159" s="475" t="str">
        <f>_xlfn.XLOOKUP(C159,CODIGOS_Y_PAGOS[CODIGO],CODIGOS_Y_PAGOS[NOMBRE PARTICIPANTE],"")</f>
        <v>MUÑECA DEL HIPISMO</v>
      </c>
      <c r="E159" s="465">
        <f t="shared" si="25"/>
        <v>27</v>
      </c>
      <c r="F159" s="465">
        <f t="shared" si="26"/>
        <v>18</v>
      </c>
      <c r="G159" s="466">
        <f t="shared" si="27"/>
        <v>0.66666666666666663</v>
      </c>
      <c r="J159" s="72" t="str">
        <v>COD 26</v>
      </c>
    </row>
    <row r="160" spans="1:18" ht="21" customHeight="1" x14ac:dyDescent="0.25">
      <c r="C160" s="72" t="str">
        <v>COD 15</v>
      </c>
      <c r="D160" s="475" t="str">
        <f>_xlfn.XLOOKUP(C160,CODIGOS_Y_PAGOS[CODIGO],CODIGOS_Y_PAGOS[NOMBRE PARTICIPANTE],"")</f>
        <v>CARLOS SUAREZ</v>
      </c>
      <c r="E160" s="465">
        <f t="shared" si="25"/>
        <v>27</v>
      </c>
      <c r="F160" s="465">
        <f t="shared" si="26"/>
        <v>18</v>
      </c>
      <c r="G160" s="466">
        <f t="shared" si="27"/>
        <v>0.66666666666666663</v>
      </c>
      <c r="J160" s="72" t="str">
        <v>COD 24</v>
      </c>
    </row>
    <row r="161" spans="3:10" ht="21" customHeight="1" x14ac:dyDescent="0.25">
      <c r="C161" s="72" t="str">
        <v>COD 34</v>
      </c>
      <c r="D161" s="475" t="str">
        <f>_xlfn.XLOOKUP(C161,CODIGOS_Y_PAGOS[CODIGO],CODIGOS_Y_PAGOS[NOMBRE PARTICIPANTE],"")</f>
        <v>ROBERTO CARLOS</v>
      </c>
      <c r="E161" s="465">
        <f t="shared" si="25"/>
        <v>27</v>
      </c>
      <c r="F161" s="465">
        <f t="shared" si="26"/>
        <v>18</v>
      </c>
      <c r="G161" s="466">
        <f t="shared" si="27"/>
        <v>0.66666666666666663</v>
      </c>
      <c r="J161" s="72" t="str">
        <v>COD 22</v>
      </c>
    </row>
    <row r="162" spans="3:10" ht="21" customHeight="1" x14ac:dyDescent="0.25">
      <c r="C162" s="72" t="str">
        <v>COD 35</v>
      </c>
      <c r="D162" s="475" t="str">
        <f>_xlfn.XLOOKUP(C162,CODIGOS_Y_PAGOS[CODIGO],CODIGOS_Y_PAGOS[NOMBRE PARTICIPANTE],"")</f>
        <v>YOVANNY</v>
      </c>
      <c r="E162" s="465">
        <f t="shared" si="25"/>
        <v>27</v>
      </c>
      <c r="F162" s="465">
        <f t="shared" si="26"/>
        <v>18</v>
      </c>
      <c r="G162" s="466">
        <f t="shared" si="27"/>
        <v>0.66666666666666663</v>
      </c>
      <c r="J162" s="72" t="str">
        <v>COD 06</v>
      </c>
    </row>
    <row r="163" spans="3:10" ht="21" customHeight="1" x14ac:dyDescent="0.25">
      <c r="C163" s="72" t="str">
        <v>COD 20</v>
      </c>
      <c r="D163" s="475" t="str">
        <f>_xlfn.XLOOKUP(C163,CODIGOS_Y_PAGOS[CODIGO],CODIGOS_Y_PAGOS[NOMBRE PARTICIPANTE],"")</f>
        <v>CHINO</v>
      </c>
      <c r="E163" s="465">
        <f t="shared" si="25"/>
        <v>27</v>
      </c>
      <c r="F163" s="465">
        <f t="shared" si="26"/>
        <v>18</v>
      </c>
      <c r="G163" s="466">
        <f t="shared" si="27"/>
        <v>0.66666666666666663</v>
      </c>
      <c r="J163" s="72" t="str">
        <v>COD 09</v>
      </c>
    </row>
    <row r="164" spans="3:10" ht="21" customHeight="1" x14ac:dyDescent="0.25">
      <c r="C164" s="72" t="str">
        <v>COD 27</v>
      </c>
      <c r="D164" s="475" t="str">
        <f>_xlfn.XLOOKUP(C164,CODIGOS_Y_PAGOS[CODIGO],CODIGOS_Y_PAGOS[NOMBRE PARTICIPANTE],"")</f>
        <v>ANDERSON HERNANDEZ</v>
      </c>
      <c r="E164" s="465">
        <f t="shared" si="25"/>
        <v>27</v>
      </c>
      <c r="F164" s="465">
        <f t="shared" si="26"/>
        <v>17</v>
      </c>
      <c r="G164" s="466">
        <f t="shared" si="27"/>
        <v>0.62962962962962965</v>
      </c>
      <c r="J164" s="72" t="str">
        <v>COD 01</v>
      </c>
    </row>
    <row r="165" spans="3:10" ht="21" customHeight="1" x14ac:dyDescent="0.25">
      <c r="C165" s="72" t="str">
        <v>COD 19</v>
      </c>
      <c r="D165" s="475" t="str">
        <f>_xlfn.XLOOKUP(C165,CODIGOS_Y_PAGOS[CODIGO],CODIGOS_Y_PAGOS[NOMBRE PARTICIPANTE],"")</f>
        <v>EL SAMURAI HIPICO</v>
      </c>
      <c r="E165" s="465">
        <f t="shared" si="25"/>
        <v>27</v>
      </c>
      <c r="F165" s="465">
        <f t="shared" si="26"/>
        <v>17</v>
      </c>
      <c r="G165" s="466">
        <f t="shared" si="27"/>
        <v>0.62962962962962965</v>
      </c>
      <c r="J165" s="72" t="str">
        <v>COD 11</v>
      </c>
    </row>
    <row r="166" spans="3:10" ht="21" customHeight="1" x14ac:dyDescent="0.25">
      <c r="C166" s="72" t="str">
        <v>COD 32</v>
      </c>
      <c r="D166" s="475" t="str">
        <f>_xlfn.XLOOKUP(C166,CODIGOS_Y_PAGOS[CODIGO],CODIGOS_Y_PAGOS[NOMBRE PARTICIPANTE],"")</f>
        <v>TONY CURTIS</v>
      </c>
      <c r="E166" s="465">
        <f t="shared" si="25"/>
        <v>27</v>
      </c>
      <c r="F166" s="465">
        <f t="shared" si="26"/>
        <v>17</v>
      </c>
      <c r="G166" s="466">
        <f t="shared" si="27"/>
        <v>0.62962962962962965</v>
      </c>
      <c r="J166" s="72" t="str">
        <v>COD 03</v>
      </c>
    </row>
    <row r="167" spans="3:10" ht="21" customHeight="1" x14ac:dyDescent="0.25">
      <c r="C167" s="72" t="str">
        <v>COD 07</v>
      </c>
      <c r="D167" s="475" t="str">
        <f>_xlfn.XLOOKUP(C167,CODIGOS_Y_PAGOS[CODIGO],CODIGOS_Y_PAGOS[NOMBRE PARTICIPANTE],"")</f>
        <v>NELSON OSORIO</v>
      </c>
      <c r="E167" s="465">
        <f t="shared" si="25"/>
        <v>27</v>
      </c>
      <c r="F167" s="465">
        <f t="shared" si="26"/>
        <v>17</v>
      </c>
      <c r="G167" s="466">
        <f t="shared" si="27"/>
        <v>0.62962962962962965</v>
      </c>
      <c r="J167" s="72" t="str">
        <v>COD 28</v>
      </c>
    </row>
    <row r="168" spans="3:10" ht="21" customHeight="1" x14ac:dyDescent="0.25">
      <c r="C168" s="72" t="str">
        <v>COD 31</v>
      </c>
      <c r="D168" s="475" t="str">
        <f>_xlfn.XLOOKUP(C168,CODIGOS_Y_PAGOS[CODIGO],CODIGOS_Y_PAGOS[NOMBRE PARTICIPANTE],"")</f>
        <v>ALBIN</v>
      </c>
      <c r="E168" s="465">
        <f t="shared" si="25"/>
        <v>27</v>
      </c>
      <c r="F168" s="465">
        <f t="shared" si="26"/>
        <v>17</v>
      </c>
      <c r="G168" s="466">
        <f t="shared" si="27"/>
        <v>0.62962962962962965</v>
      </c>
      <c r="J168" s="72" t="str">
        <v>COD 29</v>
      </c>
    </row>
    <row r="169" spans="3:10" ht="21" customHeight="1" x14ac:dyDescent="0.25">
      <c r="C169" s="72" t="str">
        <v>COD 12</v>
      </c>
      <c r="D169" s="475">
        <f>_xlfn.XLOOKUP(C169,CODIGOS_Y_PAGOS[CODIGO],CODIGOS_Y_PAGOS[NOMBRE PARTICIPANTE],"")</f>
        <v>0</v>
      </c>
      <c r="E169" s="465">
        <f t="shared" si="25"/>
        <v>27</v>
      </c>
      <c r="F169" s="465">
        <f t="shared" si="26"/>
        <v>17</v>
      </c>
      <c r="G169" s="466">
        <f t="shared" si="27"/>
        <v>0.62962962962962965</v>
      </c>
      <c r="J169" s="72" t="str">
        <v>COD 32</v>
      </c>
    </row>
    <row r="170" spans="3:10" ht="21" customHeight="1" x14ac:dyDescent="0.25">
      <c r="C170" s="72" t="str">
        <v>COD 38</v>
      </c>
      <c r="D170" s="475" t="str">
        <f>_xlfn.XLOOKUP(C170,CODIGOS_Y_PAGOS[CODIGO],CODIGOS_Y_PAGOS[NOMBRE PARTICIPANTE],"")</f>
        <v>DERVIN</v>
      </c>
      <c r="E170" s="465">
        <f t="shared" si="25"/>
        <v>27</v>
      </c>
      <c r="F170" s="465">
        <f t="shared" si="26"/>
        <v>17</v>
      </c>
      <c r="G170" s="466">
        <f t="shared" si="27"/>
        <v>0.62962962962962965</v>
      </c>
      <c r="J170" s="72" t="str">
        <v>COD 04</v>
      </c>
    </row>
    <row r="171" spans="3:10" ht="21" customHeight="1" x14ac:dyDescent="0.25">
      <c r="C171" s="72" t="str">
        <v>COD 30</v>
      </c>
      <c r="D171" s="475" t="str">
        <f>_xlfn.XLOOKUP(C171,CODIGOS_Y_PAGOS[CODIGO],CODIGOS_Y_PAGOS[NOMBRE PARTICIPANTE],"")</f>
        <v>CARIACO</v>
      </c>
      <c r="E171" s="465">
        <f t="shared" si="25"/>
        <v>27</v>
      </c>
      <c r="F171" s="465">
        <f t="shared" si="26"/>
        <v>17</v>
      </c>
      <c r="G171" s="466">
        <f t="shared" si="27"/>
        <v>0.62962962962962965</v>
      </c>
      <c r="J171" s="72" t="str">
        <v>COD 36</v>
      </c>
    </row>
    <row r="172" spans="3:10" ht="21" customHeight="1" x14ac:dyDescent="0.25">
      <c r="C172" s="72" t="str">
        <v>COD 08</v>
      </c>
      <c r="D172" s="475" t="str">
        <f>_xlfn.XLOOKUP(C172,CODIGOS_Y_PAGOS[CODIGO],CODIGOS_Y_PAGOS[NOMBRE PARTICIPANTE],"")</f>
        <v>RUBEN DARIO CARDENAS</v>
      </c>
      <c r="E172" s="465">
        <f t="shared" si="25"/>
        <v>27</v>
      </c>
      <c r="F172" s="465">
        <f t="shared" si="26"/>
        <v>16</v>
      </c>
      <c r="G172" s="466">
        <f t="shared" si="27"/>
        <v>0.59259259259259256</v>
      </c>
      <c r="J172" s="72" t="str">
        <v>COD 33</v>
      </c>
    </row>
    <row r="173" spans="3:10" ht="21" customHeight="1" x14ac:dyDescent="0.25">
      <c r="C173" s="72" t="str">
        <v>COD 04</v>
      </c>
      <c r="D173" s="475" t="str">
        <f>_xlfn.XLOOKUP(C173,CODIGOS_Y_PAGOS[CODIGO],CODIGOS_Y_PAGOS[NOMBRE PARTICIPANTE],"")</f>
        <v>EL HIPICO 701</v>
      </c>
      <c r="E173" s="465">
        <f t="shared" si="25"/>
        <v>27</v>
      </c>
      <c r="F173" s="465">
        <f t="shared" si="26"/>
        <v>16</v>
      </c>
      <c r="G173" s="466">
        <f t="shared" si="27"/>
        <v>0.59259259259259256</v>
      </c>
      <c r="J173" s="72" t="str">
        <v>COD 38</v>
      </c>
    </row>
    <row r="174" spans="3:10" ht="21" customHeight="1" x14ac:dyDescent="0.25">
      <c r="C174" s="72" t="str">
        <v>COD 06</v>
      </c>
      <c r="D174" s="475" t="str">
        <f>_xlfn.XLOOKUP(C174,CODIGOS_Y_PAGOS[CODIGO],CODIGOS_Y_PAGOS[NOMBRE PARTICIPANTE],"")</f>
        <v>JESUS ROJAS</v>
      </c>
      <c r="E174" s="465">
        <f t="shared" ref="E174:E191" si="32">_xlfn.XLOOKUP(C174,$C$5:$C$54,$K$5:$K$54)</f>
        <v>27</v>
      </c>
      <c r="F174" s="465">
        <f t="shared" ref="F174:F191" si="33">_xlfn.XLOOKUP(C174,$C$5:$C$54,$L$5:$L$54)</f>
        <v>16</v>
      </c>
      <c r="G174" s="466">
        <f t="shared" ref="G174:G191" si="34">+F174/E174</f>
        <v>0.59259259259259256</v>
      </c>
      <c r="J174" s="72" t="str">
        <v>COD 30</v>
      </c>
    </row>
    <row r="175" spans="3:10" ht="21" customHeight="1" x14ac:dyDescent="0.25">
      <c r="C175" s="72" t="str">
        <v>COD 36</v>
      </c>
      <c r="D175" s="475" t="str">
        <f>_xlfn.XLOOKUP(C175,CODIGOS_Y_PAGOS[CODIGO],CODIGOS_Y_PAGOS[NOMBRE PARTICIPANTE],"")</f>
        <v>EDGAR ALEXANDER</v>
      </c>
      <c r="E175" s="465">
        <f t="shared" si="32"/>
        <v>27</v>
      </c>
      <c r="F175" s="465">
        <f t="shared" si="33"/>
        <v>16</v>
      </c>
      <c r="G175" s="466">
        <f t="shared" si="34"/>
        <v>0.59259259259259256</v>
      </c>
      <c r="J175" s="72" t="str">
        <v>COD 12</v>
      </c>
    </row>
    <row r="176" spans="3:10" ht="21" customHeight="1" x14ac:dyDescent="0.25">
      <c r="C176" s="72" t="str">
        <v>COD 33</v>
      </c>
      <c r="D176" s="475" t="str">
        <f>_xlfn.XLOOKUP(C176,CODIGOS_Y_PAGOS[CODIGO],CODIGOS_Y_PAGOS[NOMBRE PARTICIPANTE],"")</f>
        <v>JOSE LUIS ANTUNEZ</v>
      </c>
      <c r="E176" s="465">
        <f t="shared" si="32"/>
        <v>27</v>
      </c>
      <c r="F176" s="465">
        <f t="shared" si="33"/>
        <v>16</v>
      </c>
      <c r="G176" s="466">
        <f t="shared" si="34"/>
        <v>0.59259259259259256</v>
      </c>
      <c r="J176" s="72" t="str">
        <v>COD 19</v>
      </c>
    </row>
    <row r="177" spans="3:10" ht="21" customHeight="1" x14ac:dyDescent="0.25">
      <c r="C177" s="72" t="str">
        <v>COD 13</v>
      </c>
      <c r="D177" s="475" t="str">
        <f>_xlfn.XLOOKUP(C177,CODIGOS_Y_PAGOS[CODIGO],CODIGOS_Y_PAGOS[NOMBRE PARTICIPANTE],"")</f>
        <v>NOTAS HIPICAS</v>
      </c>
      <c r="E177" s="465">
        <f t="shared" si="32"/>
        <v>27</v>
      </c>
      <c r="F177" s="465">
        <f t="shared" si="33"/>
        <v>16</v>
      </c>
      <c r="G177" s="466">
        <f t="shared" si="34"/>
        <v>0.59259259259259256</v>
      </c>
      <c r="J177" s="72" t="str">
        <v>COD 31</v>
      </c>
    </row>
    <row r="178" spans="3:10" ht="21" customHeight="1" x14ac:dyDescent="0.25">
      <c r="C178" s="72" t="str">
        <v>COD 17</v>
      </c>
      <c r="D178" s="475" t="str">
        <f>_xlfn.XLOOKUP(C178,CODIGOS_Y_PAGOS[CODIGO],CODIGOS_Y_PAGOS[NOMBRE PARTICIPANTE],"")</f>
        <v>FERNANDO VALDIRIO</v>
      </c>
      <c r="E178" s="465">
        <f t="shared" si="32"/>
        <v>27</v>
      </c>
      <c r="F178" s="465">
        <f t="shared" si="33"/>
        <v>16</v>
      </c>
      <c r="G178" s="466">
        <f t="shared" si="34"/>
        <v>0.59259259259259256</v>
      </c>
      <c r="J178" s="72" t="str">
        <v>COD 14</v>
      </c>
    </row>
    <row r="179" spans="3:10" ht="21" customHeight="1" x14ac:dyDescent="0.25">
      <c r="C179" s="72" t="str">
        <v>COD 24</v>
      </c>
      <c r="D179" s="475">
        <f>_xlfn.XLOOKUP(C179,CODIGOS_Y_PAGOS[CODIGO],CODIGOS_Y_PAGOS[NOMBRE PARTICIPANTE],"")</f>
        <v>0</v>
      </c>
      <c r="E179" s="465">
        <f t="shared" si="32"/>
        <v>27</v>
      </c>
      <c r="F179" s="465">
        <f t="shared" si="33"/>
        <v>15</v>
      </c>
      <c r="G179" s="466">
        <f t="shared" si="34"/>
        <v>0.55555555555555558</v>
      </c>
      <c r="J179" s="72" t="str">
        <v>COD 20</v>
      </c>
    </row>
    <row r="180" spans="3:10" ht="21" customHeight="1" x14ac:dyDescent="0.25">
      <c r="C180" s="72" t="str">
        <v>COD 39</v>
      </c>
      <c r="D180" s="475" t="str">
        <f>_xlfn.XLOOKUP(C180,CODIGOS_Y_PAGOS[CODIGO],CODIGOS_Y_PAGOS[NOMBRE PARTICIPANTE],"")</f>
        <v>EL TAMAO</v>
      </c>
      <c r="E180" s="465">
        <f t="shared" si="32"/>
        <v>14</v>
      </c>
      <c r="F180" s="465">
        <f t="shared" si="33"/>
        <v>7</v>
      </c>
      <c r="G180" s="466">
        <f t="shared" si="34"/>
        <v>0.5</v>
      </c>
      <c r="J180" s="72" t="str">
        <v>COD 39</v>
      </c>
    </row>
    <row r="181" spans="3:10" ht="21" customHeight="1" x14ac:dyDescent="0.25">
      <c r="C181" s="72" t="str">
        <v>COD 40</v>
      </c>
      <c r="D181" s="475" t="str">
        <f>_xlfn.XLOOKUP(C181,CODIGOS_Y_PAGOS[CODIGO],CODIGOS_Y_PAGOS[NOMBRE PARTICIPANTE],"")</f>
        <v>FRED</v>
      </c>
      <c r="E181" s="465">
        <f t="shared" si="32"/>
        <v>0</v>
      </c>
      <c r="F181" s="465">
        <f t="shared" si="33"/>
        <v>0</v>
      </c>
      <c r="G181" s="466" t="e">
        <f t="shared" si="34"/>
        <v>#DIV/0!</v>
      </c>
      <c r="J181" s="72" t="str">
        <v>COD 40</v>
      </c>
    </row>
    <row r="182" spans="3:10" ht="21" customHeight="1" x14ac:dyDescent="0.25">
      <c r="C182" s="72" t="str">
        <v>COD 41</v>
      </c>
      <c r="D182" s="475" t="str">
        <f>_xlfn.XLOOKUP(C182,CODIGOS_Y_PAGOS[CODIGO],CODIGOS_Y_PAGOS[NOMBRE PARTICIPANTE],"")</f>
        <v>ENRIQUE LEFEBRE</v>
      </c>
      <c r="E182" s="465">
        <f t="shared" si="32"/>
        <v>0</v>
      </c>
      <c r="F182" s="465">
        <f t="shared" si="33"/>
        <v>0</v>
      </c>
      <c r="G182" s="466" t="e">
        <f t="shared" si="34"/>
        <v>#DIV/0!</v>
      </c>
      <c r="J182" s="72" t="str">
        <v>COD 41</v>
      </c>
    </row>
    <row r="183" spans="3:10" ht="21" customHeight="1" x14ac:dyDescent="0.25">
      <c r="C183" s="72" t="str">
        <v>COD 42</v>
      </c>
      <c r="D183" s="475">
        <f>_xlfn.XLOOKUP(C183,CODIGOS_Y_PAGOS[CODIGO],CODIGOS_Y_PAGOS[NOMBRE PARTICIPANTE],"")</f>
        <v>0</v>
      </c>
      <c r="E183" s="465">
        <f t="shared" si="32"/>
        <v>0</v>
      </c>
      <c r="F183" s="465">
        <f t="shared" si="33"/>
        <v>0</v>
      </c>
      <c r="G183" s="466" t="e">
        <f t="shared" si="34"/>
        <v>#DIV/0!</v>
      </c>
      <c r="J183" s="72" t="str">
        <v>COD 42</v>
      </c>
    </row>
    <row r="184" spans="3:10" ht="21" customHeight="1" x14ac:dyDescent="0.25">
      <c r="C184" s="72" t="str">
        <v>COD 43</v>
      </c>
      <c r="D184" s="475">
        <f>_xlfn.XLOOKUP(C184,CODIGOS_Y_PAGOS[CODIGO],CODIGOS_Y_PAGOS[NOMBRE PARTICIPANTE],"")</f>
        <v>0</v>
      </c>
      <c r="E184" s="465">
        <f t="shared" si="32"/>
        <v>0</v>
      </c>
      <c r="F184" s="465">
        <f t="shared" si="33"/>
        <v>0</v>
      </c>
      <c r="G184" s="466" t="e">
        <f t="shared" si="34"/>
        <v>#DIV/0!</v>
      </c>
      <c r="J184" t="str">
        <v>COD 43</v>
      </c>
    </row>
    <row r="185" spans="3:10" ht="21" customHeight="1" x14ac:dyDescent="0.25">
      <c r="C185" s="72" t="str">
        <v>COD 44</v>
      </c>
      <c r="D185" s="475">
        <f>_xlfn.XLOOKUP(C185,CODIGOS_Y_PAGOS[CODIGO],CODIGOS_Y_PAGOS[NOMBRE PARTICIPANTE],"")</f>
        <v>0</v>
      </c>
      <c r="E185" s="465">
        <f t="shared" si="32"/>
        <v>0</v>
      </c>
      <c r="F185" s="465">
        <f t="shared" si="33"/>
        <v>0</v>
      </c>
      <c r="G185" s="466" t="e">
        <f t="shared" si="34"/>
        <v>#DIV/0!</v>
      </c>
      <c r="J185" t="str">
        <v>COD 44</v>
      </c>
    </row>
    <row r="186" spans="3:10" ht="21" customHeight="1" x14ac:dyDescent="0.25">
      <c r="C186" s="72" t="str">
        <v>COD 45</v>
      </c>
      <c r="D186" s="475" t="str">
        <f>_xlfn.XLOOKUP(C186,CODIGOS_Y_PAGOS[CODIGO],CODIGOS_Y_PAGOS[NOMBRE PARTICIPANTE],"")</f>
        <v>GUADIZMI</v>
      </c>
      <c r="E186" s="465">
        <f t="shared" si="32"/>
        <v>0</v>
      </c>
      <c r="F186" s="465">
        <f t="shared" si="33"/>
        <v>0</v>
      </c>
      <c r="G186" s="466" t="e">
        <f t="shared" si="34"/>
        <v>#DIV/0!</v>
      </c>
      <c r="J186" t="str">
        <v>COD 45</v>
      </c>
    </row>
    <row r="187" spans="3:10" ht="21" customHeight="1" x14ac:dyDescent="0.25">
      <c r="C187" s="72" t="str">
        <v>COD 46</v>
      </c>
      <c r="D187" s="475">
        <f>_xlfn.XLOOKUP(C187,CODIGOS_Y_PAGOS[CODIGO],CODIGOS_Y_PAGOS[NOMBRE PARTICIPANTE],"")</f>
        <v>0</v>
      </c>
      <c r="E187" s="465">
        <f t="shared" si="32"/>
        <v>0</v>
      </c>
      <c r="F187" s="465">
        <f t="shared" si="33"/>
        <v>0</v>
      </c>
      <c r="G187" s="466" t="e">
        <f t="shared" si="34"/>
        <v>#DIV/0!</v>
      </c>
      <c r="J187" t="str">
        <v>COD 46</v>
      </c>
    </row>
    <row r="188" spans="3:10" ht="21" customHeight="1" x14ac:dyDescent="0.25">
      <c r="C188" s="72" t="str">
        <v>COD 47</v>
      </c>
      <c r="D188" s="475">
        <f>_xlfn.XLOOKUP(C188,CODIGOS_Y_PAGOS[CODIGO],CODIGOS_Y_PAGOS[NOMBRE PARTICIPANTE],"")</f>
        <v>0</v>
      </c>
      <c r="E188" s="465">
        <f t="shared" si="32"/>
        <v>0</v>
      </c>
      <c r="F188" s="465">
        <f t="shared" si="33"/>
        <v>0</v>
      </c>
      <c r="G188" s="466" t="e">
        <f t="shared" si="34"/>
        <v>#DIV/0!</v>
      </c>
      <c r="J188" t="str">
        <v>COD 47</v>
      </c>
    </row>
    <row r="189" spans="3:10" ht="21" customHeight="1" x14ac:dyDescent="0.25">
      <c r="C189" s="72" t="str">
        <v>COD 48</v>
      </c>
      <c r="D189" s="475">
        <f>_xlfn.XLOOKUP(C189,CODIGOS_Y_PAGOS[CODIGO],CODIGOS_Y_PAGOS[NOMBRE PARTICIPANTE],"")</f>
        <v>0</v>
      </c>
      <c r="E189" s="465">
        <f t="shared" si="32"/>
        <v>0</v>
      </c>
      <c r="F189" s="465">
        <f t="shared" si="33"/>
        <v>0</v>
      </c>
      <c r="G189" s="466" t="e">
        <f t="shared" si="34"/>
        <v>#DIV/0!</v>
      </c>
      <c r="J189" t="str">
        <v>COD 48</v>
      </c>
    </row>
    <row r="190" spans="3:10" ht="21" customHeight="1" x14ac:dyDescent="0.25">
      <c r="C190" s="72" t="str">
        <v>COD 49</v>
      </c>
      <c r="D190" s="475">
        <f>_xlfn.XLOOKUP(C190,CODIGOS_Y_PAGOS[CODIGO],CODIGOS_Y_PAGOS[NOMBRE PARTICIPANTE],"")</f>
        <v>0</v>
      </c>
      <c r="E190" s="465">
        <f t="shared" si="32"/>
        <v>0</v>
      </c>
      <c r="F190" s="465">
        <f t="shared" si="33"/>
        <v>0</v>
      </c>
      <c r="G190" s="466" t="e">
        <f t="shared" si="34"/>
        <v>#DIV/0!</v>
      </c>
      <c r="J190" t="str">
        <v>COD 49</v>
      </c>
    </row>
    <row r="191" spans="3:10" ht="21" customHeight="1" x14ac:dyDescent="0.25">
      <c r="C191" s="72" t="str">
        <v>COD 50</v>
      </c>
      <c r="D191" s="475">
        <f>_xlfn.XLOOKUP(C191,CODIGOS_Y_PAGOS[CODIGO],CODIGOS_Y_PAGOS[NOMBRE PARTICIPANTE],"")</f>
        <v>0</v>
      </c>
      <c r="E191" s="465">
        <f t="shared" si="32"/>
        <v>0</v>
      </c>
      <c r="F191" s="465">
        <f t="shared" si="33"/>
        <v>0</v>
      </c>
      <c r="G191" s="466" t="e">
        <f t="shared" si="34"/>
        <v>#DIV/0!</v>
      </c>
      <c r="J191" t="str">
        <v>COD 50</v>
      </c>
    </row>
  </sheetData>
  <mergeCells count="17">
    <mergeCell ref="B2:Q2"/>
    <mergeCell ref="E130:J130"/>
    <mergeCell ref="N3:Q3"/>
    <mergeCell ref="E126:J126"/>
    <mergeCell ref="E132:J132"/>
    <mergeCell ref="B57:Q57"/>
    <mergeCell ref="N58:Q58"/>
    <mergeCell ref="E135:J135"/>
    <mergeCell ref="E131:J131"/>
    <mergeCell ref="E137:J137"/>
    <mergeCell ref="M113:O113"/>
    <mergeCell ref="E127:J127"/>
    <mergeCell ref="E128:J128"/>
    <mergeCell ref="E134:J134"/>
    <mergeCell ref="E136:J136"/>
    <mergeCell ref="E129:J129"/>
    <mergeCell ref="E133:J133"/>
  </mergeCells>
  <conditionalFormatting sqref="B4">
    <cfRule type="containsText" priority="2" operator="containsText" text="0">
      <formula>NOT(ISERROR(SEARCH("0",B4)))</formula>
    </cfRule>
  </conditionalFormatting>
  <conditionalFormatting sqref="B59">
    <cfRule type="containsText" priority="20" operator="containsText" text="0">
      <formula>NOT(ISERROR(SEARCH("0",B59)))</formula>
    </cfRule>
  </conditionalFormatting>
  <conditionalFormatting sqref="D5:D54">
    <cfRule type="expression" dxfId="170" priority="1">
      <formula>$K5=$L5</formula>
    </cfRule>
  </conditionalFormatting>
  <conditionalFormatting sqref="D60:D109">
    <cfRule type="expression" dxfId="169" priority="17">
      <formula>$K60=$L60</formula>
    </cfRule>
  </conditionalFormatting>
  <conditionalFormatting sqref="M126:M137">
    <cfRule type="cellIs" dxfId="168" priority="18" operator="between">
      <formula>1</formula>
      <formula>18</formula>
    </cfRule>
    <cfRule type="containsText" dxfId="167" priority="19" operator="containsText" text="V">
      <formula>NOT(ISERROR(SEARCH("V",M126)))</formula>
    </cfRule>
  </conditionalFormatting>
  <conditionalFormatting sqref="N126:N137">
    <cfRule type="cellIs" dxfId="166" priority="3" operator="equal">
      <formula>14</formula>
    </cfRule>
    <cfRule type="cellIs" dxfId="165" priority="4" operator="equal">
      <formula>13</formula>
    </cfRule>
    <cfRule type="cellIs" dxfId="164" priority="5" operator="equal">
      <formula>12</formula>
    </cfRule>
    <cfRule type="cellIs" dxfId="163" priority="6" operator="equal">
      <formula>11</formula>
    </cfRule>
    <cfRule type="cellIs" dxfId="162" priority="7" operator="equal">
      <formula>10</formula>
    </cfRule>
    <cfRule type="cellIs" dxfId="161" priority="8" operator="equal">
      <formula>9</formula>
    </cfRule>
    <cfRule type="cellIs" dxfId="160" priority="9" operator="equal">
      <formula>8</formula>
    </cfRule>
    <cfRule type="cellIs" dxfId="159" priority="10" operator="equal">
      <formula>7</formula>
    </cfRule>
    <cfRule type="cellIs" dxfId="158" priority="11" operator="equal">
      <formula>6</formula>
    </cfRule>
    <cfRule type="cellIs" dxfId="157" priority="12" operator="equal">
      <formula>5</formula>
    </cfRule>
    <cfRule type="cellIs" dxfId="156" priority="13" operator="equal">
      <formula>4</formula>
    </cfRule>
    <cfRule type="cellIs" dxfId="155" priority="14" operator="equal">
      <formula>3</formula>
    </cfRule>
    <cfRule type="cellIs" dxfId="154" priority="15" operator="equal">
      <formula>2</formula>
    </cfRule>
    <cfRule type="cellIs" dxfId="153" priority="16" operator="equal">
      <formula>1</formula>
    </cfRule>
  </conditionalFormatting>
  <pageMargins left="0.23622047244094491" right="0.23622047244094491" top="0.35433070866141742" bottom="0.35433070866141742" header="0" footer="0"/>
  <pageSetup paperSize="3" scale="72" fitToHeight="0" orientation="portrait"/>
  <rowBreaks count="1" manualBreakCount="1">
    <brk id="151" max="17" man="1"/>
  </rowBreaks>
  <colBreaks count="1" manualBreakCount="1">
    <brk id="18" max="1048575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J208"/>
  <sheetViews>
    <sheetView showGridLines="0" zoomScale="59" zoomScaleNormal="59" workbookViewId="0">
      <selection activeCell="C8" sqref="C8:C57"/>
    </sheetView>
  </sheetViews>
  <sheetFormatPr baseColWidth="10" defaultRowHeight="15" x14ac:dyDescent="0.25"/>
  <cols>
    <col min="1" max="1" width="3.42578125" style="514" customWidth="1"/>
    <col min="2" max="2" width="14.7109375" style="9" customWidth="1"/>
    <col min="3" max="3" width="24" style="514" customWidth="1"/>
    <col min="4" max="4" width="22.7109375" style="514" customWidth="1"/>
    <col min="5" max="5" width="8.140625" style="514" customWidth="1"/>
    <col min="6" max="13" width="6.7109375" style="514" customWidth="1"/>
    <col min="14" max="14" width="7.42578125" style="514" customWidth="1"/>
    <col min="15" max="31" width="6.7109375" style="514" customWidth="1"/>
    <col min="32" max="32" width="7.42578125" style="514" customWidth="1"/>
    <col min="33" max="40" width="6.7109375" style="514" customWidth="1"/>
    <col min="41" max="41" width="7.42578125" style="514" customWidth="1"/>
    <col min="42" max="43" width="6.7109375" style="514" customWidth="1"/>
    <col min="44" max="44" width="7.140625" style="514" customWidth="1"/>
    <col min="45" max="58" width="6.7109375" style="514" customWidth="1"/>
    <col min="59" max="59" width="7" style="351" customWidth="1"/>
    <col min="60" max="63" width="6.7109375" style="514" customWidth="1"/>
    <col min="64" max="64" width="6.7109375" style="351" customWidth="1"/>
    <col min="65" max="67" width="6.7109375" style="514" customWidth="1"/>
    <col min="68" max="68" width="7.140625" style="514" customWidth="1"/>
    <col min="69" max="84" width="6.7109375" style="514" customWidth="1"/>
    <col min="85" max="85" width="6.7109375" style="514" customWidth="1" collapsed="1"/>
    <col min="86" max="86" width="6.7109375" style="514" customWidth="1"/>
    <col min="87" max="87" width="7.42578125" style="514" customWidth="1"/>
    <col min="88" max="89" width="6.7109375" style="514" customWidth="1"/>
    <col min="90" max="90" width="8.140625" style="514" customWidth="1"/>
    <col min="91" max="92" width="6.7109375" style="514" customWidth="1"/>
    <col min="93" max="93" width="8.5703125" style="514" customWidth="1"/>
    <col min="94" max="95" width="6.7109375" style="514" customWidth="1"/>
    <col min="96" max="96" width="12.42578125" style="514" customWidth="1"/>
    <col min="97" max="100" width="15.7109375" style="514" customWidth="1"/>
    <col min="101" max="101" width="2.7109375" style="514" customWidth="1"/>
    <col min="103" max="103" width="17" style="514" customWidth="1"/>
    <col min="104" max="104" width="18.140625" style="514" customWidth="1"/>
    <col min="105" max="105" width="14.42578125" style="514" bestFit="1" customWidth="1"/>
    <col min="106" max="106" width="18.28515625" style="514" customWidth="1"/>
    <col min="122" max="122" width="13.42578125" style="514" bestFit="1" customWidth="1"/>
    <col min="137" max="137" width="13.7109375" style="514" bestFit="1" customWidth="1"/>
    <col min="140" max="140" width="13.42578125" style="514" bestFit="1" customWidth="1"/>
  </cols>
  <sheetData>
    <row r="1" spans="1:140" ht="15.75" customHeight="1" x14ac:dyDescent="0.3">
      <c r="B1" s="72">
        <v>0</v>
      </c>
      <c r="CV1" s="73" t="s">
        <v>133</v>
      </c>
      <c r="CX1" s="74" t="s">
        <v>133</v>
      </c>
      <c r="DA1" s="72" t="s">
        <v>133</v>
      </c>
    </row>
    <row r="2" spans="1:140" s="515" customFormat="1" ht="24" customHeight="1" thickBot="1" x14ac:dyDescent="0.3">
      <c r="B2" s="434" t="s">
        <v>134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  <c r="AG2" s="435"/>
      <c r="AH2" s="435"/>
      <c r="AI2" s="435"/>
      <c r="AJ2" s="435"/>
      <c r="AK2" s="435"/>
      <c r="AL2" s="435"/>
      <c r="AM2" s="435"/>
      <c r="AN2" s="435"/>
      <c r="AO2" s="435"/>
      <c r="AP2" s="435"/>
      <c r="AQ2" s="435"/>
      <c r="AR2" s="435"/>
      <c r="AS2" s="435"/>
      <c r="AT2" s="435"/>
      <c r="AU2" s="435"/>
      <c r="AV2" s="435"/>
      <c r="AW2" s="435"/>
      <c r="AX2" s="435"/>
      <c r="AY2" s="435"/>
      <c r="AZ2" s="435"/>
      <c r="BA2" s="435"/>
      <c r="BB2" s="435"/>
      <c r="BC2" s="435"/>
      <c r="BD2" s="435"/>
      <c r="BE2" s="435"/>
      <c r="BF2" s="435"/>
      <c r="BG2" s="436"/>
      <c r="BH2" s="435"/>
      <c r="BI2" s="435"/>
      <c r="BJ2" s="435"/>
      <c r="BK2" s="435"/>
      <c r="BL2" s="436"/>
      <c r="BM2" s="435"/>
      <c r="BN2" s="435"/>
      <c r="BO2" s="435"/>
      <c r="BP2" s="435"/>
      <c r="BQ2" s="435"/>
      <c r="BR2" s="435"/>
      <c r="BS2" s="435"/>
      <c r="BT2" s="435"/>
      <c r="BU2" s="435"/>
      <c r="BV2" s="435"/>
      <c r="BW2" s="435"/>
      <c r="BX2" s="435"/>
      <c r="BY2" s="435"/>
      <c r="BZ2" s="435"/>
      <c r="CA2" s="435"/>
      <c r="CB2" s="435"/>
      <c r="CC2" s="435"/>
      <c r="CD2" s="435"/>
      <c r="CE2" s="435"/>
      <c r="CF2" s="435"/>
      <c r="CG2" s="435"/>
      <c r="CH2" s="435"/>
      <c r="CI2" s="435"/>
      <c r="CJ2" s="435"/>
      <c r="CK2" s="435"/>
      <c r="CL2" s="435"/>
      <c r="CM2" s="435"/>
      <c r="CN2" s="435"/>
      <c r="CO2" s="435"/>
      <c r="CP2" s="435"/>
      <c r="CQ2" s="435"/>
      <c r="CR2" s="435"/>
      <c r="CS2" s="437"/>
      <c r="CT2" s="437"/>
      <c r="CU2" s="435"/>
      <c r="CV2" s="438"/>
      <c r="CX2" s="75" t="s">
        <v>135</v>
      </c>
      <c r="DA2" s="76" t="s">
        <v>135</v>
      </c>
    </row>
    <row r="3" spans="1:140" s="79" customFormat="1" ht="24" customHeight="1" thickBot="1" x14ac:dyDescent="0.3">
      <c r="A3" s="515"/>
      <c r="B3" s="439" t="s">
        <v>136</v>
      </c>
      <c r="C3" s="249"/>
      <c r="D3" s="248" t="str">
        <f>CODIGOS_Y_PAGOS[[#Headers],[20/09/2026]]</f>
        <v>20/09/2026</v>
      </c>
      <c r="E3" s="249"/>
      <c r="F3" s="244" t="s">
        <v>137</v>
      </c>
      <c r="G3" s="245"/>
      <c r="H3" s="245"/>
      <c r="I3" s="245"/>
      <c r="J3" s="246"/>
      <c r="K3" s="246"/>
      <c r="L3" s="246"/>
      <c r="M3" s="246"/>
      <c r="N3" s="247"/>
      <c r="O3" s="239">
        <f>CONTROL!H2</f>
        <v>1000</v>
      </c>
      <c r="P3" s="77"/>
      <c r="Q3" s="77"/>
      <c r="R3" s="77"/>
      <c r="S3" s="77"/>
      <c r="T3" s="569" t="s">
        <v>138</v>
      </c>
      <c r="U3" s="570"/>
      <c r="V3" s="570"/>
      <c r="W3" s="570"/>
      <c r="X3" s="570"/>
      <c r="Y3" s="570"/>
      <c r="Z3" s="570"/>
      <c r="AA3" s="570"/>
      <c r="AB3" s="564"/>
      <c r="AC3" s="419">
        <f>COUNTA(SEMANA29[COD])-COUNTIF(SEMANA29[TIPO],"NO ENVIÓ")</f>
        <v>15</v>
      </c>
      <c r="AD3" s="457"/>
      <c r="AE3" s="457"/>
      <c r="AF3" s="457"/>
      <c r="AG3" s="458"/>
      <c r="AH3" s="572" t="s">
        <v>139</v>
      </c>
      <c r="AI3" s="570"/>
      <c r="AJ3" s="570"/>
      <c r="AK3" s="570"/>
      <c r="AL3" s="570"/>
      <c r="AM3" s="564"/>
      <c r="AN3" s="419">
        <f>COUNTIF(SEMANA29[TIPO],"PREMIO")</f>
        <v>13</v>
      </c>
      <c r="AO3" s="457"/>
      <c r="AP3" s="457"/>
      <c r="AQ3" s="457"/>
      <c r="AR3" s="458"/>
      <c r="AS3" s="241" t="s">
        <v>140</v>
      </c>
      <c r="AT3" s="242"/>
      <c r="AU3" s="242"/>
      <c r="AV3" s="242"/>
      <c r="AW3" s="242"/>
      <c r="AX3" s="243"/>
      <c r="AY3" s="239">
        <f>+O3*AN3</f>
        <v>13000</v>
      </c>
      <c r="AZ3" s="240"/>
      <c r="BA3" s="240"/>
      <c r="BB3" s="240"/>
      <c r="BC3" s="216"/>
      <c r="BD3" s="216"/>
      <c r="BE3" s="216"/>
      <c r="BF3" s="216"/>
      <c r="BG3" s="217"/>
      <c r="BH3" s="216"/>
      <c r="BI3" s="216"/>
      <c r="BJ3" s="216"/>
      <c r="BK3" s="216"/>
      <c r="BL3" s="217"/>
      <c r="BM3" s="216"/>
      <c r="BN3" s="216"/>
      <c r="BO3" s="216"/>
      <c r="BP3" s="216"/>
      <c r="BQ3" s="216"/>
      <c r="BR3" s="216"/>
      <c r="BS3" s="216"/>
      <c r="BT3" s="216"/>
      <c r="BU3" s="216"/>
      <c r="BV3" s="216"/>
      <c r="BW3" s="216"/>
      <c r="BX3" s="216"/>
      <c r="BY3" s="216"/>
      <c r="BZ3" s="216"/>
      <c r="CA3" s="216"/>
      <c r="CB3" s="216"/>
      <c r="CC3" s="216"/>
      <c r="CD3" s="216"/>
      <c r="CE3" s="216"/>
      <c r="CF3" s="216"/>
      <c r="CG3" s="218" t="s">
        <v>332</v>
      </c>
      <c r="CH3" s="218"/>
      <c r="CI3" s="218"/>
      <c r="CJ3" s="218"/>
      <c r="CK3" s="218"/>
      <c r="CL3" s="218"/>
      <c r="CM3" s="218"/>
      <c r="CN3" s="218"/>
      <c r="CO3" s="218"/>
      <c r="CP3" s="218"/>
      <c r="CQ3" s="218"/>
      <c r="CR3" s="218"/>
      <c r="CS3" s="222"/>
      <c r="CT3" s="223"/>
      <c r="CU3" s="228"/>
      <c r="CV3" s="440"/>
      <c r="CW3" s="515"/>
      <c r="CX3" s="78" t="s">
        <v>142</v>
      </c>
    </row>
    <row r="4" spans="1:140" s="79" customFormat="1" ht="21" customHeight="1" thickBot="1" x14ac:dyDescent="0.4">
      <c r="A4" s="515"/>
      <c r="B4" s="254">
        <f>COUNTA(F6,K6,P6,U6,Z6,AE6,AJ6,AO6,AT6,AY6,BD6,BI6,BN6,BS6,BX6,CC6)</f>
        <v>0</v>
      </c>
      <c r="C4" s="250" t="s">
        <v>143</v>
      </c>
      <c r="D4" s="251" t="s">
        <v>144</v>
      </c>
      <c r="E4" s="523">
        <f>D5+1</f>
        <v>1</v>
      </c>
      <c r="F4" s="256"/>
      <c r="G4" s="256"/>
      <c r="H4" s="257"/>
      <c r="I4" s="258"/>
      <c r="J4" s="523">
        <f>E4+1</f>
        <v>2</v>
      </c>
      <c r="K4" s="256"/>
      <c r="L4" s="256"/>
      <c r="M4" s="257"/>
      <c r="N4" s="258"/>
      <c r="O4" s="523">
        <f>J4+1</f>
        <v>3</v>
      </c>
      <c r="P4" s="256"/>
      <c r="Q4" s="256"/>
      <c r="R4" s="257"/>
      <c r="S4" s="258"/>
      <c r="T4" s="523">
        <f>O4+1</f>
        <v>4</v>
      </c>
      <c r="U4" s="256"/>
      <c r="V4" s="256"/>
      <c r="W4" s="257"/>
      <c r="X4" s="258"/>
      <c r="Y4" s="523">
        <f>T4+1</f>
        <v>5</v>
      </c>
      <c r="Z4" s="256"/>
      <c r="AA4" s="256"/>
      <c r="AB4" s="257"/>
      <c r="AC4" s="258"/>
      <c r="AD4" s="523">
        <f>Y4+1</f>
        <v>6</v>
      </c>
      <c r="AE4" s="256"/>
      <c r="AF4" s="256"/>
      <c r="AG4" s="257"/>
      <c r="AH4" s="258"/>
      <c r="AI4" s="523">
        <f>AD4+1</f>
        <v>7</v>
      </c>
      <c r="AJ4" s="256"/>
      <c r="AK4" s="256"/>
      <c r="AL4" s="257"/>
      <c r="AM4" s="258"/>
      <c r="AN4" s="523">
        <f>AI4+1</f>
        <v>8</v>
      </c>
      <c r="AO4" s="256"/>
      <c r="AP4" s="256"/>
      <c r="AQ4" s="257"/>
      <c r="AR4" s="258"/>
      <c r="AS4" s="523">
        <f>AN4+1</f>
        <v>9</v>
      </c>
      <c r="AT4" s="256"/>
      <c r="AU4" s="256"/>
      <c r="AV4" s="257"/>
      <c r="AW4" s="258"/>
      <c r="AX4" s="523">
        <f>AS4+1</f>
        <v>10</v>
      </c>
      <c r="AY4" s="256"/>
      <c r="AZ4" s="256"/>
      <c r="BA4" s="257"/>
      <c r="BB4" s="258"/>
      <c r="BC4" s="523">
        <f>AX4+1</f>
        <v>11</v>
      </c>
      <c r="BD4" s="256"/>
      <c r="BE4" s="256"/>
      <c r="BF4" s="257"/>
      <c r="BG4" s="258"/>
      <c r="BH4" s="523">
        <f>BC4+1</f>
        <v>12</v>
      </c>
      <c r="BI4" s="256"/>
      <c r="BJ4" s="256"/>
      <c r="BK4" s="257"/>
      <c r="BL4" s="258"/>
      <c r="BM4" s="523">
        <f>BH4+1</f>
        <v>13</v>
      </c>
      <c r="BN4" s="256"/>
      <c r="BO4" s="256"/>
      <c r="BP4" s="257"/>
      <c r="BQ4" s="258"/>
      <c r="BR4" s="523">
        <f>BM4+1</f>
        <v>14</v>
      </c>
      <c r="BS4" s="256"/>
      <c r="BT4" s="256"/>
      <c r="BU4" s="257"/>
      <c r="BV4" s="258"/>
      <c r="BW4" s="523">
        <f>BR4+1</f>
        <v>15</v>
      </c>
      <c r="BX4" s="256"/>
      <c r="BY4" s="256"/>
      <c r="BZ4" s="257"/>
      <c r="CA4" s="258"/>
      <c r="CB4" s="523">
        <f>BW4+1</f>
        <v>16</v>
      </c>
      <c r="CC4" s="256"/>
      <c r="CD4" s="256"/>
      <c r="CE4" s="257"/>
      <c r="CF4" s="258"/>
      <c r="CG4" s="219" t="s">
        <v>145</v>
      </c>
      <c r="CH4" s="220"/>
      <c r="CI4" s="220"/>
      <c r="CJ4" s="220"/>
      <c r="CK4" s="220"/>
      <c r="CL4" s="220"/>
      <c r="CM4" s="220"/>
      <c r="CN4" s="220"/>
      <c r="CO4" s="220"/>
      <c r="CP4" s="220"/>
      <c r="CQ4" s="220"/>
      <c r="CR4" s="220"/>
      <c r="CS4" s="224"/>
      <c r="CT4" s="225"/>
      <c r="CU4" s="230"/>
      <c r="CV4" s="441"/>
      <c r="CW4" s="515"/>
      <c r="CX4" s="78" t="s">
        <v>146</v>
      </c>
    </row>
    <row r="5" spans="1:140" s="79" customFormat="1" ht="21" customHeight="1" thickBot="1" x14ac:dyDescent="0.35">
      <c r="A5" s="515"/>
      <c r="B5" s="165">
        <f>ROUNDUP($C$5/2, 0)</f>
        <v>0</v>
      </c>
      <c r="C5" s="166">
        <f>COUNTA('SEM 3'!E8,'SEM 3'!J8,'SEM 3'!O8,'SEM 3'!T8,'SEM 3'!Y8,'SEM 3'!AD8,'SEM 3'!AI8,'SEM 3'!AN8,'SEM 3'!AS8,'SEM 3'!AX8,'SEM 3'!BC8,'SEM 3'!BH8,'SEM 3'!BM8,'SEM 3'!BR8,'SEM 3'!BW8,'SEM 3'!CB8)</f>
        <v>0</v>
      </c>
      <c r="D5" s="429">
        <v>0</v>
      </c>
      <c r="E5" s="524" t="s">
        <v>68</v>
      </c>
      <c r="F5" s="525"/>
      <c r="G5" s="526"/>
      <c r="H5" s="527" t="str">
        <f>E5&amp;"SF"</f>
        <v>-SF</v>
      </c>
      <c r="I5" s="528" t="str">
        <f>E5&amp;"F"</f>
        <v>-F</v>
      </c>
      <c r="J5" s="524" t="s">
        <v>68</v>
      </c>
      <c r="K5" s="525"/>
      <c r="L5" s="526"/>
      <c r="M5" s="530" t="str">
        <f>J5&amp;"SF"</f>
        <v>-SF</v>
      </c>
      <c r="N5" s="531" t="str">
        <f>J5&amp;"F"</f>
        <v>-F</v>
      </c>
      <c r="O5" s="524" t="s">
        <v>68</v>
      </c>
      <c r="P5" s="525"/>
      <c r="Q5" s="526"/>
      <c r="R5" s="530" t="str">
        <f>O5&amp;"SF"</f>
        <v>-SF</v>
      </c>
      <c r="S5" s="531" t="str">
        <f>O5&amp;"F"</f>
        <v>-F</v>
      </c>
      <c r="T5" s="524" t="s">
        <v>68</v>
      </c>
      <c r="U5" s="525"/>
      <c r="V5" s="526"/>
      <c r="W5" s="530" t="str">
        <f>T5&amp;"SF"</f>
        <v>-SF</v>
      </c>
      <c r="X5" s="531" t="str">
        <f>T5&amp;"F"</f>
        <v>-F</v>
      </c>
      <c r="Y5" s="524" t="s">
        <v>68</v>
      </c>
      <c r="Z5" s="525"/>
      <c r="AA5" s="526"/>
      <c r="AB5" s="530" t="str">
        <f>Y5&amp;"SF"</f>
        <v>-SF</v>
      </c>
      <c r="AC5" s="531" t="str">
        <f>Y5&amp;"F"</f>
        <v>-F</v>
      </c>
      <c r="AD5" s="524" t="s">
        <v>68</v>
      </c>
      <c r="AE5" s="525"/>
      <c r="AF5" s="526"/>
      <c r="AG5" s="530" t="str">
        <f>AD5&amp;"SF"</f>
        <v>-SF</v>
      </c>
      <c r="AH5" s="531" t="str">
        <f>AD5&amp;"F"</f>
        <v>-F</v>
      </c>
      <c r="AI5" s="524" t="s">
        <v>68</v>
      </c>
      <c r="AJ5" s="525"/>
      <c r="AK5" s="526"/>
      <c r="AL5" s="530" t="str">
        <f>AI5&amp;"SF"</f>
        <v>-SF</v>
      </c>
      <c r="AM5" s="531" t="str">
        <f>AI5&amp;"F"</f>
        <v>-F</v>
      </c>
      <c r="AN5" s="524" t="s">
        <v>68</v>
      </c>
      <c r="AO5" s="525"/>
      <c r="AP5" s="526"/>
      <c r="AQ5" s="530" t="str">
        <f>AN5&amp;"SF"</f>
        <v>-SF</v>
      </c>
      <c r="AR5" s="531" t="str">
        <f>AN5&amp;"F"</f>
        <v>-F</v>
      </c>
      <c r="AS5" s="524" t="s">
        <v>68</v>
      </c>
      <c r="AT5" s="525"/>
      <c r="AU5" s="526"/>
      <c r="AV5" s="530" t="str">
        <f>AS5&amp;"SF"</f>
        <v>-SF</v>
      </c>
      <c r="AW5" s="531" t="str">
        <f>AS5&amp;"F"</f>
        <v>-F</v>
      </c>
      <c r="AX5" s="524" t="s">
        <v>68</v>
      </c>
      <c r="AY5" s="525"/>
      <c r="AZ5" s="526"/>
      <c r="BA5" s="530" t="str">
        <f>AX5&amp;"SF"</f>
        <v>-SF</v>
      </c>
      <c r="BB5" s="531" t="str">
        <f>AX5&amp;"F"</f>
        <v>-F</v>
      </c>
      <c r="BC5" s="524" t="s">
        <v>68</v>
      </c>
      <c r="BD5" s="525"/>
      <c r="BE5" s="526"/>
      <c r="BF5" s="530" t="str">
        <f>BC5&amp;"SF"</f>
        <v>-SF</v>
      </c>
      <c r="BG5" s="531" t="str">
        <f>BC5&amp;"F"</f>
        <v>-F</v>
      </c>
      <c r="BH5" s="524" t="s">
        <v>68</v>
      </c>
      <c r="BI5" s="525"/>
      <c r="BJ5" s="526"/>
      <c r="BK5" s="530" t="str">
        <f>BH5&amp;"SF"</f>
        <v>-SF</v>
      </c>
      <c r="BL5" s="531" t="str">
        <f>$BH$5&amp;"F"</f>
        <v>-F</v>
      </c>
      <c r="BM5" s="524" t="s">
        <v>68</v>
      </c>
      <c r="BN5" s="525"/>
      <c r="BO5" s="526"/>
      <c r="BP5" s="530" t="str">
        <f>BM5&amp;"SF"</f>
        <v>-SF</v>
      </c>
      <c r="BQ5" s="531" t="str">
        <f>BM5&amp;"F"</f>
        <v>-F</v>
      </c>
      <c r="BR5" s="532" t="s">
        <v>68</v>
      </c>
      <c r="BS5" s="529"/>
      <c r="BT5" s="529"/>
      <c r="BU5" s="530" t="str">
        <f>BR5&amp;"SF"</f>
        <v>-SF</v>
      </c>
      <c r="BV5" s="531" t="str">
        <f>BR5&amp;"F"</f>
        <v>-F</v>
      </c>
      <c r="BW5" s="532" t="s">
        <v>68</v>
      </c>
      <c r="BX5" s="529"/>
      <c r="BY5" s="529"/>
      <c r="BZ5" s="530" t="str">
        <f>BW5&amp;"SF"</f>
        <v>-SF</v>
      </c>
      <c r="CA5" s="531" t="str">
        <f>BW5&amp;"F"</f>
        <v>-F</v>
      </c>
      <c r="CB5" s="532" t="s">
        <v>68</v>
      </c>
      <c r="CC5" s="529"/>
      <c r="CD5" s="529"/>
      <c r="CE5" s="530" t="str">
        <f>CB5&amp;"SF"</f>
        <v>-SF</v>
      </c>
      <c r="CF5" s="531" t="str">
        <f>CB5&amp;"F"</f>
        <v>-F</v>
      </c>
      <c r="CG5" s="151"/>
      <c r="CH5" s="152"/>
      <c r="CI5" s="152"/>
      <c r="CJ5" s="152"/>
      <c r="CK5" s="152"/>
      <c r="CL5" s="152"/>
      <c r="CM5" s="152"/>
      <c r="CN5" s="152"/>
      <c r="CO5" s="152"/>
      <c r="CP5" s="152"/>
      <c r="CQ5" s="152"/>
      <c r="CR5" s="152"/>
      <c r="CS5" s="226" t="s">
        <v>124</v>
      </c>
      <c r="CT5" s="227"/>
      <c r="CU5" s="273">
        <f>(AY3*80%)/3</f>
        <v>3466.6666666666665</v>
      </c>
      <c r="CV5" s="442"/>
      <c r="CW5" s="515"/>
    </row>
    <row r="6" spans="1:140" s="79" customFormat="1" ht="21" customHeight="1" x14ac:dyDescent="0.25">
      <c r="A6" s="515"/>
      <c r="B6" s="255">
        <f>COUNTA(F6,Z6,AY6)</f>
        <v>0</v>
      </c>
      <c r="C6" s="253" t="s">
        <v>147</v>
      </c>
      <c r="D6" s="252"/>
      <c r="E6" s="259" t="s">
        <v>148</v>
      </c>
      <c r="F6" s="260"/>
      <c r="G6" s="261"/>
      <c r="H6" s="261"/>
      <c r="I6" s="262"/>
      <c r="J6" s="259" t="s">
        <v>148</v>
      </c>
      <c r="K6" s="260"/>
      <c r="L6" s="261"/>
      <c r="M6" s="261"/>
      <c r="N6" s="262"/>
      <c r="O6" s="259" t="s">
        <v>148</v>
      </c>
      <c r="P6" s="260"/>
      <c r="Q6" s="261"/>
      <c r="R6" s="261"/>
      <c r="S6" s="262"/>
      <c r="T6" s="259" t="s">
        <v>148</v>
      </c>
      <c r="U6" s="260"/>
      <c r="V6" s="261"/>
      <c r="W6" s="261"/>
      <c r="X6" s="262"/>
      <c r="Y6" s="259" t="s">
        <v>148</v>
      </c>
      <c r="Z6" s="260"/>
      <c r="AA6" s="261"/>
      <c r="AB6" s="261"/>
      <c r="AC6" s="262"/>
      <c r="AD6" s="259" t="s">
        <v>148</v>
      </c>
      <c r="AE6" s="260"/>
      <c r="AF6" s="261"/>
      <c r="AG6" s="261"/>
      <c r="AH6" s="262"/>
      <c r="AI6" s="259" t="s">
        <v>148</v>
      </c>
      <c r="AJ6" s="260"/>
      <c r="AK6" s="261"/>
      <c r="AL6" s="261"/>
      <c r="AM6" s="262"/>
      <c r="AN6" s="259" t="s">
        <v>148</v>
      </c>
      <c r="AO6" s="260"/>
      <c r="AP6" s="261"/>
      <c r="AQ6" s="261"/>
      <c r="AR6" s="262"/>
      <c r="AS6" s="259" t="s">
        <v>148</v>
      </c>
      <c r="AT6" s="260"/>
      <c r="AU6" s="261"/>
      <c r="AV6" s="261"/>
      <c r="AW6" s="262"/>
      <c r="AX6" s="259" t="s">
        <v>148</v>
      </c>
      <c r="AY6" s="260"/>
      <c r="AZ6" s="261"/>
      <c r="BA6" s="261"/>
      <c r="BB6" s="262"/>
      <c r="BC6" s="259" t="s">
        <v>148</v>
      </c>
      <c r="BD6" s="260"/>
      <c r="BE6" s="261"/>
      <c r="BF6" s="261"/>
      <c r="BG6" s="262"/>
      <c r="BH6" s="259" t="s">
        <v>148</v>
      </c>
      <c r="BI6" s="260"/>
      <c r="BJ6" s="261"/>
      <c r="BK6" s="261"/>
      <c r="BL6" s="262"/>
      <c r="BM6" s="259" t="s">
        <v>148</v>
      </c>
      <c r="BN6" s="260"/>
      <c r="BO6" s="261"/>
      <c r="BP6" s="261"/>
      <c r="BQ6" s="262"/>
      <c r="BR6" s="259" t="s">
        <v>148</v>
      </c>
      <c r="BS6" s="260"/>
      <c r="BT6" s="261"/>
      <c r="BU6" s="261"/>
      <c r="BV6" s="262"/>
      <c r="BW6" s="259" t="s">
        <v>148</v>
      </c>
      <c r="BX6" s="260"/>
      <c r="BY6" s="261"/>
      <c r="BZ6" s="261"/>
      <c r="CA6" s="262"/>
      <c r="CB6" s="259" t="s">
        <v>148</v>
      </c>
      <c r="CC6" s="260"/>
      <c r="CD6" s="261"/>
      <c r="CE6" s="261"/>
      <c r="CF6" s="262"/>
      <c r="CG6" s="236" t="s">
        <v>149</v>
      </c>
      <c r="CH6" s="237"/>
      <c r="CI6" s="238"/>
      <c r="CJ6" s="236" t="s">
        <v>150</v>
      </c>
      <c r="CK6" s="237"/>
      <c r="CL6" s="238"/>
      <c r="CM6" s="236" t="s">
        <v>151</v>
      </c>
      <c r="CN6" s="237"/>
      <c r="CO6" s="238"/>
      <c r="CP6" s="233" t="s">
        <v>147</v>
      </c>
      <c r="CQ6" s="234"/>
      <c r="CR6" s="235"/>
      <c r="CS6" s="275" t="s">
        <v>152</v>
      </c>
      <c r="CT6" s="276" t="s">
        <v>153</v>
      </c>
      <c r="CU6" s="274" t="s">
        <v>154</v>
      </c>
      <c r="CV6" s="443" t="s">
        <v>155</v>
      </c>
      <c r="CW6" s="515"/>
      <c r="DB6" s="395" t="s">
        <v>156</v>
      </c>
      <c r="DC6" s="395"/>
      <c r="DD6" s="395"/>
      <c r="DE6" s="395"/>
      <c r="DF6" s="395"/>
      <c r="DG6" s="395"/>
      <c r="DH6" s="395"/>
      <c r="DI6" s="395"/>
      <c r="DJ6" s="395"/>
      <c r="DK6" s="395"/>
      <c r="DL6" s="395"/>
      <c r="DM6" s="395"/>
      <c r="DN6" s="395"/>
      <c r="DO6" s="395"/>
      <c r="DP6" s="395"/>
      <c r="DQ6" s="395"/>
      <c r="DR6" s="395"/>
      <c r="DT6" s="392" t="s">
        <v>157</v>
      </c>
      <c r="DU6" s="393"/>
      <c r="DV6" s="393"/>
      <c r="DW6" s="393"/>
      <c r="DX6" s="393"/>
      <c r="DY6" s="393"/>
      <c r="DZ6" s="393"/>
      <c r="EA6" s="393"/>
      <c r="EB6" s="393"/>
      <c r="EC6" s="393"/>
      <c r="ED6" s="393"/>
      <c r="EE6" s="393"/>
      <c r="EF6" s="393"/>
      <c r="EG6" s="393"/>
      <c r="EH6" s="393"/>
      <c r="EI6" s="393"/>
      <c r="EJ6" s="394"/>
    </row>
    <row r="7" spans="1:140" ht="27.75" customHeight="1" x14ac:dyDescent="0.25">
      <c r="A7" s="515"/>
      <c r="B7" s="405" t="s">
        <v>158</v>
      </c>
      <c r="C7" s="400" t="s">
        <v>159</v>
      </c>
      <c r="D7" s="400" t="s">
        <v>160</v>
      </c>
      <c r="E7" s="401" t="s">
        <v>161</v>
      </c>
      <c r="F7" s="401" t="s">
        <v>162</v>
      </c>
      <c r="G7" s="401" t="s">
        <v>163</v>
      </c>
      <c r="H7" s="401" t="s">
        <v>164</v>
      </c>
      <c r="I7" s="401" t="s">
        <v>165</v>
      </c>
      <c r="J7" s="401" t="s">
        <v>166</v>
      </c>
      <c r="K7" s="401" t="s">
        <v>21</v>
      </c>
      <c r="L7" s="401" t="s">
        <v>167</v>
      </c>
      <c r="M7" s="401" t="s">
        <v>168</v>
      </c>
      <c r="N7" s="401" t="s">
        <v>22</v>
      </c>
      <c r="O7" s="401" t="s">
        <v>23</v>
      </c>
      <c r="P7" s="401" t="s">
        <v>24</v>
      </c>
      <c r="Q7" s="401" t="s">
        <v>169</v>
      </c>
      <c r="R7" s="401" t="s">
        <v>170</v>
      </c>
      <c r="S7" s="401" t="s">
        <v>171</v>
      </c>
      <c r="T7" s="401" t="s">
        <v>172</v>
      </c>
      <c r="U7" s="401" t="s">
        <v>173</v>
      </c>
      <c r="V7" s="401" t="s">
        <v>174</v>
      </c>
      <c r="W7" s="401" t="s">
        <v>175</v>
      </c>
      <c r="X7" s="401" t="s">
        <v>176</v>
      </c>
      <c r="Y7" s="401" t="s">
        <v>177</v>
      </c>
      <c r="Z7" s="401" t="s">
        <v>178</v>
      </c>
      <c r="AA7" s="401" t="s">
        <v>179</v>
      </c>
      <c r="AB7" s="401" t="s">
        <v>180</v>
      </c>
      <c r="AC7" s="401" t="s">
        <v>181</v>
      </c>
      <c r="AD7" s="401" t="s">
        <v>182</v>
      </c>
      <c r="AE7" s="401" t="s">
        <v>183</v>
      </c>
      <c r="AF7" s="401" t="s">
        <v>184</v>
      </c>
      <c r="AG7" s="401" t="s">
        <v>185</v>
      </c>
      <c r="AH7" s="401" t="s">
        <v>186</v>
      </c>
      <c r="AI7" s="401" t="s">
        <v>187</v>
      </c>
      <c r="AJ7" s="401" t="s">
        <v>188</v>
      </c>
      <c r="AK7" s="401" t="s">
        <v>189</v>
      </c>
      <c r="AL7" s="401" t="s">
        <v>190</v>
      </c>
      <c r="AM7" s="401" t="s">
        <v>191</v>
      </c>
      <c r="AN7" s="401" t="s">
        <v>192</v>
      </c>
      <c r="AO7" s="401" t="s">
        <v>193</v>
      </c>
      <c r="AP7" s="401" t="s">
        <v>194</v>
      </c>
      <c r="AQ7" s="401" t="s">
        <v>195</v>
      </c>
      <c r="AR7" s="401" t="s">
        <v>196</v>
      </c>
      <c r="AS7" s="402" t="s">
        <v>197</v>
      </c>
      <c r="AT7" s="402" t="s">
        <v>198</v>
      </c>
      <c r="AU7" s="402" t="s">
        <v>199</v>
      </c>
      <c r="AV7" s="402" t="s">
        <v>200</v>
      </c>
      <c r="AW7" s="402" t="s">
        <v>201</v>
      </c>
      <c r="AX7" s="399" t="s">
        <v>202</v>
      </c>
      <c r="AY7" s="403" t="s">
        <v>203</v>
      </c>
      <c r="AZ7" s="404" t="s">
        <v>204</v>
      </c>
      <c r="BA7" s="404" t="s">
        <v>205</v>
      </c>
      <c r="BB7" s="405" t="s">
        <v>206</v>
      </c>
      <c r="BC7" s="404" t="s">
        <v>207</v>
      </c>
      <c r="BD7" s="404" t="s">
        <v>208</v>
      </c>
      <c r="BE7" s="404" t="s">
        <v>209</v>
      </c>
      <c r="BF7" s="404" t="s">
        <v>210</v>
      </c>
      <c r="BG7" s="404" t="s">
        <v>211</v>
      </c>
      <c r="BH7" s="404" t="s">
        <v>212</v>
      </c>
      <c r="BI7" s="404" t="s">
        <v>213</v>
      </c>
      <c r="BJ7" s="404" t="s">
        <v>214</v>
      </c>
      <c r="BK7" s="404" t="s">
        <v>215</v>
      </c>
      <c r="BL7" s="404" t="s">
        <v>216</v>
      </c>
      <c r="BM7" s="404" t="s">
        <v>217</v>
      </c>
      <c r="BN7" s="404" t="s">
        <v>218</v>
      </c>
      <c r="BO7" s="404" t="s">
        <v>219</v>
      </c>
      <c r="BP7" s="404" t="s">
        <v>220</v>
      </c>
      <c r="BQ7" s="404" t="s">
        <v>221</v>
      </c>
      <c r="BR7" s="404" t="s">
        <v>222</v>
      </c>
      <c r="BS7" s="404" t="s">
        <v>223</v>
      </c>
      <c r="BT7" s="404" t="s">
        <v>224</v>
      </c>
      <c r="BU7" s="404" t="s">
        <v>225</v>
      </c>
      <c r="BV7" s="404" t="s">
        <v>226</v>
      </c>
      <c r="BW7" s="404" t="s">
        <v>227</v>
      </c>
      <c r="BX7" s="404" t="s">
        <v>228</v>
      </c>
      <c r="BY7" s="404" t="s">
        <v>229</v>
      </c>
      <c r="BZ7" s="404" t="s">
        <v>230</v>
      </c>
      <c r="CA7" s="404" t="s">
        <v>231</v>
      </c>
      <c r="CB7" s="404" t="s">
        <v>232</v>
      </c>
      <c r="CC7" s="404" t="s">
        <v>233</v>
      </c>
      <c r="CD7" s="404" t="s">
        <v>234</v>
      </c>
      <c r="CE7" s="404" t="s">
        <v>235</v>
      </c>
      <c r="CF7" s="404" t="s">
        <v>236</v>
      </c>
      <c r="CG7" s="406" t="s">
        <v>237</v>
      </c>
      <c r="CH7" s="406" t="s">
        <v>238</v>
      </c>
      <c r="CI7" s="407" t="s">
        <v>239</v>
      </c>
      <c r="CJ7" s="406" t="s">
        <v>240</v>
      </c>
      <c r="CK7" s="406" t="s">
        <v>241</v>
      </c>
      <c r="CL7" s="407" t="s">
        <v>242</v>
      </c>
      <c r="CM7" s="408" t="s">
        <v>243</v>
      </c>
      <c r="CN7" s="406" t="s">
        <v>244</v>
      </c>
      <c r="CO7" s="407" t="s">
        <v>245</v>
      </c>
      <c r="CP7" s="408" t="s">
        <v>246</v>
      </c>
      <c r="CQ7" s="406" t="s">
        <v>247</v>
      </c>
      <c r="CR7" s="406" t="s">
        <v>248</v>
      </c>
      <c r="CS7" s="409" t="s">
        <v>20</v>
      </c>
      <c r="CT7" s="409" t="s">
        <v>249</v>
      </c>
      <c r="CU7" s="409" t="s">
        <v>250</v>
      </c>
      <c r="CV7" s="403" t="s">
        <v>251</v>
      </c>
      <c r="CW7" s="515"/>
      <c r="CY7" t="s">
        <v>252</v>
      </c>
      <c r="CZ7" t="s">
        <v>253</v>
      </c>
      <c r="DB7" s="396" t="s">
        <v>9</v>
      </c>
      <c r="DC7" s="397">
        <v>1</v>
      </c>
      <c r="DD7" s="396">
        <v>2</v>
      </c>
      <c r="DE7" s="396">
        <v>3</v>
      </c>
      <c r="DF7" s="396">
        <v>4</v>
      </c>
      <c r="DG7" s="396">
        <v>5</v>
      </c>
      <c r="DH7" s="396">
        <v>6</v>
      </c>
      <c r="DI7" s="396">
        <v>7</v>
      </c>
      <c r="DJ7" s="396">
        <v>8</v>
      </c>
      <c r="DK7" s="396">
        <v>9</v>
      </c>
      <c r="DL7" s="396">
        <v>10</v>
      </c>
      <c r="DM7" s="396">
        <v>11</v>
      </c>
      <c r="DN7" s="396">
        <v>12</v>
      </c>
      <c r="DO7" s="396">
        <v>13</v>
      </c>
      <c r="DP7" s="396">
        <v>14</v>
      </c>
      <c r="DQ7" s="396">
        <v>15</v>
      </c>
      <c r="DR7" s="396">
        <v>16</v>
      </c>
      <c r="DT7" s="396" t="s">
        <v>9</v>
      </c>
      <c r="DU7" s="397">
        <v>1</v>
      </c>
      <c r="DV7" s="396">
        <v>2</v>
      </c>
      <c r="DW7" s="396">
        <v>3</v>
      </c>
      <c r="DX7" s="396">
        <v>4</v>
      </c>
      <c r="DY7" s="396">
        <v>5</v>
      </c>
      <c r="DZ7" s="396">
        <v>6</v>
      </c>
      <c r="EA7" s="396">
        <v>7</v>
      </c>
      <c r="EB7" s="396">
        <v>8</v>
      </c>
      <c r="EC7" s="396">
        <v>9</v>
      </c>
      <c r="ED7" s="396">
        <v>10</v>
      </c>
      <c r="EE7" s="396">
        <v>11</v>
      </c>
      <c r="EF7" s="396">
        <v>12</v>
      </c>
      <c r="EG7" s="396">
        <v>13</v>
      </c>
      <c r="EH7" s="396">
        <v>14</v>
      </c>
      <c r="EI7" s="396">
        <v>15</v>
      </c>
      <c r="EJ7" s="396">
        <v>16</v>
      </c>
    </row>
    <row r="8" spans="1:140" ht="20.100000000000001" customHeight="1" x14ac:dyDescent="0.35">
      <c r="A8" s="515"/>
      <c r="B8" s="444">
        <f>IF(SEMANA29[[#This Row],[COD]]&lt;&gt;"",B7+1,"")</f>
        <v>1</v>
      </c>
      <c r="C8" s="554" t="s">
        <v>29</v>
      </c>
      <c r="D8" s="410" t="str">
        <f t="array" ref="D8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PREMIO</v>
      </c>
      <c r="E8" s="411"/>
      <c r="F8" s="412"/>
      <c r="G8" s="412"/>
      <c r="H8" s="412"/>
      <c r="I8" s="534">
        <f t="shared" ref="I8:I39" si="0">SUM(IF(E8=E$5,4,0),IF(E8&amp;F8=E$5&amp;F$5,1,0),
IF(AND(E8=E$5,F$6&gt;=$D$115),1,0),
IF(AND(F8=E$5,F$6&gt;=$D$115),1,0),
IF(AND(G8=E$5,F$6&gt;=$D$115),1,0),
IF(E8&amp;H8=I$5,1,0),
IF(F8=E$5,2,0),
IF(G8=E$5,1,0),
IF(OR(E8&amp;F8&amp;G8=E$5&amp;F$5&amp;G$5,E8&amp;F8&amp;G8=E$5&amp;G$5&amp;F$5,E8&amp;F8&amp;G8=F$5&amp;E$5&amp;G$5,E8&amp;F8&amp;G8=F$5&amp;G$5&amp;E$5,E8&amp;F8&amp;G8=G$5&amp;E$5&amp;F$5,E8&amp;F8&amp;G8=G$5&amp;F$5&amp;E$5),2,0),IF(AND(E8=E$5,F$6&gt;=$D$129),1,0),IF(AND(F8=E$5,F$6&gt;=$D$129),1,0),IF(AND(G8=E$5,F$6&gt;=$D$129),1,0),IF(E8&amp;H8=H$5,4,0),IF(AND(E8=E$5,F$6&lt;=$D$104),-0.5,0),IF(AND(F8=E$5,F$6&lt;=$D$104),-0.5,0),IF(AND(G8=E$5,F$6&lt;=$D$104),-0.5,0))</f>
        <v>0</v>
      </c>
      <c r="J8" s="411"/>
      <c r="K8" s="412"/>
      <c r="L8" s="412"/>
      <c r="M8" s="412"/>
      <c r="N8" s="534">
        <f t="shared" ref="N8:N39" si="1">SUM(IF(J8=J$5,4,0),IF(J8&amp;K8=J$5&amp;K$5,1,0),
IF(AND(J8=J$5,K$6&gt;=$D$115),1,0),
IF(AND(K8=J$5,K$6&gt;=$D$115),1,0),
IF(AND(L8=J$5,K$6&gt;=$D$115),1,0),
IF(J8&amp;M8=N$5,1,0),
IF(K8=J$5,2,0),
IF(L8=J$5,1,0),
IF(OR(J8&amp;K8&amp;L8=J$5&amp;K$5&amp;L$5,J8&amp;K8&amp;L8=J$5&amp;L$5&amp;K$5,J8&amp;K8&amp;L8=K$5&amp;J$5&amp;L$5,J8&amp;K8&amp;L8=K$5&amp;L$5&amp;J$5,J8&amp;K8&amp;L8=L$5&amp;J$5&amp;K$5,J8&amp;K8&amp;L8=L$5&amp;K$5&amp;J$5),2,0),IF(AND(J8=J$5,K$6&gt;=$D$129),1,0),IF(AND(K8=J$5,K$6&gt;=$D$129),1,0),IF(AND(L8=J$5,K$6&gt;=$D$129),1,0),IF(J8&amp;M8=M$5,4,0),IF(AND(J8=J$5,K$6&lt;=$D$104),-0.5,0),IF(AND(K8=J$5,K$6&lt;=$D$104),-0.5,0),IF(AND(L8=J$5,K$6&lt;=$D$104),-0.5,0))</f>
        <v>0</v>
      </c>
      <c r="O8" s="411"/>
      <c r="P8" s="412"/>
      <c r="Q8" s="412"/>
      <c r="R8" s="412"/>
      <c r="S8" s="534">
        <f t="shared" ref="S8:S39" si="2">SUM(IF(O8=O$5,4,0),IF(O8&amp;P8=O$5&amp;P$5,1,0),
IF(AND(O8=O$5,P$6&gt;=$D$115),1,0),
IF(AND(P8=O$5,P$6&gt;=$D$115),1,0),
IF(AND(Q8=O$5,P$6&gt;=$D$115),1,0),
IF(O8&amp;R8=S$5,1,0),
IF(P8=O$5,2,0),
IF(Q8=O$5,1,0),
IF(OR(O8&amp;P8&amp;Q8=O$5&amp;P$5&amp;Q$5,O8&amp;P8&amp;Q8=O$5&amp;Q$5&amp;P$5,O8&amp;P8&amp;Q8=P$5&amp;O$5&amp;Q$5,O8&amp;P8&amp;Q8=P$5&amp;Q$5&amp;O$5,O8&amp;P8&amp;Q8=Q$5&amp;O$5&amp;P$5,O8&amp;P8&amp;Q8=Q$5&amp;P$5&amp;O$5),2,0),IF(AND(O8=O$5,P$6&gt;=$D$129),1,0),IF(AND(P8=O$5,P$6&gt;=$D$129),1,0),IF(AND(Q8=O$5,P$6&gt;=$D$129),1,0),IF(O8&amp;R8=R$5,4,0),IF(AND(O8=O$5,P$6&lt;=$D$104),-0.5,0),IF(AND(P8=O$5,P$6&lt;=$D$104),-0.5,0),IF(AND(Q8=O$5,P$6&lt;=$D$104),-0.5,0))</f>
        <v>0</v>
      </c>
      <c r="T8" s="411"/>
      <c r="U8" s="412"/>
      <c r="V8" s="412"/>
      <c r="W8" s="412"/>
      <c r="X8" s="534">
        <f t="shared" ref="X8:X39" si="3">SUM(IF(T8=T$5,4,0),IF(T8&amp;U8=T$5&amp;U$5,1,0),
IF(AND(T8=T$5,U$6&gt;=$D$115),1,0),
IF(AND(U8=T$5,U$6&gt;=$D$115),1,0),
IF(AND(V8=T$5,U$6&gt;=$D$115),1,0),
IF(T8&amp;W8=X$5,1,0),
IF(U8=T$5,2,0),
IF(V8=T$5,1,0),
IF(OR(T8&amp;U8&amp;V8=T$5&amp;U$5&amp;V$5,T8&amp;U8&amp;V8=T$5&amp;V$5&amp;U$5,T8&amp;U8&amp;V8=U$5&amp;T$5&amp;V$5,T8&amp;U8&amp;V8=U$5&amp;V$5&amp;T$5,T8&amp;U8&amp;V8=V$5&amp;T$5&amp;U$5,T8&amp;U8&amp;V8=V$5&amp;U$5&amp;T$5),2,0),IF(AND(T8=T$5,U$6&gt;=$D$129),1,0),IF(AND(U8=T$5,U$6&gt;=$D$129),1,0),IF(AND(V8=T$5,U$6&gt;=$D$129),1,0),IF(T8&amp;W8=W$5,4,0),IF(AND(T8=T$5,U$6&lt;=$D$104),-0.5,0),IF(AND(U8=T$5,U$6&lt;=$D$104),-0.5,0),IF(AND(V8=T$5,U$6&lt;=$D$104),-0.5,0))</f>
        <v>0</v>
      </c>
      <c r="Y8" s="411"/>
      <c r="Z8" s="412"/>
      <c r="AA8" s="412"/>
      <c r="AB8" s="412"/>
      <c r="AC8" s="534">
        <f t="shared" ref="AC8:AC39" si="4">SUM(IF(Y8=Y$5,4,0),IF(Y8&amp;Z8=Y$5&amp;Z$5,1,0),
IF(AND(Y8=Y$5,Z$6&gt;=$D$115),1,0),
IF(AND(Z8=Y$5,Z$6&gt;=$D$115),1,0),
IF(AND(AA8=Y$5,Z$6&gt;=$D$115),1,0),
IF(Y8&amp;AB8=AC$5,1,0),
IF(Z8=Y$5,2,0),
IF(AA8=Y$5,1,0),
IF(OR(Y8&amp;Z8&amp;AA8=Y$5&amp;Z$5&amp;AA$5,Y8&amp;Z8&amp;AA8=Y$5&amp;AA$5&amp;Z$5,Y8&amp;Z8&amp;AA8=Z$5&amp;Y$5&amp;AA$5,Y8&amp;Z8&amp;AA8=Z$5&amp;AA$5&amp;Y$5,Y8&amp;Z8&amp;AA8=AA$5&amp;Y$5&amp;Z$5,Y8&amp;Z8&amp;AA8=AA$5&amp;Z$5&amp;Y$5),2,0),IF(AND(Y8=Y$5,Z$6&gt;=$D$129),1,0),IF(AND(Z8=Y$5,Z$6&gt;=$D$129),1,0),IF(AND(AA8=Y$5,Z$6&gt;=$D$129),1,0),IF(Y8&amp;AB8=AB$5,4,0),IF(AND(Y8=Y$5,Z$6&lt;=$D$104),-0.5,0),IF(AND(Z8=Y$5,Z$6&lt;=$D$104),-0.5,0),IF(AND(AA8=Y$5,Z$6&lt;=$D$104),-0.5,0))</f>
        <v>0</v>
      </c>
      <c r="AD8" s="411"/>
      <c r="AE8" s="412"/>
      <c r="AF8" s="412"/>
      <c r="AG8" s="412"/>
      <c r="AH8" s="534">
        <f t="shared" ref="AH8:AH39" si="5">SUM(IF(AD8=AD$5,4,0),IF(AD8&amp;AE8=AD$5&amp;AE$5,1,0),
IF(AND(AD8=AD$5,AE$6&gt;=$D$115),1,0),
IF(AND(AE8=AD$5,AE$6&gt;=$D$115),1,0),
IF(AND(AF8=AD$5,AE$6&gt;=$D$115),1,0),
IF(AD8&amp;AG8=AH$5,1,0),
IF(AE8=AD$5,2,0),
IF(AF8=AD$5,1,0),
IF(OR(AD8&amp;AE8&amp;AF8=AD$5&amp;AE$5&amp;AF$5,AD8&amp;AE8&amp;AF8=AD$5&amp;AF$5&amp;AE$5,AD8&amp;AE8&amp;AF8=AE$5&amp;AD$5&amp;AF$5,AD8&amp;AE8&amp;AF8=AE$5&amp;AF$5&amp;AD$5,AD8&amp;AE8&amp;AF8=AF$5&amp;AD$5&amp;AE$5,AD8&amp;AE8&amp;AF8=AF$5&amp;AE$5&amp;AD$5),2,0),IF(AND(AD8=AD$5,AE$6&gt;=$D$129),1,0),IF(AND(AE8=AD$5,AE$6&gt;=$D$129),1,0),IF(AND(AF8=AD$5,AE$6&gt;=$D$129),1,0),IF(AD8&amp;AG8=AG$5,4,0),IF(AND(AD8=AD$5,AE$6&lt;=$D$104),-0.5,0),IF(AND(AE8=AD$5,AE$6&lt;=$D$104),-0.5,0),IF(AND(AF8=AD$5,AE$6&lt;=$D$104),-0.5,0))</f>
        <v>0</v>
      </c>
      <c r="AI8" s="411"/>
      <c r="AJ8" s="412"/>
      <c r="AK8" s="412"/>
      <c r="AL8" s="412"/>
      <c r="AM8" s="534">
        <f t="shared" ref="AM8:AM39" si="6">SUM(IF(AI8=AI$5,4,0),IF(AI8&amp;AJ8=AI$5&amp;AJ$5,1,0),
IF(AND(AI8=AI$5,AJ$6&gt;=$D$115),1,0),
IF(AND(AJ8=AI$5,AJ$6&gt;=$D$115),1,0),
IF(AND(AK8=AI$5,AJ$6&gt;=$D$115),1,0),
IF(AI8&amp;AL8=AM$5,1,0),
IF(AJ8=AI$5,2,0),
IF(AK8=AI$5,1,0),
IF(OR(AI8&amp;AJ8&amp;AK8=AI$5&amp;AJ$5&amp;AK$5,AI8&amp;AJ8&amp;AK8=AI$5&amp;AK$5&amp;AJ$5,AI8&amp;AJ8&amp;AK8=AJ$5&amp;AI$5&amp;AK$5,AI8&amp;AJ8&amp;AK8=AJ$5&amp;AK$5&amp;AI$5,AI8&amp;AJ8&amp;AK8=AK$5&amp;AI$5&amp;AJ$5,AI8&amp;AJ8&amp;AK8=AK$5&amp;AJ$5&amp;AI$5),2,0),IF(AND(AI8=AI$5,AJ$6&gt;=$D$129),1,0),IF(AND(AJ8=AI$5,AJ$6&gt;=$D$129),1,0),IF(AND(AK8=AI$5,AJ$6&gt;=$D$129),1,0),IF(AI8&amp;AL8=AL$5,4,0),IF(AND(AI8=AI$5,AJ$6&lt;=$D$104),-0.5,0),IF(AND(AJ8=AI$5,AJ$6&lt;=$D$104),-0.5,0),IF(AND(AK8=AI$5,AJ$6&lt;=$D$104),-0.5,0))</f>
        <v>0</v>
      </c>
      <c r="AN8" s="411"/>
      <c r="AO8" s="412"/>
      <c r="AP8" s="412"/>
      <c r="AQ8" s="412"/>
      <c r="AR8" s="534">
        <f t="shared" ref="AR8:AR39" si="7">SUM(IF(AN8=AN$5,4,0),IF(AN8&amp;AO8=AN$5&amp;AO$5,1,0),
IF(AND(AN8=AN$5,AO$6&gt;=$D$115),1,0),
IF(AND(AO8=AN$5,AO$6&gt;=$D$115),1,0),
IF(AND(AP8=AN$5,AO$6&gt;=$D$115),1,0),
IF(AN8&amp;AQ8=AR$5,1,0),
IF(AO8=AN$5,2,0),
IF(AP8=AN$5,1,0),
IF(OR(AN8&amp;AO8&amp;AP8=AN$5&amp;AO$5&amp;AP$5,AN8&amp;AO8&amp;AP8=AN$5&amp;AP$5&amp;AO$5,AN8&amp;AO8&amp;AP8=AO$5&amp;AN$5&amp;AP$5,AN8&amp;AO8&amp;AP8=AO$5&amp;AP$5&amp;AN$5,AN8&amp;AO8&amp;AP8=AP$5&amp;AN$5&amp;AO$5,AN8&amp;AO8&amp;AP8=AP$5&amp;AO$5&amp;AN$5),2,0),IF(AND(AN8=AN$5,AO$6&gt;=$D$129),1,0),IF(AND(AO8=AN$5,AO$6&gt;=$D$129),1,0),IF(AND(AP8=AN$5,AO$6&gt;=$D$129),1,0),IF(AN8&amp;AQ8=AQ$5,4,0),IF(AND(AN8=AN$5,AO$6&lt;=$D$104),-0.5,0),IF(AND(AO8=AN$5,AO$6&lt;=$D$104),-0.5,0),IF(AND(AP8=AN$5,AO$6&lt;=$D$104),-0.5,0))</f>
        <v>0</v>
      </c>
      <c r="AS8" s="411"/>
      <c r="AT8" s="412"/>
      <c r="AU8" s="412"/>
      <c r="AV8" s="412"/>
      <c r="AW8" s="534">
        <f t="shared" ref="AW8:AW39" si="8">SUM(IF(AS8=AS$5,4,0),IF(AS8&amp;AT8=AS$5&amp;AT$5,1,0),
IF(AND(AS8=AS$5,AT$6&gt;=$D$115),1,0),
IF(AND(AT8=AS$5,AT$6&gt;=$D$115),1,0),
IF(AND(AU8=AS$5,AT$6&gt;=$D$115),1,0),
IF(AS8&amp;AV8=AW$5,1,0),
IF(AT8=AS$5,2,0),
IF(AU8=AS$5,1,0),
IF(OR(AS8&amp;AT8&amp;AU8=AS$5&amp;AT$5&amp;AU$5,AS8&amp;AT8&amp;AU8=AS$5&amp;AU$5&amp;AT$5,AS8&amp;AT8&amp;AU8=AT$5&amp;AS$5&amp;AU$5,AS8&amp;AT8&amp;AU8=AT$5&amp;AU$5&amp;AS$5,AS8&amp;AT8&amp;AU8=AU$5&amp;AS$5&amp;AT$5,AS8&amp;AT8&amp;AU8=AU$5&amp;AT$5&amp;AS$5),2,0),IF(AND(AS8=AS$5,AT$6&gt;=$D$129),1,0),IF(AND(AT8=AS$5,AT$6&gt;=$D$129),1,0),IF(AND(AU8=AS$5,AT$6&gt;=$D$129),1,0),IF(AS8&amp;AV8=AV$5,4,0),IF(AND(AS8=AS$5,AT$6&lt;=$D$104),-0.5,0),IF(AND(AT8=AS$5,AT$6&lt;=$D$104),-0.5,0),IF(AND(AU8=AS$5,AT$6&lt;=$D$104),-0.5,0))</f>
        <v>0</v>
      </c>
      <c r="AX8" s="411"/>
      <c r="AY8" s="412"/>
      <c r="AZ8" s="412"/>
      <c r="BA8" s="412"/>
      <c r="BB8" s="534">
        <f t="shared" ref="BB8:BB39" si="9">SUM(IF(AX8=AX$5,4,0),IF(AX8&amp;AY8=AX$5&amp;AY$5,1,0),
IF(AND(AX8=AX$5,AY$6&gt;=$D$115),1,0),
IF(AND(AY8=AX$5,AY$6&gt;=$D$115),1,0),
IF(AND(AZ8=AX$5,AY$6&gt;=$D$115),1,0),
IF(AX8&amp;BA8=BB$5,1,0),
IF(AY8=AX$5,2,0),
IF(AZ8=AX$5,1,0),
IF(OR(AX8&amp;AY8&amp;AZ8=AX$5&amp;AY$5&amp;AZ$5,AX8&amp;AY8&amp;AZ8=AX$5&amp;AZ$5&amp;AY$5,AX8&amp;AY8&amp;AZ8=AY$5&amp;AX$5&amp;AZ$5,AX8&amp;AY8&amp;AZ8=AY$5&amp;AZ$5&amp;AX$5,AX8&amp;AY8&amp;AZ8=AZ$5&amp;AX$5&amp;AY$5,AX8&amp;AY8&amp;AZ8=AZ$5&amp;AY$5&amp;AX$5),2,0),IF(AND(AX8=AX$5,AY$6&gt;=$D$129),1,0),IF(AND(AY8=AX$5,AY$6&gt;=$D$129),1,0),IF(AND(AZ8=AX$5,AY$6&gt;=$D$129),1,0),IF(AX8&amp;BA8=BA$5,4,0),IF(AND(AX8=AX$5,AY$6&lt;=$D$104),-0.5,0),IF(AND(AY8=AX$5,AY$6&lt;=$D$104),-0.5,0),IF(AND(AZ8=AX$5,AY$6&lt;=$D$104),-0.5,0))</f>
        <v>0</v>
      </c>
      <c r="BC8" s="411"/>
      <c r="BD8" s="412"/>
      <c r="BE8" s="412"/>
      <c r="BF8" s="412"/>
      <c r="BG8" s="534">
        <f t="shared" ref="BG8:BG39" si="10">SUM(IF(BC8=BC$5,4,0),IF(BC8&amp;BD8=BC$5&amp;BD$5,1,0),
IF(AND(BC8=BC$5,BD$6&gt;=$D$115),1,0),
IF(AND(BD8=BC$5,BD$6&gt;=$D$115),1,0),
IF(AND(BE8=BC$5,BD$6&gt;=$D$115),1,0),
IF(BC8&amp;BF8=BG$5,1,0),
IF(BD8=BC$5,2,0),
IF(BE8=BC$5,1,0),
IF(OR(BC8&amp;BD8&amp;BE8=BC$5&amp;BD$5&amp;BE$5,BC8&amp;BD8&amp;BE8=BC$5&amp;BE$5&amp;BD$5,BC8&amp;BD8&amp;BE8=BD$5&amp;BC$5&amp;BE$5,BC8&amp;BD8&amp;BE8=BD$5&amp;BE$5&amp;BC$5,BC8&amp;BD8&amp;BE8=BE$5&amp;BC$5&amp;BD$5,BC8&amp;BD8&amp;BE8=BE$5&amp;BD$5&amp;BC$5),2,0),IF(AND(BC8=BC$5,BD$6&gt;=$D$129),1,0),IF(AND(BD8=BC$5,BD$6&gt;=$D$129),1,0),IF(AND(BE8=BC$5,BD$6&gt;=$D$129),1,0),IF(BC8&amp;BF8=BF$5,4,0),IF(AND(BC8=BC$5,BD$6&lt;=$D$104),-0.5,0),IF(AND(BD8=BC$5,BD$6&lt;=$D$104),-0.5,0),IF(AND(BE8=BC$5,BD$6&lt;=$D$104),-0.5,0))</f>
        <v>0</v>
      </c>
      <c r="BH8" s="411"/>
      <c r="BI8" s="412"/>
      <c r="BJ8" s="412"/>
      <c r="BK8" s="412"/>
      <c r="BL8" s="534">
        <f t="shared" ref="BL8:BL39" si="11">SUM(IF(BH8=BH$5,4,0),IF(BH8&amp;BI8=BH$5&amp;BI$5,1,0),
IF(AND(BH8=BH$5,BI$6&gt;=$D$115),1,0),
IF(AND(BI8=BH$5,BI$6&gt;=$D$115),1,0),
IF(AND(BJ8=BH$5,BI$6&gt;=$D$115),1,0),
IF(BH8&amp;BK8=BL$5,1,0),
IF(BI8=BH$5,2,0),
IF(BJ8=BH$5,1,0),
IF(OR(BH8&amp;BI8&amp;BJ8=BH$5&amp;BI$5&amp;BJ$5,BH8&amp;BI8&amp;BJ8=BH$5&amp;BJ$5&amp;BI$5,BH8&amp;BI8&amp;BJ8=BI$5&amp;BH$5&amp;BJ$5,BH8&amp;BI8&amp;BJ8=BI$5&amp;BJ$5&amp;BH$5,BH8&amp;BI8&amp;BJ8=BJ$5&amp;BH$5&amp;BI$5,BH8&amp;BI8&amp;BJ8=BJ$5&amp;BI$5&amp;BH$5),2,0),IF(AND(BH8=BH$5,BI$6&gt;=$D$129),1,0),IF(AND(BI8=BH$5,BI$6&gt;=$D$129),1,0),IF(AND(BJ8=BH$5,BI$6&gt;=$D$129),1,0),IF(BH8&amp;BK8=BK$5,4,0),IF(AND(BH8=BH$5,BI$6&lt;=$D$104),-0.5,0),IF(AND(BI8=BH$5,BI$6&lt;=$D$104),-0.5,0),IF(AND(BJ8=BH$5,BI$6&lt;=$D$104),-0.5,0))</f>
        <v>0</v>
      </c>
      <c r="BM8" s="411"/>
      <c r="BN8" s="412"/>
      <c r="BO8" s="412"/>
      <c r="BP8" s="412"/>
      <c r="BQ8" s="534">
        <f t="shared" ref="BQ8:BQ39" si="12">SUM(IF(BM8=BM$5,4,0),IF(BM8&amp;BN8=BM$5&amp;BN$5,1,0),
IF(AND(BM8=BM$5,BN$6&gt;=$D$115),1,0),
IF(AND(BN8=BM$5,BN$6&gt;=$D$115),1,0),
IF(AND(BO8=BM$5,BN$6&gt;=$D$115),1,0),
IF(BM8&amp;BP8=BQ$5,1,0),
IF(BN8=BM$5,2,0),
IF(BO8=BM$5,1,0),
IF(OR(BM8&amp;BN8&amp;BO8=BM$5&amp;BN$5&amp;BO$5,BM8&amp;BN8&amp;BO8=BM$5&amp;BO$5&amp;BN$5,BM8&amp;BN8&amp;BO8=BN$5&amp;BM$5&amp;BO$5,BM8&amp;BN8&amp;BO8=BN$5&amp;BO$5&amp;BM$5,BM8&amp;BN8&amp;BO8=BO$5&amp;BM$5&amp;BN$5,BM8&amp;BN8&amp;BO8=BO$5&amp;BN$5&amp;BM$5),2,0),IF(AND(BM8=BM$5,BN$6&gt;=$D$129),1,0),IF(AND(BN8=BM$5,BN$6&gt;=$D$129),1,0),IF(AND(BO8=BM$5,BN$6&gt;=$D$129),1,0),IF(BM8&amp;BP8=BP$5,4,0),IF(AND(BM8=BM$5,BN$6&lt;=$D$104),-0.5,0),IF(AND(BN8=BM$5,BN$6&lt;=$D$104),-0.5,0),IF(AND(BO8=BM$5,BN$6&lt;=$D$104),-0.5,0))</f>
        <v>0</v>
      </c>
      <c r="BR8" s="411"/>
      <c r="BS8" s="412"/>
      <c r="BT8" s="412"/>
      <c r="BU8" s="412"/>
      <c r="BV8" s="534">
        <f t="shared" ref="BV8:BV39" si="13">SUM(IF(BR8=BR$5,4,0),IF(BR8&amp;BS8=BR$5&amp;BS$5,1,0),
IF(AND(BR8=BR$5,BS$6&gt;=$D$115),1,0),
IF(AND(BS8=BR$5,BS$6&gt;=$D$115),1,0),
IF(AND(BT8=BR$5,BS$6&gt;=$D$115),1,0),
IF(BR8&amp;BU8=BV$5,1,0),
IF(BS8=BR$5,2,0),
IF(BT8=BR$5,1,0),
IF(OR(BR8&amp;BS8&amp;BT8=BR$5&amp;BS$5&amp;BT$5,BR8&amp;BS8&amp;BT8=BR$5&amp;BT$5&amp;BS$5,BR8&amp;BS8&amp;BT8=BS$5&amp;BR$5&amp;BT$5,BR8&amp;BS8&amp;BT8=BS$5&amp;BT$5&amp;BR$5,BR8&amp;BS8&amp;BT8=BT$5&amp;BR$5&amp;BS$5,BR8&amp;BS8&amp;BT8=BT$5&amp;BS$5&amp;BR$5),2,0),IF(AND(BR8=BR$5,BS$6&gt;=$D$129),1,0),IF(AND(BS8=BR$5,BS$6&gt;=$D$129),1,0),IF(AND(BT8=BR$5,BS$6&gt;=$D$129),1,0),IF(BR8&amp;BU8=BU$5,4,0),IF(AND(BR8=BR$5,BS$6&lt;=$D$104),-0.5,0),IF(AND(BS8=BR$5,BS$6&lt;=$D$104),-0.5,0),IF(AND(BT8=BR$5,BS$6&lt;=$D$104),-0.5,0))</f>
        <v>0</v>
      </c>
      <c r="BW8" s="411"/>
      <c r="BX8" s="412"/>
      <c r="BY8" s="412"/>
      <c r="BZ8" s="412"/>
      <c r="CA8" s="534">
        <f t="shared" ref="CA8:CA39" si="14">SUM(IF(BW8=BW$5,4,0),IF(BW8&amp;BX8=BW$5&amp;BX$5,1,0),
IF(AND(BW8=BW$5,BX$6&gt;=$D$115),1,0),
IF(AND(BX8=BW$5,BX$6&gt;=$D$115),1,0),
IF(AND(BY8=BW$5,BX$6&gt;=$D$115),1,0),
IF(BW8&amp;BZ8=CA$5,1,0),
IF(BX8=BW$5,2,0),
IF(BY8=BW$5,1,0),
IF(OR(BW8&amp;BX8&amp;BY8=BW$5&amp;BX$5&amp;BY$5,BW8&amp;BX8&amp;BY8=BW$5&amp;BY$5&amp;BX$5,BW8&amp;BX8&amp;BY8=BX$5&amp;BW$5&amp;BY$5,BW8&amp;BX8&amp;BY8=BX$5&amp;BY$5&amp;BW$5,BW8&amp;BX8&amp;BY8=BY$5&amp;BW$5&amp;BX$5,BW8&amp;BX8&amp;BY8=BY$5&amp;BX$5&amp;BW$5),2,0),IF(AND(BW8=BW$5,BX$6&gt;=$D$129),1,0),IF(AND(BX8=BW$5,BX$6&gt;=$D$129),1,0),IF(AND(BY8=BW$5,BX$6&gt;=$D$129),1,0),IF(BW8&amp;BZ8=BZ$5,4,0),IF(AND(BW8=BW$5,BX$6&lt;=$D$104),-0.5,0),IF(AND(BX8=BW$5,BX$6&lt;=$D$104),-0.5,0),IF(AND(BY8=BW$5,BX$6&lt;=$D$104),-0.5,0))</f>
        <v>0</v>
      </c>
      <c r="CB8" s="411"/>
      <c r="CC8" s="412"/>
      <c r="CD8" s="412"/>
      <c r="CE8" s="412"/>
      <c r="CF8" s="534">
        <f t="shared" ref="CF8:CF39" si="15">SUM(IF(CB8=CB$5,4,0),IF(CB8&amp;CC8=CB$5&amp;CC$5,1,0),
IF(AND(CB8=CB$5,CC$6&gt;=$D$115),1,0),
IF(AND(CC8=CB$5,CC$6&gt;=$D$115),1,0),
IF(AND(CD8=CB$5,CC$6&gt;=$D$115),1,0),
IF(CB8&amp;CE8=CF$5,1,0),
IF(CC8=CB$5,2,0),
IF(CD8=CB$5,1,0),
IF(OR(CB8&amp;CC8&amp;CD8=CB$5&amp;CC$5&amp;CD$5,CB8&amp;CC8&amp;CD8=CB$5&amp;CD$5&amp;CC$5,CB8&amp;CC8&amp;CD8=CC$5&amp;CB$5&amp;CD$5,CB8&amp;CC8&amp;CD8=CC$5&amp;CD$5&amp;CB$5,CB8&amp;CC8&amp;CD8=CD$5&amp;CB$5&amp;CC$5,CB8&amp;CC8&amp;CD8=CD$5&amp;CC$5&amp;CB$5),2,0),IF(AND(CB8=CB$5,CC$6&gt;=$D$129),1,0),IF(AND(CC8=CB$5,CC$6&gt;=$D$129),1,0),IF(AND(CD8=CB$5,CC$6&gt;=$D$129),1,0),IF(CB8&amp;CE8=CE$5,4,0),IF(AND(CB8=CB$5,CC$6&lt;=$D$104),-0.5,0),IF(AND(CC8=CB$5,CC$6&lt;=$D$104),-0.5,0),IF(AND(CD8=CB$5,CC$6&lt;=$D$104),-0.5,0))</f>
        <v>0</v>
      </c>
      <c r="CG8" s="162">
        <f>IF(SEMANA29[[#This Row],[1]]="",0,$B$4)</f>
        <v>0</v>
      </c>
      <c r="CH8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8" s="164">
        <f>IF(SEMANA29[[#This Row],[Columna14]]=0,0,(CH8/CG8))</f>
        <v>0</v>
      </c>
      <c r="CJ8" s="163">
        <f>IF(SEMANA29[[#This Row],[1]]="",0,$B$4)</f>
        <v>0</v>
      </c>
      <c r="CK8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8" s="164">
        <f>IF(SEMANA29[[#This Row],[Columna14]]=0,0,(CK8/CJ8))</f>
        <v>0</v>
      </c>
      <c r="CM8" s="162">
        <f>IF(SEMANA29[[#This Row],[1]]="",0,$B$4)</f>
        <v>0</v>
      </c>
      <c r="CN8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8" s="164">
        <f>IF(SEMANA29[[#This Row],[Columna14]]=0,0,(CN8/CM8))</f>
        <v>0</v>
      </c>
      <c r="CP8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8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Row],[Columna25]],$AX$5,BA8,"SF")+COUNTIFS(SEMANA29[[#This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8" s="164">
        <f>IFERROR(IF(SEMANA29[[#This Row],[Columna14]]=0,0,(CQ8/CP8)),0)</f>
        <v>0</v>
      </c>
      <c r="CS8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8" s="93">
        <f>_xlfn.XLOOKUP(SEMANA29[[#This Row],[COD]],SEMANA2[COD],SEMANA2[Columna33])</f>
        <v>68.5</v>
      </c>
      <c r="CU8" s="536">
        <f t="shared" ref="CU8:CU39" si="16">SUM(CS8,CT8)</f>
        <v>68.5</v>
      </c>
      <c r="CV8" s="445">
        <f>IF(SEMANA29[[#This Row],[TIPO]]="PREMIO",$O$3,"0,00")</f>
        <v>1000</v>
      </c>
      <c r="CW8" s="515"/>
      <c r="CY8" s="388">
        <v>1</v>
      </c>
      <c r="CZ8" s="349">
        <f>F$6</f>
        <v>0</v>
      </c>
      <c r="DB8" s="537" t="str">
        <f>SEMANA29[[#This Row],[COD]]</f>
        <v>COD 01</v>
      </c>
      <c r="DC8" s="390" t="str">
        <f t="array" ref="DC8">IFERROR(IF(AND(INDEX($E$8:$CE$57, MATCH($C8, $C$8:$C$57, 0), (COLUMNS($DC8:DC8)-1)*5 + 1) = INDEX($E$5:$CE$5, 1, (COLUMNS($DC8:DC8)-1)*5 + 1), INDEX($E$8:$CE$57, MATCH($C8, $C$8:$C$57, 0), (COLUMNS($DC8:DC8)-1)*5 + 4) = "F"), INDEX($CZ$8:$CZ$23, COLUMNS($DC8:DC8)), "0"), "")</f>
        <v>0</v>
      </c>
      <c r="DD8" s="390" t="str">
        <f t="array" ref="DD8">IFERROR(IF(AND(INDEX($E$8:$CE$57, MATCH($C8, $C$8:$C$57, 0), (COLUMNS($DC8:DD8)-1)*5 + 1) = INDEX($E$5:$CE$5, 1, (COLUMNS($DC8:DD8)-1)*5 + 1), INDEX($E$8:$CE$57, MATCH($C8, $C$8:$C$57, 0), (COLUMNS($DC8:DD8)-1)*5 + 4) = "F"), INDEX($CZ$8:$CZ$23, COLUMNS($DC8:DD8)), "0"), "")</f>
        <v>0</v>
      </c>
      <c r="DE8" s="390" t="str">
        <f t="array" ref="DE8">IFERROR(IF(AND(INDEX($E$8:$CE$57, MATCH($C8, $C$8:$C$57, 0), (COLUMNS($DC8:DE8)-1)*5 + 1) = INDEX($E$5:$CE$5, 1, (COLUMNS($DC8:DE8)-1)*5 + 1), INDEX($E$8:$CE$57, MATCH($C8, $C$8:$C$57, 0), (COLUMNS($DC8:DE8)-1)*5 + 4) = "F"), INDEX($CZ$8:$CZ$23, COLUMNS($DC8:DE8)), "0"), "")</f>
        <v>0</v>
      </c>
      <c r="DF8" s="390" t="str">
        <f t="array" ref="DF8">IFERROR(IF(AND(INDEX($E$8:$CE$57, MATCH($C8, $C$8:$C$57, 0), (COLUMNS($DC8:DF8)-1)*5 + 1) = INDEX($E$5:$CE$5, 1, (COLUMNS($DC8:DF8)-1)*5 + 1), INDEX($E$8:$CE$57, MATCH($C8, $C$8:$C$57, 0), (COLUMNS($DC8:DF8)-1)*5 + 4) = "F"), INDEX($CZ$8:$CZ$23, COLUMNS($DC8:DF8)), "0"), "")</f>
        <v>0</v>
      </c>
      <c r="DG8" s="390" t="str">
        <f t="array" ref="DG8">IFERROR(IF(AND(INDEX($E$8:$CE$57, MATCH($C8, $C$8:$C$57, 0), (COLUMNS($DC8:DG8)-1)*5 + 1) = INDEX($E$5:$CE$5, 1, (COLUMNS($DC8:DG8)-1)*5 + 1), INDEX($E$8:$CE$57, MATCH($C8, $C$8:$C$57, 0), (COLUMNS($DC8:DG8)-1)*5 + 4) = "F"), INDEX($CZ$8:$CZ$23, COLUMNS($DC8:DG8)), "0"), "")</f>
        <v>0</v>
      </c>
      <c r="DH8" s="390" t="str">
        <f t="array" ref="DH8">IFERROR(IF(AND(INDEX($E$8:$CE$57, MATCH($C8, $C$8:$C$57, 0), (COLUMNS($DC8:DH8)-1)*5 + 1) = INDEX($E$5:$CE$5, 1, (COLUMNS($DC8:DH8)-1)*5 + 1), INDEX($E$8:$CE$57, MATCH($C8, $C$8:$C$57, 0), (COLUMNS($DC8:DH8)-1)*5 + 4) = "F"), INDEX($CZ$8:$CZ$23, COLUMNS($DC8:DH8)), "0"), "")</f>
        <v>0</v>
      </c>
      <c r="DI8" s="390" t="str">
        <f t="array" ref="DI8">IFERROR(IF(AND(INDEX($E$8:$CE$57, MATCH($C8, $C$8:$C$57, 0), (COLUMNS($DC8:DI8)-1)*5 + 1) = INDEX($E$5:$CE$5, 1, (COLUMNS($DC8:DI8)-1)*5 + 1), INDEX($E$8:$CE$57, MATCH($C8, $C$8:$C$57, 0), (COLUMNS($DC8:DI8)-1)*5 + 4) = "F"), INDEX($CZ$8:$CZ$23, COLUMNS($DC8:DI8)), "0"), "")</f>
        <v>0</v>
      </c>
      <c r="DJ8" s="390" t="str">
        <f t="array" ref="DJ8">IFERROR(IF(AND(INDEX($E$8:$CE$57, MATCH($C8, $C$8:$C$57, 0), (COLUMNS($DC8:DJ8)-1)*5 + 1) = INDEX($E$5:$CE$5, 1, (COLUMNS($DC8:DJ8)-1)*5 + 1), INDEX($E$8:$CE$57, MATCH($C8, $C$8:$C$57, 0), (COLUMNS($DC8:DJ8)-1)*5 + 4) = "F"), INDEX($CZ$8:$CZ$23, COLUMNS($DC8:DJ8)), "0"), "")</f>
        <v>0</v>
      </c>
      <c r="DK8" s="390" t="str">
        <f t="array" ref="DK8">IFERROR(IF(AND(INDEX($E$8:$CE$57, MATCH($C8, $C$8:$C$57, 0), (COLUMNS($DC8:DK8)-1)*5 + 1) = INDEX($E$5:$CE$5, 1, (COLUMNS($DC8:DK8)-1)*5 + 1), INDEX($E$8:$CE$57, MATCH($C8, $C$8:$C$57, 0), (COLUMNS($DC8:DK8)-1)*5 + 4) = "F"), INDEX($CZ$8:$CZ$23, COLUMNS($DC8:DK8)), "0"), "")</f>
        <v>0</v>
      </c>
      <c r="DL8" s="390" t="str">
        <f t="array" ref="DL8">IFERROR(IF(AND(INDEX($E$8:$CE$57, MATCH($C8, $C$8:$C$57, 0), (COLUMNS($DC8:DL8)-1)*5 + 1) = INDEX($E$5:$CE$5, 1, (COLUMNS($DC8:DL8)-1)*5 + 1), INDEX($E$8:$CE$57, MATCH($C8, $C$8:$C$57, 0), (COLUMNS($DC8:DL8)-1)*5 + 4) = "F"), INDEX($CZ$8:$CZ$23, COLUMNS($DC8:DL8)), "0"), "")</f>
        <v>0</v>
      </c>
      <c r="DM8" s="390" t="str">
        <f t="array" ref="DM8">IFERROR(IF(AND(INDEX($E$8:$CE$57, MATCH($C8, $C$8:$C$57, 0), (COLUMNS($DC8:DM8)-1)*5 + 1) = INDEX($E$5:$CE$5, 1, (COLUMNS($DC8:DM8)-1)*5 + 1), INDEX($E$8:$CE$57, MATCH($C8, $C$8:$C$57, 0), (COLUMNS($DC8:DM8)-1)*5 + 4) = "F"), INDEX($CZ$8:$CZ$23, COLUMNS($DC8:DM8)), "0"), "")</f>
        <v>0</v>
      </c>
      <c r="DN8" s="390" t="str">
        <f t="array" ref="DN8">IFERROR(IF(AND(INDEX($E$8:$CE$57, MATCH($C8, $C$8:$C$57, 0), (COLUMNS($DC8:DN8)-1)*5 + 1) = INDEX($E$5:$CE$5, 1, (COLUMNS($DC8:DN8)-1)*5 + 1), INDEX($E$8:$CE$57, MATCH($C8, $C$8:$C$57, 0), (COLUMNS($DC8:DN8)-1)*5 + 4) = "F"), INDEX($CZ$8:$CZ$23, COLUMNS($DC8:DN8)), "0"), "")</f>
        <v>0</v>
      </c>
      <c r="DO8" s="390" t="str">
        <f t="array" ref="DO8">IFERROR(IF(AND(INDEX($E$8:$CE$57, MATCH($C8, $C$8:$C$57, 0), (COLUMNS($DC8:DO8)-1)*5 + 1) = INDEX($E$5:$CE$5, 1, (COLUMNS($DC8:DO8)-1)*5 + 1), INDEX($E$8:$CE$57, MATCH($C8, $C$8:$C$57, 0), (COLUMNS($DC8:DO8)-1)*5 + 4) = "F"), INDEX($CZ$8:$CZ$23, COLUMNS($DC8:DO8)), "0"), "")</f>
        <v>0</v>
      </c>
      <c r="DP8" s="390" t="str">
        <f t="array" ref="DP8">IFERROR(IF(AND(INDEX($E$8:$CE$57, MATCH($C8, $C$8:$C$57, 0), (COLUMNS($DC8:DP8)-1)*5 + 1) = INDEX($E$5:$CE$5, 1, (COLUMNS($DC8:DP8)-1)*5 + 1), INDEX($E$8:$CE$57, MATCH($C8, $C$8:$C$57, 0), (COLUMNS($DC8:DP8)-1)*5 + 4) = "F"), INDEX($CZ$8:$CZ$23, COLUMNS($DC8:DP8)), "0"), "")</f>
        <v>0</v>
      </c>
      <c r="DQ8" s="390" t="str">
        <f t="array" ref="DQ8">IFERROR(IF(AND(INDEX($E$8:$CE$57, MATCH($C8, $C$8:$C$57, 0), (COLUMNS($DC8:DQ8)-1)*5 + 1) = INDEX($E$5:$CE$5, 1, (COLUMNS($DC8:DQ8)-1)*5 + 1), INDEX($E$8:$CE$57, MATCH($C8, $C$8:$C$57, 0), (COLUMNS($DC8:DQ8)-1)*5 + 4) = "F"), INDEX($CZ$8:$CZ$23, COLUMNS($DC8:DQ8)), "0"), "")</f>
        <v>0</v>
      </c>
      <c r="DR8" s="390" t="str">
        <f t="array" ref="DR8">IFERROR(IF(AND(INDEX($E$8:$CE$57, MATCH($C8, $C$8:$C$57, 0), (COLUMNS($DC8:DR8)-1)*5 + 1) = INDEX($E$5:$CE$5, 1, (COLUMNS($DC8:DR8)-1)*5 + 1), INDEX($E$8:$CE$57, MATCH($C8, $C$8:$C$57, 0), (COLUMNS($DC8:DR8)-1)*5 + 4) = "F"), INDEX($CZ$8:$CZ$23, COLUMNS($DC8:DR8)), "0"), "")</f>
        <v>0</v>
      </c>
      <c r="DT8" s="537" t="str">
        <f>SEMANA29[[#This Row],[COD]]</f>
        <v>COD 01</v>
      </c>
      <c r="DU8" s="390" t="str">
        <f t="array" ref="DU8">IFERROR(IF(AND(INDEX($E$8:$CE$57, MATCH($C8, $C$8:$C$57, 0), (COLUMNS($DU8:DU8)-1)*5 + 1) = INDEX($E$5:$CE$5, 1, (COLUMNS($DU8:DU8)-1)*5 + 1), INDEX($E$8:$CE$57, MATCH($C8, $C$8:$C$57, 0), (COLUMNS($DU8:DU8)-1)*5 + 4) = "SF"), INDEX($CZ$8:$CZ$23, COLUMNS($DU8:DU8)), "0"), "")</f>
        <v>0</v>
      </c>
      <c r="DV8" s="390" t="str">
        <f t="array" ref="DV8">IFERROR(IF(AND(INDEX($E$8:$CE$57, MATCH($C8, $C$8:$C$57, 0), (COLUMNS($DU8:DV8)-1)*5 + 1) = INDEX($E$5:$CE$5, 1, (COLUMNS($DU8:DV8)-1)*5 + 1), INDEX($E$8:$CE$57, MATCH($C8, $C$8:$C$57, 0), (COLUMNS($DU8:DV8)-1)*5 + 4) = "SF"), INDEX($CZ$8:$CZ$23, COLUMNS($DU8:DV8)), "0"), "")</f>
        <v>0</v>
      </c>
      <c r="DW8" s="390" t="str">
        <f t="array" ref="DW8">IFERROR(IF(AND(INDEX($E$8:$CE$57, MATCH($C8, $C$8:$C$57, 0), (COLUMNS($DU8:DW8)-1)*5 + 1) = INDEX($E$5:$CE$5, 1, (COLUMNS($DU8:DW8)-1)*5 + 1), INDEX($E$8:$CE$57, MATCH($C8, $C$8:$C$57, 0), (COLUMNS($DU8:DW8)-1)*5 + 4) = "SF"), INDEX($CZ$8:$CZ$23, COLUMNS($DU8:DW8)), "0"), "")</f>
        <v>0</v>
      </c>
      <c r="DX8" s="390" t="str">
        <f t="array" ref="DX8">IFERROR(IF(AND(INDEX($E$8:$CE$57, MATCH($C8, $C$8:$C$57, 0), (COLUMNS($DU8:DX8)-1)*5 + 1) = INDEX($E$5:$CE$5, 1, (COLUMNS($DU8:DX8)-1)*5 + 1), INDEX($E$8:$CE$57, MATCH($C8, $C$8:$C$57, 0), (COLUMNS($DU8:DX8)-1)*5 + 4) = "SF"), INDEX($CZ$8:$CZ$23, COLUMNS($DU8:DX8)), "0"), "")</f>
        <v>0</v>
      </c>
      <c r="DY8" s="390" t="str">
        <f t="array" ref="DY8">IFERROR(IF(AND(INDEX($E$8:$CE$57, MATCH($C8, $C$8:$C$57, 0), (COLUMNS($DU8:DY8)-1)*5 + 1) = INDEX($E$5:$CE$5, 1, (COLUMNS($DU8:DY8)-1)*5 + 1), INDEX($E$8:$CE$57, MATCH($C8, $C$8:$C$57, 0), (COLUMNS($DU8:DY8)-1)*5 + 4) = "SF"), INDEX($CZ$8:$CZ$23, COLUMNS($DU8:DY8)), "0"), "")</f>
        <v>0</v>
      </c>
      <c r="DZ8" s="390" t="str">
        <f t="array" ref="DZ8">IFERROR(IF(AND(INDEX($E$8:$CE$57, MATCH($C8, $C$8:$C$57, 0), (COLUMNS($DU8:DZ8)-1)*5 + 1) = INDEX($E$5:$CE$5, 1, (COLUMNS($DU8:DZ8)-1)*5 + 1), INDEX($E$8:$CE$57, MATCH($C8, $C$8:$C$57, 0), (COLUMNS($DU8:DZ8)-1)*5 + 4) = "SF"), INDEX($CZ$8:$CZ$23, COLUMNS($DU8:DZ8)), "0"), "")</f>
        <v>0</v>
      </c>
      <c r="EA8" s="390" t="str">
        <f t="array" ref="EA8">IFERROR(IF(AND(INDEX($E$8:$CE$57, MATCH($C8, $C$8:$C$57, 0), (COLUMNS($DU8:EA8)-1)*5 + 1) = INDEX($E$5:$CE$5, 1, (COLUMNS($DU8:EA8)-1)*5 + 1), INDEX($E$8:$CE$57, MATCH($C8, $C$8:$C$57, 0), (COLUMNS($DU8:EA8)-1)*5 + 4) = "SF"), INDEX($CZ$8:$CZ$23, COLUMNS($DU8:EA8)), "0"), "")</f>
        <v>0</v>
      </c>
      <c r="EB8" s="390" t="str">
        <f t="array" ref="EB8">IFERROR(IF(AND(INDEX($E$8:$CE$57, MATCH($C8, $C$8:$C$57, 0), (COLUMNS($DU8:EB8)-1)*5 + 1) = INDEX($E$5:$CE$5, 1, (COLUMNS($DU8:EB8)-1)*5 + 1), INDEX($E$8:$CE$57, MATCH($C8, $C$8:$C$57, 0), (COLUMNS($DU8:EB8)-1)*5 + 4) = "SF"), INDEX($CZ$8:$CZ$23, COLUMNS($DU8:EB8)), "0"), "")</f>
        <v>0</v>
      </c>
      <c r="EC8" s="390" t="str">
        <f t="array" ref="EC8">IFERROR(IF(AND(INDEX($E$8:$CE$57, MATCH($C8, $C$8:$C$57, 0), (COLUMNS($DU8:EC8)-1)*5 + 1) = INDEX($E$5:$CE$5, 1, (COLUMNS($DU8:EC8)-1)*5 + 1), INDEX($E$8:$CE$57, MATCH($C8, $C$8:$C$57, 0), (COLUMNS($DU8:EC8)-1)*5 + 4) = "SF"), INDEX($CZ$8:$CZ$23, COLUMNS($DU8:EC8)), "0"), "")</f>
        <v>0</v>
      </c>
      <c r="ED8" s="390" t="str">
        <f t="array" ref="ED8">IFERROR(IF(AND(INDEX($E$8:$CE$57, MATCH($C8, $C$8:$C$57, 0), (COLUMNS($DU8:ED8)-1)*5 + 1) = INDEX($E$5:$CE$5, 1, (COLUMNS($DU8:ED8)-1)*5 + 1), INDEX($E$8:$CE$57, MATCH($C8, $C$8:$C$57, 0), (COLUMNS($DU8:ED8)-1)*5 + 4) = "SF"), INDEX($CZ$8:$CZ$23, COLUMNS($DU8:ED8)), "0"), "")</f>
        <v>0</v>
      </c>
      <c r="EE8" s="390" t="str">
        <f t="array" ref="EE8">IFERROR(IF(AND(INDEX($E$8:$CE$57, MATCH($C8, $C$8:$C$57, 0), (COLUMNS($DU8:EE8)-1)*5 + 1) = INDEX($E$5:$CE$5, 1, (COLUMNS($DU8:EE8)-1)*5 + 1), INDEX($E$8:$CE$57, MATCH($C8, $C$8:$C$57, 0), (COLUMNS($DU8:EE8)-1)*5 + 4) = "SF"), INDEX($CZ$8:$CZ$23, COLUMNS($DU8:EE8)), "0"), "")</f>
        <v>0</v>
      </c>
      <c r="EF8" s="390" t="str">
        <f t="array" ref="EF8">IFERROR(IF(AND(INDEX($E$8:$CE$57, MATCH($C8, $C$8:$C$57, 0), (COLUMNS($DU8:EF8)-1)*5 + 1) = INDEX($E$5:$CE$5, 1, (COLUMNS($DU8:EF8)-1)*5 + 1), INDEX($E$8:$CE$57, MATCH($C8, $C$8:$C$57, 0), (COLUMNS($DU8:EF8)-1)*5 + 4) = "SF"), INDEX($CZ$8:$CZ$23, COLUMNS($DU8:EF8)), "0"), "")</f>
        <v>0</v>
      </c>
      <c r="EG8" s="390" t="str">
        <f t="array" ref="EG8">IFERROR(IF(AND(INDEX($E$8:$CE$57, MATCH($C8, $C$8:$C$57, 0), (COLUMNS($DU8:EG8)-1)*5 + 1) = INDEX($E$5:$CE$5, 1, (COLUMNS($DU8:EG8)-1)*5 + 1), INDEX($E$8:$CE$57, MATCH($C8, $C$8:$C$57, 0), (COLUMNS($DU8:EG8)-1)*5 + 4) = "SF"), INDEX($CZ$8:$CZ$23, COLUMNS($DU8:EG8)), "0"), "")</f>
        <v>0</v>
      </c>
      <c r="EH8" s="390" t="str">
        <f t="array" ref="EH8">IFERROR(IF(AND(INDEX($E$8:$CE$57, MATCH($C8, $C$8:$C$57, 0), (COLUMNS($DU8:EH8)-1)*5 + 1) = INDEX($E$5:$CE$5, 1, (COLUMNS($DU8:EH8)-1)*5 + 1), INDEX($E$8:$CE$57, MATCH($C8, $C$8:$C$57, 0), (COLUMNS($DU8:EH8)-1)*5 + 4) = "SF"), INDEX($CZ$8:$CZ$23, COLUMNS($DU8:EH8)), "0"), "")</f>
        <v>0</v>
      </c>
      <c r="EI8" s="390" t="str">
        <f t="array" ref="EI8">IFERROR(IF(AND(INDEX($E$8:$CE$57, MATCH($C8, $C$8:$C$57, 0), (COLUMNS($DU8:EI8)-1)*5 + 1) = INDEX($E$5:$CE$5, 1, (COLUMNS($DU8:EI8)-1)*5 + 1), INDEX($E$8:$CE$57, MATCH($C8, $C$8:$C$57, 0), (COLUMNS($DU8:EI8)-1)*5 + 4) = "SF"), INDEX($CZ$8:$CZ$23, COLUMNS($DU8:EI8)), "0"), "")</f>
        <v>0</v>
      </c>
      <c r="EJ8" s="390" t="str">
        <f t="array" ref="EJ8">IFERROR(IF(AND(INDEX($E$8:$CE$57, MATCH($C8, $C$8:$C$57, 0), (COLUMNS($DU8:EJ8)-1)*5 + 1) = INDEX($E$5:$CE$5, 1, (COLUMNS($DU8:EJ8)-1)*5 + 1), INDEX($E$8:$CE$57, MATCH($C8, $C$8:$C$57, 0), (COLUMNS($DU8:EJ8)-1)*5 + 4) = "SF"), INDEX($CZ$8:$CZ$23, COLUMNS($DU8:EJ8)), "0"), "")</f>
        <v>0</v>
      </c>
    </row>
    <row r="9" spans="1:140" ht="20.100000000000001" customHeight="1" x14ac:dyDescent="0.35">
      <c r="A9" s="515"/>
      <c r="B9" s="444">
        <f>IF(SEMANA29[[#This Row],[COD]]&lt;&gt;"",B8+1,"")</f>
        <v>2</v>
      </c>
      <c r="C9" s="554" t="s">
        <v>33</v>
      </c>
      <c r="D9" s="410" t="str">
        <f t="array" ref="D9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9" s="411"/>
      <c r="F9" s="412"/>
      <c r="G9" s="412"/>
      <c r="H9" s="412"/>
      <c r="I9" s="534">
        <f t="shared" si="0"/>
        <v>0</v>
      </c>
      <c r="J9" s="411"/>
      <c r="K9" s="412"/>
      <c r="L9" s="412"/>
      <c r="M9" s="412"/>
      <c r="N9" s="534">
        <f t="shared" si="1"/>
        <v>0</v>
      </c>
      <c r="O9" s="411"/>
      <c r="P9" s="412"/>
      <c r="Q9" s="412"/>
      <c r="R9" s="412"/>
      <c r="S9" s="534">
        <f t="shared" si="2"/>
        <v>0</v>
      </c>
      <c r="T9" s="411"/>
      <c r="U9" s="412"/>
      <c r="V9" s="412"/>
      <c r="W9" s="412"/>
      <c r="X9" s="534">
        <f t="shared" si="3"/>
        <v>0</v>
      </c>
      <c r="Y9" s="411"/>
      <c r="Z9" s="412"/>
      <c r="AA9" s="412"/>
      <c r="AB9" s="412"/>
      <c r="AC9" s="534">
        <f t="shared" si="4"/>
        <v>0</v>
      </c>
      <c r="AD9" s="411"/>
      <c r="AE9" s="412"/>
      <c r="AF9" s="412"/>
      <c r="AG9" s="412"/>
      <c r="AH9" s="534">
        <f t="shared" si="5"/>
        <v>0</v>
      </c>
      <c r="AI9" s="411"/>
      <c r="AJ9" s="412"/>
      <c r="AK9" s="412"/>
      <c r="AL9" s="412"/>
      <c r="AM9" s="534">
        <f t="shared" si="6"/>
        <v>0</v>
      </c>
      <c r="AN9" s="411"/>
      <c r="AO9" s="412"/>
      <c r="AP9" s="412"/>
      <c r="AQ9" s="412"/>
      <c r="AR9" s="534">
        <f t="shared" si="7"/>
        <v>0</v>
      </c>
      <c r="AS9" s="411"/>
      <c r="AT9" s="412"/>
      <c r="AU9" s="412"/>
      <c r="AV9" s="412"/>
      <c r="AW9" s="534">
        <f t="shared" si="8"/>
        <v>0</v>
      </c>
      <c r="AX9" s="411"/>
      <c r="AY9" s="412"/>
      <c r="AZ9" s="412"/>
      <c r="BA9" s="412"/>
      <c r="BB9" s="534">
        <f t="shared" si="9"/>
        <v>0</v>
      </c>
      <c r="BC9" s="411"/>
      <c r="BD9" s="412"/>
      <c r="BE9" s="412"/>
      <c r="BF9" s="412"/>
      <c r="BG9" s="534">
        <f t="shared" si="10"/>
        <v>0</v>
      </c>
      <c r="BH9" s="411"/>
      <c r="BI9" s="412"/>
      <c r="BJ9" s="412"/>
      <c r="BK9" s="412"/>
      <c r="BL9" s="534">
        <f t="shared" si="11"/>
        <v>0</v>
      </c>
      <c r="BM9" s="411"/>
      <c r="BN9" s="412"/>
      <c r="BO9" s="412"/>
      <c r="BP9" s="412"/>
      <c r="BQ9" s="534">
        <f t="shared" si="12"/>
        <v>0</v>
      </c>
      <c r="BR9" s="411"/>
      <c r="BS9" s="412"/>
      <c r="BT9" s="412"/>
      <c r="BU9" s="412"/>
      <c r="BV9" s="534">
        <f t="shared" si="13"/>
        <v>0</v>
      </c>
      <c r="BW9" s="411"/>
      <c r="BX9" s="412"/>
      <c r="BY9" s="412"/>
      <c r="BZ9" s="412"/>
      <c r="CA9" s="534">
        <f t="shared" si="14"/>
        <v>0</v>
      </c>
      <c r="CB9" s="411"/>
      <c r="CC9" s="412"/>
      <c r="CD9" s="412"/>
      <c r="CE9" s="412"/>
      <c r="CF9" s="534">
        <f t="shared" si="15"/>
        <v>0</v>
      </c>
      <c r="CG9" s="162">
        <f>IF(SEMANA29[[#This Row],[1]]="",0,$B$4)</f>
        <v>0</v>
      </c>
      <c r="CH9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9" s="164">
        <f>IF(SEMANA29[[#This Row],[Columna14]]=0,0,(CH9/CG9))</f>
        <v>0</v>
      </c>
      <c r="CJ9" s="163">
        <f>IF(SEMANA29[[#This Row],[1]]="",0,$B$4)</f>
        <v>0</v>
      </c>
      <c r="CK9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9" s="164">
        <f>IF(SEMANA29[[#This Row],[Columna14]]=0,0,(CK9/CJ9))</f>
        <v>0</v>
      </c>
      <c r="CM9" s="162">
        <f>IF(SEMANA29[[#This Row],[1]]="",0,$B$4)</f>
        <v>0</v>
      </c>
      <c r="CN9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9" s="164">
        <f>IF(SEMANA29[[#This Row],[Columna14]]=0,0,(CN9/CM9))</f>
        <v>0</v>
      </c>
      <c r="CP9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9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Row],[Columna25]],$AX$5,BA9,"SF")+COUNTIFS(SEMANA29[[#This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9" s="164">
        <f>IFERROR(IF(SEMANA29[[#This Row],[Columna14]]=0,0,(CQ9/CP9)),0)</f>
        <v>0</v>
      </c>
      <c r="CS9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9" s="93">
        <f>_xlfn.XLOOKUP(SEMANA29[[#This Row],[COD]],SEMANA2[COD],SEMANA2[Columna33])</f>
        <v>78.5</v>
      </c>
      <c r="CU9" s="536">
        <f t="shared" si="16"/>
        <v>78.5</v>
      </c>
      <c r="CV9" s="445" t="str">
        <f>IF(SEMANA29[[#This Row],[TIPO]]="PREMIO",$O$3,"0,00")</f>
        <v>0,00</v>
      </c>
      <c r="CW9" s="515"/>
      <c r="CY9" s="388">
        <v>2</v>
      </c>
      <c r="CZ9" s="349">
        <f>K$6</f>
        <v>0</v>
      </c>
      <c r="DB9" s="537" t="str">
        <f>SEMANA29[[#This Row],[COD]]</f>
        <v>COD 02</v>
      </c>
      <c r="DC9" s="390" t="str">
        <f t="array" ref="DC9">IFERROR(IF(AND(INDEX($E$8:$CE$57, MATCH($C9, $C$8:$C$57, 0), (COLUMNS($DC9:DC9)-1)*5 + 1) = INDEX($E$5:$CE$5, 1, (COLUMNS($DC9:DC9)-1)*5 + 1), INDEX($E$8:$CE$57, MATCH($C9, $C$8:$C$57, 0), (COLUMNS($DC9:DC9)-1)*5 + 4) = "F"), INDEX($CZ$8:$CZ$23, COLUMNS($DC9:DC9)), "0"), "")</f>
        <v>0</v>
      </c>
      <c r="DD9" s="390" t="str">
        <f t="array" ref="DD9">IFERROR(IF(AND(INDEX($E$8:$CE$57, MATCH($C9, $C$8:$C$57, 0), (COLUMNS($DC9:DD9)-1)*5 + 1) = INDEX($E$5:$CE$5, 1, (COLUMNS($DC9:DD9)-1)*5 + 1), INDEX($E$8:$CE$57, MATCH($C9, $C$8:$C$57, 0), (COLUMNS($DC9:DD9)-1)*5 + 4) = "F"), INDEX($CZ$8:$CZ$23, COLUMNS($DC9:DD9)), "0"), "")</f>
        <v>0</v>
      </c>
      <c r="DE9" s="390" t="str">
        <f t="array" ref="DE9">IFERROR(IF(AND(INDEX($E$8:$CE$57, MATCH($C9, $C$8:$C$57, 0), (COLUMNS($DC9:DE9)-1)*5 + 1) = INDEX($E$5:$CE$5, 1, (COLUMNS($DC9:DE9)-1)*5 + 1), INDEX($E$8:$CE$57, MATCH($C9, $C$8:$C$57, 0), (COLUMNS($DC9:DE9)-1)*5 + 4) = "F"), INDEX($CZ$8:$CZ$23, COLUMNS($DC9:DE9)), "0"), "")</f>
        <v>0</v>
      </c>
      <c r="DF9" s="390" t="str">
        <f t="array" ref="DF9">IFERROR(IF(AND(INDEX($E$8:$CE$57, MATCH($C9, $C$8:$C$57, 0), (COLUMNS($DC9:DF9)-1)*5 + 1) = INDEX($E$5:$CE$5, 1, (COLUMNS($DC9:DF9)-1)*5 + 1), INDEX($E$8:$CE$57, MATCH($C9, $C$8:$C$57, 0), (COLUMNS($DC9:DF9)-1)*5 + 4) = "F"), INDEX($CZ$8:$CZ$23, COLUMNS($DC9:DF9)), "0"), "")</f>
        <v>0</v>
      </c>
      <c r="DG9" s="390" t="str">
        <f t="array" ref="DG9">IFERROR(IF(AND(INDEX($E$8:$CE$57, MATCH($C9, $C$8:$C$57, 0), (COLUMNS($DC9:DG9)-1)*5 + 1) = INDEX($E$5:$CE$5, 1, (COLUMNS($DC9:DG9)-1)*5 + 1), INDEX($E$8:$CE$57, MATCH($C9, $C$8:$C$57, 0), (COLUMNS($DC9:DG9)-1)*5 + 4) = "F"), INDEX($CZ$8:$CZ$23, COLUMNS($DC9:DG9)), "0"), "")</f>
        <v>0</v>
      </c>
      <c r="DH9" s="390" t="str">
        <f t="array" ref="DH9">IFERROR(IF(AND(INDEX($E$8:$CE$57, MATCH($C9, $C$8:$C$57, 0), (COLUMNS($DC9:DH9)-1)*5 + 1) = INDEX($E$5:$CE$5, 1, (COLUMNS($DC9:DH9)-1)*5 + 1), INDEX($E$8:$CE$57, MATCH($C9, $C$8:$C$57, 0), (COLUMNS($DC9:DH9)-1)*5 + 4) = "F"), INDEX($CZ$8:$CZ$23, COLUMNS($DC9:DH9)), "0"), "")</f>
        <v>0</v>
      </c>
      <c r="DI9" s="390" t="str">
        <f t="array" ref="DI9">IFERROR(IF(AND(INDEX($E$8:$CE$57, MATCH($C9, $C$8:$C$57, 0), (COLUMNS($DC9:DI9)-1)*5 + 1) = INDEX($E$5:$CE$5, 1, (COLUMNS($DC9:DI9)-1)*5 + 1), INDEX($E$8:$CE$57, MATCH($C9, $C$8:$C$57, 0), (COLUMNS($DC9:DI9)-1)*5 + 4) = "F"), INDEX($CZ$8:$CZ$23, COLUMNS($DC9:DI9)), "0"), "")</f>
        <v>0</v>
      </c>
      <c r="DJ9" s="390" t="str">
        <f t="array" ref="DJ9">IFERROR(IF(AND(INDEX($E$8:$CE$57, MATCH($C9, $C$8:$C$57, 0), (COLUMNS($DC9:DJ9)-1)*5 + 1) = INDEX($E$5:$CE$5, 1, (COLUMNS($DC9:DJ9)-1)*5 + 1), INDEX($E$8:$CE$57, MATCH($C9, $C$8:$C$57, 0), (COLUMNS($DC9:DJ9)-1)*5 + 4) = "F"), INDEX($CZ$8:$CZ$23, COLUMNS($DC9:DJ9)), "0"), "")</f>
        <v>0</v>
      </c>
      <c r="DK9" s="390" t="str">
        <f t="array" ref="DK9">IFERROR(IF(AND(INDEX($E$8:$CE$57, MATCH($C9, $C$8:$C$57, 0), (COLUMNS($DC9:DK9)-1)*5 + 1) = INDEX($E$5:$CE$5, 1, (COLUMNS($DC9:DK9)-1)*5 + 1), INDEX($E$8:$CE$57, MATCH($C9, $C$8:$C$57, 0), (COLUMNS($DC9:DK9)-1)*5 + 4) = "F"), INDEX($CZ$8:$CZ$23, COLUMNS($DC9:DK9)), "0"), "")</f>
        <v>0</v>
      </c>
      <c r="DL9" s="390" t="str">
        <f t="array" ref="DL9">IFERROR(IF(AND(INDEX($E$8:$CE$57, MATCH($C9, $C$8:$C$57, 0), (COLUMNS($DC9:DL9)-1)*5 + 1) = INDEX($E$5:$CE$5, 1, (COLUMNS($DC9:DL9)-1)*5 + 1), INDEX($E$8:$CE$57, MATCH($C9, $C$8:$C$57, 0), (COLUMNS($DC9:DL9)-1)*5 + 4) = "F"), INDEX($CZ$8:$CZ$23, COLUMNS($DC9:DL9)), "0"), "")</f>
        <v>0</v>
      </c>
      <c r="DM9" s="390" t="str">
        <f t="array" ref="DM9">IFERROR(IF(AND(INDEX($E$8:$CE$57, MATCH($C9, $C$8:$C$57, 0), (COLUMNS($DC9:DM9)-1)*5 + 1) = INDEX($E$5:$CE$5, 1, (COLUMNS($DC9:DM9)-1)*5 + 1), INDEX($E$8:$CE$57, MATCH($C9, $C$8:$C$57, 0), (COLUMNS($DC9:DM9)-1)*5 + 4) = "F"), INDEX($CZ$8:$CZ$23, COLUMNS($DC9:DM9)), "0"), "")</f>
        <v>0</v>
      </c>
      <c r="DN9" s="390" t="str">
        <f t="array" ref="DN9">IFERROR(IF(AND(INDEX($E$8:$CE$57, MATCH($C9, $C$8:$C$57, 0), (COLUMNS($DC9:DN9)-1)*5 + 1) = INDEX($E$5:$CE$5, 1, (COLUMNS($DC9:DN9)-1)*5 + 1), INDEX($E$8:$CE$57, MATCH($C9, $C$8:$C$57, 0), (COLUMNS($DC9:DN9)-1)*5 + 4) = "F"), INDEX($CZ$8:$CZ$23, COLUMNS($DC9:DN9)), "0"), "")</f>
        <v>0</v>
      </c>
      <c r="DO9" s="390" t="str">
        <f t="array" ref="DO9">IFERROR(IF(AND(INDEX($E$8:$CE$57, MATCH($C9, $C$8:$C$57, 0), (COLUMNS($DC9:DO9)-1)*5 + 1) = INDEX($E$5:$CE$5, 1, (COLUMNS($DC9:DO9)-1)*5 + 1), INDEX($E$8:$CE$57, MATCH($C9, $C$8:$C$57, 0), (COLUMNS($DC9:DO9)-1)*5 + 4) = "F"), INDEX($CZ$8:$CZ$23, COLUMNS($DC9:DO9)), "0"), "")</f>
        <v>0</v>
      </c>
      <c r="DP9" s="390" t="str">
        <f t="array" ref="DP9">IFERROR(IF(AND(INDEX($E$8:$CE$57, MATCH($C9, $C$8:$C$57, 0), (COLUMNS($DC9:DP9)-1)*5 + 1) = INDEX($E$5:$CE$5, 1, (COLUMNS($DC9:DP9)-1)*5 + 1), INDEX($E$8:$CE$57, MATCH($C9, $C$8:$C$57, 0), (COLUMNS($DC9:DP9)-1)*5 + 4) = "F"), INDEX($CZ$8:$CZ$23, COLUMNS($DC9:DP9)), "0"), "")</f>
        <v>0</v>
      </c>
      <c r="DQ9" s="390" t="str">
        <f t="array" ref="DQ9">IFERROR(IF(AND(INDEX($E$8:$CE$57, MATCH($C9, $C$8:$C$57, 0), (COLUMNS($DC9:DQ9)-1)*5 + 1) = INDEX($E$5:$CE$5, 1, (COLUMNS($DC9:DQ9)-1)*5 + 1), INDEX($E$8:$CE$57, MATCH($C9, $C$8:$C$57, 0), (COLUMNS($DC9:DQ9)-1)*5 + 4) = "F"), INDEX($CZ$8:$CZ$23, COLUMNS($DC9:DQ9)), "0"), "")</f>
        <v>0</v>
      </c>
      <c r="DR9" s="390" t="str">
        <f t="array" ref="DR9">IFERROR(IF(AND(INDEX($E$8:$CE$57, MATCH($C9, $C$8:$C$57, 0), (COLUMNS($DC9:DR9)-1)*5 + 1) = INDEX($E$5:$CE$5, 1, (COLUMNS($DC9:DR9)-1)*5 + 1), INDEX($E$8:$CE$57, MATCH($C9, $C$8:$C$57, 0), (COLUMNS($DC9:DR9)-1)*5 + 4) = "F"), INDEX($CZ$8:$CZ$23, COLUMNS($DC9:DR9)), "0"), "")</f>
        <v>0</v>
      </c>
      <c r="DT9" s="537" t="str">
        <f>SEMANA29[[#This Row],[COD]]</f>
        <v>COD 02</v>
      </c>
      <c r="DU9" s="390" t="str">
        <f t="array" ref="DU9">IFERROR(IF(AND(INDEX($E$8:$CE$57, MATCH($C9, $C$8:$C$57, 0), (COLUMNS($DU9:DU9)-1)*5 + 1) = INDEX($E$5:$CE$5, 1, (COLUMNS($DU9:DU9)-1)*5 + 1), INDEX($E$8:$CE$57, MATCH($C9, $C$8:$C$57, 0), (COLUMNS($DU9:DU9)-1)*5 + 4) = "SF"), INDEX($CZ$8:$CZ$23, COLUMNS($DU9:DU9)), "0"), "")</f>
        <v>0</v>
      </c>
      <c r="DV9" s="390" t="str">
        <f t="array" ref="DV9">IFERROR(IF(AND(INDEX($E$8:$CE$57, MATCH($C9, $C$8:$C$57, 0), (COLUMNS($DU9:DV9)-1)*5 + 1) = INDEX($E$5:$CE$5, 1, (COLUMNS($DU9:DV9)-1)*5 + 1), INDEX($E$8:$CE$57, MATCH($C9, $C$8:$C$57, 0), (COLUMNS($DU9:DV9)-1)*5 + 4) = "SF"), INDEX($CZ$8:$CZ$23, COLUMNS($DU9:DV9)), "0"), "")</f>
        <v>0</v>
      </c>
      <c r="DW9" s="390" t="str">
        <f t="array" ref="DW9">IFERROR(IF(AND(INDEX($E$8:$CE$57, MATCH($C9, $C$8:$C$57, 0), (COLUMNS($DU9:DW9)-1)*5 + 1) = INDEX($E$5:$CE$5, 1, (COLUMNS($DU9:DW9)-1)*5 + 1), INDEX($E$8:$CE$57, MATCH($C9, $C$8:$C$57, 0), (COLUMNS($DU9:DW9)-1)*5 + 4) = "SF"), INDEX($CZ$8:$CZ$23, COLUMNS($DU9:DW9)), "0"), "")</f>
        <v>0</v>
      </c>
      <c r="DX9" s="390" t="str">
        <f t="array" ref="DX9">IFERROR(IF(AND(INDEX($E$8:$CE$57, MATCH($C9, $C$8:$C$57, 0), (COLUMNS($DU9:DX9)-1)*5 + 1) = INDEX($E$5:$CE$5, 1, (COLUMNS($DU9:DX9)-1)*5 + 1), INDEX($E$8:$CE$57, MATCH($C9, $C$8:$C$57, 0), (COLUMNS($DU9:DX9)-1)*5 + 4) = "SF"), INDEX($CZ$8:$CZ$23, COLUMNS($DU9:DX9)), "0"), "")</f>
        <v>0</v>
      </c>
      <c r="DY9" s="390" t="str">
        <f t="array" ref="DY9">IFERROR(IF(AND(INDEX($E$8:$CE$57, MATCH($C9, $C$8:$C$57, 0), (COLUMNS($DU9:DY9)-1)*5 + 1) = INDEX($E$5:$CE$5, 1, (COLUMNS($DU9:DY9)-1)*5 + 1), INDEX($E$8:$CE$57, MATCH($C9, $C$8:$C$57, 0), (COLUMNS($DU9:DY9)-1)*5 + 4) = "SF"), INDEX($CZ$8:$CZ$23, COLUMNS($DU9:DY9)), "0"), "")</f>
        <v>0</v>
      </c>
      <c r="DZ9" s="390" t="str">
        <f t="array" ref="DZ9">IFERROR(IF(AND(INDEX($E$8:$CE$57, MATCH($C9, $C$8:$C$57, 0), (COLUMNS($DU9:DZ9)-1)*5 + 1) = INDEX($E$5:$CE$5, 1, (COLUMNS($DU9:DZ9)-1)*5 + 1), INDEX($E$8:$CE$57, MATCH($C9, $C$8:$C$57, 0), (COLUMNS($DU9:DZ9)-1)*5 + 4) = "SF"), INDEX($CZ$8:$CZ$23, COLUMNS($DU9:DZ9)), "0"), "")</f>
        <v>0</v>
      </c>
      <c r="EA9" s="390" t="str">
        <f t="array" ref="EA9">IFERROR(IF(AND(INDEX($E$8:$CE$57, MATCH($C9, $C$8:$C$57, 0), (COLUMNS($DU9:EA9)-1)*5 + 1) = INDEX($E$5:$CE$5, 1, (COLUMNS($DU9:EA9)-1)*5 + 1), INDEX($E$8:$CE$57, MATCH($C9, $C$8:$C$57, 0), (COLUMNS($DU9:EA9)-1)*5 + 4) = "SF"), INDEX($CZ$8:$CZ$23, COLUMNS($DU9:EA9)), "0"), "")</f>
        <v>0</v>
      </c>
      <c r="EB9" s="390" t="str">
        <f t="array" ref="EB9">IFERROR(IF(AND(INDEX($E$8:$CE$57, MATCH($C9, $C$8:$C$57, 0), (COLUMNS($DU9:EB9)-1)*5 + 1) = INDEX($E$5:$CE$5, 1, (COLUMNS($DU9:EB9)-1)*5 + 1), INDEX($E$8:$CE$57, MATCH($C9, $C$8:$C$57, 0), (COLUMNS($DU9:EB9)-1)*5 + 4) = "SF"), INDEX($CZ$8:$CZ$23, COLUMNS($DU9:EB9)), "0"), "")</f>
        <v>0</v>
      </c>
      <c r="EC9" s="390" t="str">
        <f t="array" ref="EC9">IFERROR(IF(AND(INDEX($E$8:$CE$57, MATCH($C9, $C$8:$C$57, 0), (COLUMNS($DU9:EC9)-1)*5 + 1) = INDEX($E$5:$CE$5, 1, (COLUMNS($DU9:EC9)-1)*5 + 1), INDEX($E$8:$CE$57, MATCH($C9, $C$8:$C$57, 0), (COLUMNS($DU9:EC9)-1)*5 + 4) = "SF"), INDEX($CZ$8:$CZ$23, COLUMNS($DU9:EC9)), "0"), "")</f>
        <v>0</v>
      </c>
      <c r="ED9" s="390" t="str">
        <f t="array" ref="ED9">IFERROR(IF(AND(INDEX($E$8:$CE$57, MATCH($C9, $C$8:$C$57, 0), (COLUMNS($DU9:ED9)-1)*5 + 1) = INDEX($E$5:$CE$5, 1, (COLUMNS($DU9:ED9)-1)*5 + 1), INDEX($E$8:$CE$57, MATCH($C9, $C$8:$C$57, 0), (COLUMNS($DU9:ED9)-1)*5 + 4) = "SF"), INDEX($CZ$8:$CZ$23, COLUMNS($DU9:ED9)), "0"), "")</f>
        <v>0</v>
      </c>
      <c r="EE9" s="390" t="str">
        <f t="array" ref="EE9">IFERROR(IF(AND(INDEX($E$8:$CE$57, MATCH($C9, $C$8:$C$57, 0), (COLUMNS($DU9:EE9)-1)*5 + 1) = INDEX($E$5:$CE$5, 1, (COLUMNS($DU9:EE9)-1)*5 + 1), INDEX($E$8:$CE$57, MATCH($C9, $C$8:$C$57, 0), (COLUMNS($DU9:EE9)-1)*5 + 4) = "SF"), INDEX($CZ$8:$CZ$23, COLUMNS($DU9:EE9)), "0"), "")</f>
        <v>0</v>
      </c>
      <c r="EF9" s="390" t="str">
        <f t="array" ref="EF9">IFERROR(IF(AND(INDEX($E$8:$CE$57, MATCH($C9, $C$8:$C$57, 0), (COLUMNS($DU9:EF9)-1)*5 + 1) = INDEX($E$5:$CE$5, 1, (COLUMNS($DU9:EF9)-1)*5 + 1), INDEX($E$8:$CE$57, MATCH($C9, $C$8:$C$57, 0), (COLUMNS($DU9:EF9)-1)*5 + 4) = "SF"), INDEX($CZ$8:$CZ$23, COLUMNS($DU9:EF9)), "0"), "")</f>
        <v>0</v>
      </c>
      <c r="EG9" s="390" t="str">
        <f t="array" ref="EG9">IFERROR(IF(AND(INDEX($E$8:$CE$57, MATCH($C9, $C$8:$C$57, 0), (COLUMNS($DU9:EG9)-1)*5 + 1) = INDEX($E$5:$CE$5, 1, (COLUMNS($DU9:EG9)-1)*5 + 1), INDEX($E$8:$CE$57, MATCH($C9, $C$8:$C$57, 0), (COLUMNS($DU9:EG9)-1)*5 + 4) = "SF"), INDEX($CZ$8:$CZ$23, COLUMNS($DU9:EG9)), "0"), "")</f>
        <v>0</v>
      </c>
      <c r="EH9" s="390" t="str">
        <f t="array" ref="EH9">IFERROR(IF(AND(INDEX($E$8:$CE$57, MATCH($C9, $C$8:$C$57, 0), (COLUMNS($DU9:EH9)-1)*5 + 1) = INDEX($E$5:$CE$5, 1, (COLUMNS($DU9:EH9)-1)*5 + 1), INDEX($E$8:$CE$57, MATCH($C9, $C$8:$C$57, 0), (COLUMNS($DU9:EH9)-1)*5 + 4) = "SF"), INDEX($CZ$8:$CZ$23, COLUMNS($DU9:EH9)), "0"), "")</f>
        <v>0</v>
      </c>
      <c r="EI9" s="390" t="str">
        <f t="array" ref="EI9">IFERROR(IF(AND(INDEX($E$8:$CE$57, MATCH($C9, $C$8:$C$57, 0), (COLUMNS($DU9:EI9)-1)*5 + 1) = INDEX($E$5:$CE$5, 1, (COLUMNS($DU9:EI9)-1)*5 + 1), INDEX($E$8:$CE$57, MATCH($C9, $C$8:$C$57, 0), (COLUMNS($DU9:EI9)-1)*5 + 4) = "SF"), INDEX($CZ$8:$CZ$23, COLUMNS($DU9:EI9)), "0"), "")</f>
        <v>0</v>
      </c>
      <c r="EJ9" s="390" t="str">
        <f t="array" ref="EJ9">IFERROR(IF(AND(INDEX($E$8:$CE$57, MATCH($C9, $C$8:$C$57, 0), (COLUMNS($DU9:EJ9)-1)*5 + 1) = INDEX($E$5:$CE$5, 1, (COLUMNS($DU9:EJ9)-1)*5 + 1), INDEX($E$8:$CE$57, MATCH($C9, $C$8:$C$57, 0), (COLUMNS($DU9:EJ9)-1)*5 + 4) = "SF"), INDEX($CZ$8:$CZ$23, COLUMNS($DU9:EJ9)), "0"), "")</f>
        <v>0</v>
      </c>
    </row>
    <row r="10" spans="1:140" ht="20.100000000000001" customHeight="1" x14ac:dyDescent="0.35">
      <c r="A10" s="515"/>
      <c r="B10" s="444">
        <f>IF(SEMANA29[[#This Row],[COD]]&lt;&gt;"",B9+1,"")</f>
        <v>3</v>
      </c>
      <c r="C10" s="554" t="s">
        <v>35</v>
      </c>
      <c r="D10" s="410" t="str">
        <f t="array" ref="D10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PREMIO</v>
      </c>
      <c r="E10" s="411"/>
      <c r="F10" s="413"/>
      <c r="G10" s="413"/>
      <c r="H10" s="413"/>
      <c r="I10" s="534">
        <f t="shared" si="0"/>
        <v>0</v>
      </c>
      <c r="J10" s="411"/>
      <c r="K10" s="413"/>
      <c r="L10" s="413"/>
      <c r="M10" s="413"/>
      <c r="N10" s="534">
        <f t="shared" si="1"/>
        <v>0</v>
      </c>
      <c r="O10" s="411"/>
      <c r="P10" s="413"/>
      <c r="Q10" s="413"/>
      <c r="R10" s="413"/>
      <c r="S10" s="534">
        <f t="shared" si="2"/>
        <v>0</v>
      </c>
      <c r="T10" s="411"/>
      <c r="U10" s="413"/>
      <c r="V10" s="413"/>
      <c r="W10" s="413"/>
      <c r="X10" s="534">
        <f t="shared" si="3"/>
        <v>0</v>
      </c>
      <c r="Y10" s="411"/>
      <c r="Z10" s="413"/>
      <c r="AA10" s="413"/>
      <c r="AB10" s="413"/>
      <c r="AC10" s="534">
        <f t="shared" si="4"/>
        <v>0</v>
      </c>
      <c r="AD10" s="411"/>
      <c r="AE10" s="413"/>
      <c r="AF10" s="413"/>
      <c r="AG10" s="413"/>
      <c r="AH10" s="534">
        <f t="shared" si="5"/>
        <v>0</v>
      </c>
      <c r="AI10" s="411"/>
      <c r="AJ10" s="413"/>
      <c r="AK10" s="413"/>
      <c r="AL10" s="413"/>
      <c r="AM10" s="534">
        <f t="shared" si="6"/>
        <v>0</v>
      </c>
      <c r="AN10" s="411"/>
      <c r="AO10" s="413"/>
      <c r="AP10" s="413"/>
      <c r="AQ10" s="413"/>
      <c r="AR10" s="534">
        <f t="shared" si="7"/>
        <v>0</v>
      </c>
      <c r="AS10" s="411"/>
      <c r="AT10" s="413"/>
      <c r="AU10" s="413"/>
      <c r="AV10" s="413"/>
      <c r="AW10" s="534">
        <f t="shared" si="8"/>
        <v>0</v>
      </c>
      <c r="AX10" s="411"/>
      <c r="AY10" s="413"/>
      <c r="AZ10" s="413"/>
      <c r="BA10" s="413"/>
      <c r="BB10" s="534">
        <f t="shared" si="9"/>
        <v>0</v>
      </c>
      <c r="BC10" s="411"/>
      <c r="BD10" s="413"/>
      <c r="BE10" s="413"/>
      <c r="BF10" s="413"/>
      <c r="BG10" s="534">
        <f t="shared" si="10"/>
        <v>0</v>
      </c>
      <c r="BH10" s="411"/>
      <c r="BI10" s="413"/>
      <c r="BJ10" s="413"/>
      <c r="BK10" s="413"/>
      <c r="BL10" s="534">
        <f t="shared" si="11"/>
        <v>0</v>
      </c>
      <c r="BM10" s="411"/>
      <c r="BN10" s="413"/>
      <c r="BO10" s="413"/>
      <c r="BP10" s="413"/>
      <c r="BQ10" s="534">
        <f t="shared" si="12"/>
        <v>0</v>
      </c>
      <c r="BR10" s="411"/>
      <c r="BS10" s="413"/>
      <c r="BT10" s="413"/>
      <c r="BU10" s="413"/>
      <c r="BV10" s="534">
        <f t="shared" si="13"/>
        <v>0</v>
      </c>
      <c r="BW10" s="411"/>
      <c r="BX10" s="413"/>
      <c r="BY10" s="413"/>
      <c r="BZ10" s="413"/>
      <c r="CA10" s="534">
        <f t="shared" si="14"/>
        <v>0</v>
      </c>
      <c r="CB10" s="411"/>
      <c r="CC10" s="413"/>
      <c r="CD10" s="413"/>
      <c r="CE10" s="413"/>
      <c r="CF10" s="534">
        <f t="shared" si="15"/>
        <v>0</v>
      </c>
      <c r="CG10" s="162">
        <f>IF(SEMANA29[[#This Row],[1]]="",0,$B$4)</f>
        <v>0</v>
      </c>
      <c r="CH10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10" s="164">
        <f>IF(SEMANA29[[#This Row],[Columna14]]=0,0,(CH10/CG10))</f>
        <v>0</v>
      </c>
      <c r="CJ10" s="163">
        <f>IF(SEMANA29[[#This Row],[1]]="",0,$B$4)</f>
        <v>0</v>
      </c>
      <c r="CK10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10" s="164">
        <f>IF(SEMANA29[[#This Row],[Columna14]]=0,0,(CK10/CJ10))</f>
        <v>0</v>
      </c>
      <c r="CM10" s="162">
        <f>IF(SEMANA29[[#This Row],[1]]="",0,$B$4)</f>
        <v>0</v>
      </c>
      <c r="CN10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10" s="164">
        <f>IF(SEMANA29[[#This Row],[Columna14]]=0,0,(CN10/CM10))</f>
        <v>0</v>
      </c>
      <c r="CP10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10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Row],[Columna25]],$AX$5,BA10,"SF")+COUNTIFS(SEMANA29[[#This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10" s="164">
        <f>IFERROR(IF(SEMANA29[[#This Row],[Columna14]]=0,0,(CQ10/CP10)),0)</f>
        <v>0</v>
      </c>
      <c r="CS10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10" s="93">
        <f>_xlfn.XLOOKUP(SEMANA29[[#This Row],[COD]],SEMANA2[COD],SEMANA2[Columna33])</f>
        <v>65.5</v>
      </c>
      <c r="CU10" s="536">
        <f t="shared" si="16"/>
        <v>65.5</v>
      </c>
      <c r="CV10" s="445">
        <f>IF(SEMANA29[[#This Row],[TIPO]]="PREMIO",$O$3,"0,00")</f>
        <v>1000</v>
      </c>
      <c r="CW10" s="515"/>
      <c r="CY10" s="388">
        <v>3</v>
      </c>
      <c r="CZ10" s="349">
        <f>P$6</f>
        <v>0</v>
      </c>
      <c r="DB10" s="537" t="str">
        <f>SEMANA29[[#This Row],[COD]]</f>
        <v>COD 03</v>
      </c>
      <c r="DC10" s="390" t="str">
        <f t="array" ref="DC10">IFERROR(IF(AND(INDEX($E$8:$CE$57, MATCH($C10, $C$8:$C$57, 0), (COLUMNS($DC10:DC10)-1)*5 + 1) = INDEX($E$5:$CE$5, 1, (COLUMNS($DC10:DC10)-1)*5 + 1), INDEX($E$8:$CE$57, MATCH($C10, $C$8:$C$57, 0), (COLUMNS($DC10:DC10)-1)*5 + 4) = "F"), INDEX($CZ$8:$CZ$23, COLUMNS($DC10:DC10)), "0"), "")</f>
        <v>0</v>
      </c>
      <c r="DD10" s="390" t="str">
        <f t="array" ref="DD10">IFERROR(IF(AND(INDEX($E$8:$CE$57, MATCH($C10, $C$8:$C$57, 0), (COLUMNS($DC10:DD10)-1)*5 + 1) = INDEX($E$5:$CE$5, 1, (COLUMNS($DC10:DD10)-1)*5 + 1), INDEX($E$8:$CE$57, MATCH($C10, $C$8:$C$57, 0), (COLUMNS($DC10:DD10)-1)*5 + 4) = "F"), INDEX($CZ$8:$CZ$23, COLUMNS($DC10:DD10)), "0"), "")</f>
        <v>0</v>
      </c>
      <c r="DE10" s="390" t="str">
        <f t="array" ref="DE10">IFERROR(IF(AND(INDEX($E$8:$CE$57, MATCH($C10, $C$8:$C$57, 0), (COLUMNS($DC10:DE10)-1)*5 + 1) = INDEX($E$5:$CE$5, 1, (COLUMNS($DC10:DE10)-1)*5 + 1), INDEX($E$8:$CE$57, MATCH($C10, $C$8:$C$57, 0), (COLUMNS($DC10:DE10)-1)*5 + 4) = "F"), INDEX($CZ$8:$CZ$23, COLUMNS($DC10:DE10)), "0"), "")</f>
        <v>0</v>
      </c>
      <c r="DF10" s="390" t="str">
        <f t="array" ref="DF10">IFERROR(IF(AND(INDEX($E$8:$CE$57, MATCH($C10, $C$8:$C$57, 0), (COLUMNS($DC10:DF10)-1)*5 + 1) = INDEX($E$5:$CE$5, 1, (COLUMNS($DC10:DF10)-1)*5 + 1), INDEX($E$8:$CE$57, MATCH($C10, $C$8:$C$57, 0), (COLUMNS($DC10:DF10)-1)*5 + 4) = "F"), INDEX($CZ$8:$CZ$23, COLUMNS($DC10:DF10)), "0"), "")</f>
        <v>0</v>
      </c>
      <c r="DG10" s="390" t="str">
        <f t="array" ref="DG10">IFERROR(IF(AND(INDEX($E$8:$CE$57, MATCH($C10, $C$8:$C$57, 0), (COLUMNS($DC10:DG10)-1)*5 + 1) = INDEX($E$5:$CE$5, 1, (COLUMNS($DC10:DG10)-1)*5 + 1), INDEX($E$8:$CE$57, MATCH($C10, $C$8:$C$57, 0), (COLUMNS($DC10:DG10)-1)*5 + 4) = "F"), INDEX($CZ$8:$CZ$23, COLUMNS($DC10:DG10)), "0"), "")</f>
        <v>0</v>
      </c>
      <c r="DH10" s="390" t="str">
        <f t="array" ref="DH10">IFERROR(IF(AND(INDEX($E$8:$CE$57, MATCH($C10, $C$8:$C$57, 0), (COLUMNS($DC10:DH10)-1)*5 + 1) = INDEX($E$5:$CE$5, 1, (COLUMNS($DC10:DH10)-1)*5 + 1), INDEX($E$8:$CE$57, MATCH($C10, $C$8:$C$57, 0), (COLUMNS($DC10:DH10)-1)*5 + 4) = "F"), INDEX($CZ$8:$CZ$23, COLUMNS($DC10:DH10)), "0"), "")</f>
        <v>0</v>
      </c>
      <c r="DI10" s="390" t="str">
        <f t="array" ref="DI10">IFERROR(IF(AND(INDEX($E$8:$CE$57, MATCH($C10, $C$8:$C$57, 0), (COLUMNS($DC10:DI10)-1)*5 + 1) = INDEX($E$5:$CE$5, 1, (COLUMNS($DC10:DI10)-1)*5 + 1), INDEX($E$8:$CE$57, MATCH($C10, $C$8:$C$57, 0), (COLUMNS($DC10:DI10)-1)*5 + 4) = "F"), INDEX($CZ$8:$CZ$23, COLUMNS($DC10:DI10)), "0"), "")</f>
        <v>0</v>
      </c>
      <c r="DJ10" s="390" t="str">
        <f t="array" ref="DJ10">IFERROR(IF(AND(INDEX($E$8:$CE$57, MATCH($C10, $C$8:$C$57, 0), (COLUMNS($DC10:DJ10)-1)*5 + 1) = INDEX($E$5:$CE$5, 1, (COLUMNS($DC10:DJ10)-1)*5 + 1), INDEX($E$8:$CE$57, MATCH($C10, $C$8:$C$57, 0), (COLUMNS($DC10:DJ10)-1)*5 + 4) = "F"), INDEX($CZ$8:$CZ$23, COLUMNS($DC10:DJ10)), "0"), "")</f>
        <v>0</v>
      </c>
      <c r="DK10" s="390" t="str">
        <f t="array" ref="DK10">IFERROR(IF(AND(INDEX($E$8:$CE$57, MATCH($C10, $C$8:$C$57, 0), (COLUMNS($DC10:DK10)-1)*5 + 1) = INDEX($E$5:$CE$5, 1, (COLUMNS($DC10:DK10)-1)*5 + 1), INDEX($E$8:$CE$57, MATCH($C10, $C$8:$C$57, 0), (COLUMNS($DC10:DK10)-1)*5 + 4) = "F"), INDEX($CZ$8:$CZ$23, COLUMNS($DC10:DK10)), "0"), "")</f>
        <v>0</v>
      </c>
      <c r="DL10" s="390" t="str">
        <f t="array" ref="DL10">IFERROR(IF(AND(INDEX($E$8:$CE$57, MATCH($C10, $C$8:$C$57, 0), (COLUMNS($DC10:DL10)-1)*5 + 1) = INDEX($E$5:$CE$5, 1, (COLUMNS($DC10:DL10)-1)*5 + 1), INDEX($E$8:$CE$57, MATCH($C10, $C$8:$C$57, 0), (COLUMNS($DC10:DL10)-1)*5 + 4) = "F"), INDEX($CZ$8:$CZ$23, COLUMNS($DC10:DL10)), "0"), "")</f>
        <v>0</v>
      </c>
      <c r="DM10" s="390" t="str">
        <f t="array" ref="DM10">IFERROR(IF(AND(INDEX($E$8:$CE$57, MATCH($C10, $C$8:$C$57, 0), (COLUMNS($DC10:DM10)-1)*5 + 1) = INDEX($E$5:$CE$5, 1, (COLUMNS($DC10:DM10)-1)*5 + 1), INDEX($E$8:$CE$57, MATCH($C10, $C$8:$C$57, 0), (COLUMNS($DC10:DM10)-1)*5 + 4) = "F"), INDEX($CZ$8:$CZ$23, COLUMNS($DC10:DM10)), "0"), "")</f>
        <v>0</v>
      </c>
      <c r="DN10" s="390" t="str">
        <f t="array" ref="DN10">IFERROR(IF(AND(INDEX($E$8:$CE$57, MATCH($C10, $C$8:$C$57, 0), (COLUMNS($DC10:DN10)-1)*5 + 1) = INDEX($E$5:$CE$5, 1, (COLUMNS($DC10:DN10)-1)*5 + 1), INDEX($E$8:$CE$57, MATCH($C10, $C$8:$C$57, 0), (COLUMNS($DC10:DN10)-1)*5 + 4) = "F"), INDEX($CZ$8:$CZ$23, COLUMNS($DC10:DN10)), "0"), "")</f>
        <v>0</v>
      </c>
      <c r="DO10" s="390" t="str">
        <f t="array" ref="DO10">IFERROR(IF(AND(INDEX($E$8:$CE$57, MATCH($C10, $C$8:$C$57, 0), (COLUMNS($DC10:DO10)-1)*5 + 1) = INDEX($E$5:$CE$5, 1, (COLUMNS($DC10:DO10)-1)*5 + 1), INDEX($E$8:$CE$57, MATCH($C10, $C$8:$C$57, 0), (COLUMNS($DC10:DO10)-1)*5 + 4) = "F"), INDEX($CZ$8:$CZ$23, COLUMNS($DC10:DO10)), "0"), "")</f>
        <v>0</v>
      </c>
      <c r="DP10" s="390" t="str">
        <f t="array" ref="DP10">IFERROR(IF(AND(INDEX($E$8:$CE$57, MATCH($C10, $C$8:$C$57, 0), (COLUMNS($DC10:DP10)-1)*5 + 1) = INDEX($E$5:$CE$5, 1, (COLUMNS($DC10:DP10)-1)*5 + 1), INDEX($E$8:$CE$57, MATCH($C10, $C$8:$C$57, 0), (COLUMNS($DC10:DP10)-1)*5 + 4) = "F"), INDEX($CZ$8:$CZ$23, COLUMNS($DC10:DP10)), "0"), "")</f>
        <v>0</v>
      </c>
      <c r="DQ10" s="390" t="str">
        <f t="array" ref="DQ10">IFERROR(IF(AND(INDEX($E$8:$CE$57, MATCH($C10, $C$8:$C$57, 0), (COLUMNS($DC10:DQ10)-1)*5 + 1) = INDEX($E$5:$CE$5, 1, (COLUMNS($DC10:DQ10)-1)*5 + 1), INDEX($E$8:$CE$57, MATCH($C10, $C$8:$C$57, 0), (COLUMNS($DC10:DQ10)-1)*5 + 4) = "F"), INDEX($CZ$8:$CZ$23, COLUMNS($DC10:DQ10)), "0"), "")</f>
        <v>0</v>
      </c>
      <c r="DR10" s="390" t="str">
        <f t="array" ref="DR10">IFERROR(IF(AND(INDEX($E$8:$CE$57, MATCH($C10, $C$8:$C$57, 0), (COLUMNS($DC10:DR10)-1)*5 + 1) = INDEX($E$5:$CE$5, 1, (COLUMNS($DC10:DR10)-1)*5 + 1), INDEX($E$8:$CE$57, MATCH($C10, $C$8:$C$57, 0), (COLUMNS($DC10:DR10)-1)*5 + 4) = "F"), INDEX($CZ$8:$CZ$23, COLUMNS($DC10:DR10)), "0"), "")</f>
        <v>0</v>
      </c>
      <c r="DT10" s="537" t="str">
        <f>SEMANA29[[#This Row],[COD]]</f>
        <v>COD 03</v>
      </c>
      <c r="DU10" s="390" t="str">
        <f t="array" ref="DU10">IFERROR(IF(AND(INDEX($E$8:$CE$57, MATCH($C10, $C$8:$C$57, 0), (COLUMNS($DU10:DU10)-1)*5 + 1) = INDEX($E$5:$CE$5, 1, (COLUMNS($DU10:DU10)-1)*5 + 1), INDEX($E$8:$CE$57, MATCH($C10, $C$8:$C$57, 0), (COLUMNS($DU10:DU10)-1)*5 + 4) = "SF"), INDEX($CZ$8:$CZ$23, COLUMNS($DU10:DU10)), "0"), "")</f>
        <v>0</v>
      </c>
      <c r="DV10" s="390" t="str">
        <f t="array" ref="DV10">IFERROR(IF(AND(INDEX($E$8:$CE$57, MATCH($C10, $C$8:$C$57, 0), (COLUMNS($DU10:DV10)-1)*5 + 1) = INDEX($E$5:$CE$5, 1, (COLUMNS($DU10:DV10)-1)*5 + 1), INDEX($E$8:$CE$57, MATCH($C10, $C$8:$C$57, 0), (COLUMNS($DU10:DV10)-1)*5 + 4) = "SF"), INDEX($CZ$8:$CZ$23, COLUMNS($DU10:DV10)), "0"), "")</f>
        <v>0</v>
      </c>
      <c r="DW10" s="390" t="str">
        <f t="array" ref="DW10">IFERROR(IF(AND(INDEX($E$8:$CE$57, MATCH($C10, $C$8:$C$57, 0), (COLUMNS($DU10:DW10)-1)*5 + 1) = INDEX($E$5:$CE$5, 1, (COLUMNS($DU10:DW10)-1)*5 + 1), INDEX($E$8:$CE$57, MATCH($C10, $C$8:$C$57, 0), (COLUMNS($DU10:DW10)-1)*5 + 4) = "SF"), INDEX($CZ$8:$CZ$23, COLUMNS($DU10:DW10)), "0"), "")</f>
        <v>0</v>
      </c>
      <c r="DX10" s="390" t="str">
        <f t="array" ref="DX10">IFERROR(IF(AND(INDEX($E$8:$CE$57, MATCH($C10, $C$8:$C$57, 0), (COLUMNS($DU10:DX10)-1)*5 + 1) = INDEX($E$5:$CE$5, 1, (COLUMNS($DU10:DX10)-1)*5 + 1), INDEX($E$8:$CE$57, MATCH($C10, $C$8:$C$57, 0), (COLUMNS($DU10:DX10)-1)*5 + 4) = "SF"), INDEX($CZ$8:$CZ$23, COLUMNS($DU10:DX10)), "0"), "")</f>
        <v>0</v>
      </c>
      <c r="DY10" s="390" t="str">
        <f t="array" ref="DY10">IFERROR(IF(AND(INDEX($E$8:$CE$57, MATCH($C10, $C$8:$C$57, 0), (COLUMNS($DU10:DY10)-1)*5 + 1) = INDEX($E$5:$CE$5, 1, (COLUMNS($DU10:DY10)-1)*5 + 1), INDEX($E$8:$CE$57, MATCH($C10, $C$8:$C$57, 0), (COLUMNS($DU10:DY10)-1)*5 + 4) = "SF"), INDEX($CZ$8:$CZ$23, COLUMNS($DU10:DY10)), "0"), "")</f>
        <v>0</v>
      </c>
      <c r="DZ10" s="390" t="str">
        <f t="array" ref="DZ10">IFERROR(IF(AND(INDEX($E$8:$CE$57, MATCH($C10, $C$8:$C$57, 0), (COLUMNS($DU10:DZ10)-1)*5 + 1) = INDEX($E$5:$CE$5, 1, (COLUMNS($DU10:DZ10)-1)*5 + 1), INDEX($E$8:$CE$57, MATCH($C10, $C$8:$C$57, 0), (COLUMNS($DU10:DZ10)-1)*5 + 4) = "SF"), INDEX($CZ$8:$CZ$23, COLUMNS($DU10:DZ10)), "0"), "")</f>
        <v>0</v>
      </c>
      <c r="EA10" s="390" t="str">
        <f t="array" ref="EA10">IFERROR(IF(AND(INDEX($E$8:$CE$57, MATCH($C10, $C$8:$C$57, 0), (COLUMNS($DU10:EA10)-1)*5 + 1) = INDEX($E$5:$CE$5, 1, (COLUMNS($DU10:EA10)-1)*5 + 1), INDEX($E$8:$CE$57, MATCH($C10, $C$8:$C$57, 0), (COLUMNS($DU10:EA10)-1)*5 + 4) = "SF"), INDEX($CZ$8:$CZ$23, COLUMNS($DU10:EA10)), "0"), "")</f>
        <v>0</v>
      </c>
      <c r="EB10" s="390" t="str">
        <f t="array" ref="EB10">IFERROR(IF(AND(INDEX($E$8:$CE$57, MATCH($C10, $C$8:$C$57, 0), (COLUMNS($DU10:EB10)-1)*5 + 1) = INDEX($E$5:$CE$5, 1, (COLUMNS($DU10:EB10)-1)*5 + 1), INDEX($E$8:$CE$57, MATCH($C10, $C$8:$C$57, 0), (COLUMNS($DU10:EB10)-1)*5 + 4) = "SF"), INDEX($CZ$8:$CZ$23, COLUMNS($DU10:EB10)), "0"), "")</f>
        <v>0</v>
      </c>
      <c r="EC10" s="390" t="str">
        <f t="array" ref="EC10">IFERROR(IF(AND(INDEX($E$8:$CE$57, MATCH($C10, $C$8:$C$57, 0), (COLUMNS($DU10:EC10)-1)*5 + 1) = INDEX($E$5:$CE$5, 1, (COLUMNS($DU10:EC10)-1)*5 + 1), INDEX($E$8:$CE$57, MATCH($C10, $C$8:$C$57, 0), (COLUMNS($DU10:EC10)-1)*5 + 4) = "SF"), INDEX($CZ$8:$CZ$23, COLUMNS($DU10:EC10)), "0"), "")</f>
        <v>0</v>
      </c>
      <c r="ED10" s="390" t="str">
        <f t="array" ref="ED10">IFERROR(IF(AND(INDEX($E$8:$CE$57, MATCH($C10, $C$8:$C$57, 0), (COLUMNS($DU10:ED10)-1)*5 + 1) = INDEX($E$5:$CE$5, 1, (COLUMNS($DU10:ED10)-1)*5 + 1), INDEX($E$8:$CE$57, MATCH($C10, $C$8:$C$57, 0), (COLUMNS($DU10:ED10)-1)*5 + 4) = "SF"), INDEX($CZ$8:$CZ$23, COLUMNS($DU10:ED10)), "0"), "")</f>
        <v>0</v>
      </c>
      <c r="EE10" s="390" t="str">
        <f t="array" ref="EE10">IFERROR(IF(AND(INDEX($E$8:$CE$57, MATCH($C10, $C$8:$C$57, 0), (COLUMNS($DU10:EE10)-1)*5 + 1) = INDEX($E$5:$CE$5, 1, (COLUMNS($DU10:EE10)-1)*5 + 1), INDEX($E$8:$CE$57, MATCH($C10, $C$8:$C$57, 0), (COLUMNS($DU10:EE10)-1)*5 + 4) = "SF"), INDEX($CZ$8:$CZ$23, COLUMNS($DU10:EE10)), "0"), "")</f>
        <v>0</v>
      </c>
      <c r="EF10" s="390" t="str">
        <f t="array" ref="EF10">IFERROR(IF(AND(INDEX($E$8:$CE$57, MATCH($C10, $C$8:$C$57, 0), (COLUMNS($DU10:EF10)-1)*5 + 1) = INDEX($E$5:$CE$5, 1, (COLUMNS($DU10:EF10)-1)*5 + 1), INDEX($E$8:$CE$57, MATCH($C10, $C$8:$C$57, 0), (COLUMNS($DU10:EF10)-1)*5 + 4) = "SF"), INDEX($CZ$8:$CZ$23, COLUMNS($DU10:EF10)), "0"), "")</f>
        <v>0</v>
      </c>
      <c r="EG10" s="390" t="str">
        <f t="array" ref="EG10">IFERROR(IF(AND(INDEX($E$8:$CE$57, MATCH($C10, $C$8:$C$57, 0), (COLUMNS($DU10:EG10)-1)*5 + 1) = INDEX($E$5:$CE$5, 1, (COLUMNS($DU10:EG10)-1)*5 + 1), INDEX($E$8:$CE$57, MATCH($C10, $C$8:$C$57, 0), (COLUMNS($DU10:EG10)-1)*5 + 4) = "SF"), INDEX($CZ$8:$CZ$23, COLUMNS($DU10:EG10)), "0"), "")</f>
        <v>0</v>
      </c>
      <c r="EH10" s="390" t="str">
        <f t="array" ref="EH10">IFERROR(IF(AND(INDEX($E$8:$CE$57, MATCH($C10, $C$8:$C$57, 0), (COLUMNS($DU10:EH10)-1)*5 + 1) = INDEX($E$5:$CE$5, 1, (COLUMNS($DU10:EH10)-1)*5 + 1), INDEX($E$8:$CE$57, MATCH($C10, $C$8:$C$57, 0), (COLUMNS($DU10:EH10)-1)*5 + 4) = "SF"), INDEX($CZ$8:$CZ$23, COLUMNS($DU10:EH10)), "0"), "")</f>
        <v>0</v>
      </c>
      <c r="EI10" s="390" t="str">
        <f t="array" ref="EI10">IFERROR(IF(AND(INDEX($E$8:$CE$57, MATCH($C10, $C$8:$C$57, 0), (COLUMNS($DU10:EI10)-1)*5 + 1) = INDEX($E$5:$CE$5, 1, (COLUMNS($DU10:EI10)-1)*5 + 1), INDEX($E$8:$CE$57, MATCH($C10, $C$8:$C$57, 0), (COLUMNS($DU10:EI10)-1)*5 + 4) = "SF"), INDEX($CZ$8:$CZ$23, COLUMNS($DU10:EI10)), "0"), "")</f>
        <v>0</v>
      </c>
      <c r="EJ10" s="390" t="str">
        <f t="array" ref="EJ10">IFERROR(IF(AND(INDEX($E$8:$CE$57, MATCH($C10, $C$8:$C$57, 0), (COLUMNS($DU10:EJ10)-1)*5 + 1) = INDEX($E$5:$CE$5, 1, (COLUMNS($DU10:EJ10)-1)*5 + 1), INDEX($E$8:$CE$57, MATCH($C10, $C$8:$C$57, 0), (COLUMNS($DU10:EJ10)-1)*5 + 4) = "SF"), INDEX($CZ$8:$CZ$23, COLUMNS($DU10:EJ10)), "0"), "")</f>
        <v>0</v>
      </c>
    </row>
    <row r="11" spans="1:140" ht="20.100000000000001" customHeight="1" x14ac:dyDescent="0.35">
      <c r="A11" s="515"/>
      <c r="B11" s="444">
        <f>IF(SEMANA29[[#This Row],[COD]]&lt;&gt;"",B10+1,"")</f>
        <v>4</v>
      </c>
      <c r="C11" s="554" t="s">
        <v>37</v>
      </c>
      <c r="D11" s="410" t="str">
        <f t="array" ref="D11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PREMIO</v>
      </c>
      <c r="E11" s="411"/>
      <c r="F11" s="412"/>
      <c r="G11" s="412"/>
      <c r="H11" s="412"/>
      <c r="I11" s="534">
        <f t="shared" si="0"/>
        <v>0</v>
      </c>
      <c r="J11" s="411"/>
      <c r="K11" s="412"/>
      <c r="L11" s="412"/>
      <c r="M11" s="412"/>
      <c r="N11" s="534">
        <f t="shared" si="1"/>
        <v>0</v>
      </c>
      <c r="O11" s="411"/>
      <c r="P11" s="412"/>
      <c r="Q11" s="412"/>
      <c r="R11" s="412"/>
      <c r="S11" s="534">
        <f t="shared" si="2"/>
        <v>0</v>
      </c>
      <c r="T11" s="411"/>
      <c r="U11" s="412"/>
      <c r="V11" s="412"/>
      <c r="W11" s="412"/>
      <c r="X11" s="534">
        <f t="shared" si="3"/>
        <v>0</v>
      </c>
      <c r="Y11" s="411"/>
      <c r="Z11" s="412"/>
      <c r="AA11" s="412"/>
      <c r="AB11" s="412"/>
      <c r="AC11" s="534">
        <f t="shared" si="4"/>
        <v>0</v>
      </c>
      <c r="AD11" s="411"/>
      <c r="AE11" s="412"/>
      <c r="AF11" s="412"/>
      <c r="AG11" s="412"/>
      <c r="AH11" s="534">
        <f t="shared" si="5"/>
        <v>0</v>
      </c>
      <c r="AI11" s="411"/>
      <c r="AJ11" s="412"/>
      <c r="AK11" s="412"/>
      <c r="AL11" s="412"/>
      <c r="AM11" s="534">
        <f t="shared" si="6"/>
        <v>0</v>
      </c>
      <c r="AN11" s="411"/>
      <c r="AO11" s="412"/>
      <c r="AP11" s="412"/>
      <c r="AQ11" s="412"/>
      <c r="AR11" s="534">
        <f t="shared" si="7"/>
        <v>0</v>
      </c>
      <c r="AS11" s="411"/>
      <c r="AT11" s="412"/>
      <c r="AU11" s="412"/>
      <c r="AV11" s="412"/>
      <c r="AW11" s="534">
        <f t="shared" si="8"/>
        <v>0</v>
      </c>
      <c r="AX11" s="411"/>
      <c r="AY11" s="412"/>
      <c r="AZ11" s="412"/>
      <c r="BA11" s="412"/>
      <c r="BB11" s="534">
        <f t="shared" si="9"/>
        <v>0</v>
      </c>
      <c r="BC11" s="411"/>
      <c r="BD11" s="412"/>
      <c r="BE11" s="412"/>
      <c r="BF11" s="412"/>
      <c r="BG11" s="534">
        <f t="shared" si="10"/>
        <v>0</v>
      </c>
      <c r="BH11" s="411"/>
      <c r="BI11" s="412"/>
      <c r="BJ11" s="412"/>
      <c r="BK11" s="412"/>
      <c r="BL11" s="534">
        <f t="shared" si="11"/>
        <v>0</v>
      </c>
      <c r="BM11" s="411"/>
      <c r="BN11" s="412"/>
      <c r="BO11" s="412"/>
      <c r="BP11" s="412"/>
      <c r="BQ11" s="534">
        <f t="shared" si="12"/>
        <v>0</v>
      </c>
      <c r="BR11" s="411"/>
      <c r="BS11" s="412"/>
      <c r="BT11" s="412"/>
      <c r="BU11" s="412"/>
      <c r="BV11" s="534">
        <f t="shared" si="13"/>
        <v>0</v>
      </c>
      <c r="BW11" s="411"/>
      <c r="BX11" s="412"/>
      <c r="BY11" s="412"/>
      <c r="BZ11" s="412"/>
      <c r="CA11" s="534">
        <f t="shared" si="14"/>
        <v>0</v>
      </c>
      <c r="CB11" s="411"/>
      <c r="CC11" s="412"/>
      <c r="CD11" s="412"/>
      <c r="CE11" s="412"/>
      <c r="CF11" s="534">
        <f t="shared" si="15"/>
        <v>0</v>
      </c>
      <c r="CG11" s="162">
        <f>IF(SEMANA29[[#This Row],[1]]="",0,$B$4)</f>
        <v>0</v>
      </c>
      <c r="CH11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11" s="164">
        <f>IF(SEMANA29[[#This Row],[Columna14]]=0,0,(CH11/CG11))</f>
        <v>0</v>
      </c>
      <c r="CJ11" s="163">
        <f>IF(SEMANA29[[#This Row],[1]]="",0,$B$4)</f>
        <v>0</v>
      </c>
      <c r="CK11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11" s="164">
        <f>IF(SEMANA29[[#This Row],[Columna14]]=0,0,(CK11/CJ11))</f>
        <v>0</v>
      </c>
      <c r="CM11" s="162">
        <f>IF(SEMANA29[[#This Row],[1]]="",0,$B$4)</f>
        <v>0</v>
      </c>
      <c r="CN11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11" s="164">
        <f>IF(SEMANA29[[#This Row],[Columna14]]=0,0,(CN11/CM11))</f>
        <v>0</v>
      </c>
      <c r="CP11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11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Row],[Columna25]],$AX$5,BA11,"SF")+COUNTIFS(SEMANA29[[#This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11" s="164">
        <f>IFERROR(IF(SEMANA29[[#This Row],[Columna14]]=0,0,(CQ11/CP11)),0)</f>
        <v>0</v>
      </c>
      <c r="CS11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11" s="93">
        <f>_xlfn.XLOOKUP(SEMANA29[[#This Row],[COD]],SEMANA2[COD],SEMANA2[Columna33])</f>
        <v>61.5</v>
      </c>
      <c r="CU11" s="536">
        <f t="shared" si="16"/>
        <v>61.5</v>
      </c>
      <c r="CV11" s="445">
        <f>IF(SEMANA29[[#This Row],[TIPO]]="PREMIO",$O$3,"0,00")</f>
        <v>1000</v>
      </c>
      <c r="CW11" s="515"/>
      <c r="CY11" s="388">
        <v>4</v>
      </c>
      <c r="CZ11" s="349">
        <f>U$6</f>
        <v>0</v>
      </c>
      <c r="DB11" s="537" t="str">
        <f>SEMANA29[[#This Row],[COD]]</f>
        <v>COD 04</v>
      </c>
      <c r="DC11" s="390" t="str">
        <f t="array" ref="DC11">IFERROR(IF(AND(INDEX($E$8:$CE$57, MATCH($C11, $C$8:$C$57, 0), (COLUMNS($DC11:DC11)-1)*5 + 1) = INDEX($E$5:$CE$5, 1, (COLUMNS($DC11:DC11)-1)*5 + 1), INDEX($E$8:$CE$57, MATCH($C11, $C$8:$C$57, 0), (COLUMNS($DC11:DC11)-1)*5 + 4) = "F"), INDEX($CZ$8:$CZ$23, COLUMNS($DC11:DC11)), "0"), "")</f>
        <v>0</v>
      </c>
      <c r="DD11" s="390" t="str">
        <f t="array" ref="DD11">IFERROR(IF(AND(INDEX($E$8:$CE$57, MATCH($C11, $C$8:$C$57, 0), (COLUMNS($DC11:DD11)-1)*5 + 1) = INDEX($E$5:$CE$5, 1, (COLUMNS($DC11:DD11)-1)*5 + 1), INDEX($E$8:$CE$57, MATCH($C11, $C$8:$C$57, 0), (COLUMNS($DC11:DD11)-1)*5 + 4) = "F"), INDEX($CZ$8:$CZ$23, COLUMNS($DC11:DD11)), "0"), "")</f>
        <v>0</v>
      </c>
      <c r="DE11" s="390" t="str">
        <f t="array" ref="DE11">IFERROR(IF(AND(INDEX($E$8:$CE$57, MATCH($C11, $C$8:$C$57, 0), (COLUMNS($DC11:DE11)-1)*5 + 1) = INDEX($E$5:$CE$5, 1, (COLUMNS($DC11:DE11)-1)*5 + 1), INDEX($E$8:$CE$57, MATCH($C11, $C$8:$C$57, 0), (COLUMNS($DC11:DE11)-1)*5 + 4) = "F"), INDEX($CZ$8:$CZ$23, COLUMNS($DC11:DE11)), "0"), "")</f>
        <v>0</v>
      </c>
      <c r="DF11" s="390" t="str">
        <f t="array" ref="DF11">IFERROR(IF(AND(INDEX($E$8:$CE$57, MATCH($C11, $C$8:$C$57, 0), (COLUMNS($DC11:DF11)-1)*5 + 1) = INDEX($E$5:$CE$5, 1, (COLUMNS($DC11:DF11)-1)*5 + 1), INDEX($E$8:$CE$57, MATCH($C11, $C$8:$C$57, 0), (COLUMNS($DC11:DF11)-1)*5 + 4) = "F"), INDEX($CZ$8:$CZ$23, COLUMNS($DC11:DF11)), "0"), "")</f>
        <v>0</v>
      </c>
      <c r="DG11" s="390" t="str">
        <f t="array" ref="DG11">IFERROR(IF(AND(INDEX($E$8:$CE$57, MATCH($C11, $C$8:$C$57, 0), (COLUMNS($DC11:DG11)-1)*5 + 1) = INDEX($E$5:$CE$5, 1, (COLUMNS($DC11:DG11)-1)*5 + 1), INDEX($E$8:$CE$57, MATCH($C11, $C$8:$C$57, 0), (COLUMNS($DC11:DG11)-1)*5 + 4) = "F"), INDEX($CZ$8:$CZ$23, COLUMNS($DC11:DG11)), "0"), "")</f>
        <v>0</v>
      </c>
      <c r="DH11" s="390" t="str">
        <f t="array" ref="DH11">IFERROR(IF(AND(INDEX($E$8:$CE$57, MATCH($C11, $C$8:$C$57, 0), (COLUMNS($DC11:DH11)-1)*5 + 1) = INDEX($E$5:$CE$5, 1, (COLUMNS($DC11:DH11)-1)*5 + 1), INDEX($E$8:$CE$57, MATCH($C11, $C$8:$C$57, 0), (COLUMNS($DC11:DH11)-1)*5 + 4) = "F"), INDEX($CZ$8:$CZ$23, COLUMNS($DC11:DH11)), "0"), "")</f>
        <v>0</v>
      </c>
      <c r="DI11" s="390" t="str">
        <f t="array" ref="DI11">IFERROR(IF(AND(INDEX($E$8:$CE$57, MATCH($C11, $C$8:$C$57, 0), (COLUMNS($DC11:DI11)-1)*5 + 1) = INDEX($E$5:$CE$5, 1, (COLUMNS($DC11:DI11)-1)*5 + 1), INDEX($E$8:$CE$57, MATCH($C11, $C$8:$C$57, 0), (COLUMNS($DC11:DI11)-1)*5 + 4) = "F"), INDEX($CZ$8:$CZ$23, COLUMNS($DC11:DI11)), "0"), "")</f>
        <v>0</v>
      </c>
      <c r="DJ11" s="390" t="str">
        <f t="array" ref="DJ11">IFERROR(IF(AND(INDEX($E$8:$CE$57, MATCH($C11, $C$8:$C$57, 0), (COLUMNS($DC11:DJ11)-1)*5 + 1) = INDEX($E$5:$CE$5, 1, (COLUMNS($DC11:DJ11)-1)*5 + 1), INDEX($E$8:$CE$57, MATCH($C11, $C$8:$C$57, 0), (COLUMNS($DC11:DJ11)-1)*5 + 4) = "F"), INDEX($CZ$8:$CZ$23, COLUMNS($DC11:DJ11)), "0"), "")</f>
        <v>0</v>
      </c>
      <c r="DK11" s="390" t="str">
        <f t="array" ref="DK11">IFERROR(IF(AND(INDEX($E$8:$CE$57, MATCH($C11, $C$8:$C$57, 0), (COLUMNS($DC11:DK11)-1)*5 + 1) = INDEX($E$5:$CE$5, 1, (COLUMNS($DC11:DK11)-1)*5 + 1), INDEX($E$8:$CE$57, MATCH($C11, $C$8:$C$57, 0), (COLUMNS($DC11:DK11)-1)*5 + 4) = "F"), INDEX($CZ$8:$CZ$23, COLUMNS($DC11:DK11)), "0"), "")</f>
        <v>0</v>
      </c>
      <c r="DL11" s="390" t="str">
        <f t="array" ref="DL11">IFERROR(IF(AND(INDEX($E$8:$CE$57, MATCH($C11, $C$8:$C$57, 0), (COLUMNS($DC11:DL11)-1)*5 + 1) = INDEX($E$5:$CE$5, 1, (COLUMNS($DC11:DL11)-1)*5 + 1), INDEX($E$8:$CE$57, MATCH($C11, $C$8:$C$57, 0), (COLUMNS($DC11:DL11)-1)*5 + 4) = "F"), INDEX($CZ$8:$CZ$23, COLUMNS($DC11:DL11)), "0"), "")</f>
        <v>0</v>
      </c>
      <c r="DM11" s="390" t="str">
        <f t="array" ref="DM11">IFERROR(IF(AND(INDEX($E$8:$CE$57, MATCH($C11, $C$8:$C$57, 0), (COLUMNS($DC11:DM11)-1)*5 + 1) = INDEX($E$5:$CE$5, 1, (COLUMNS($DC11:DM11)-1)*5 + 1), INDEX($E$8:$CE$57, MATCH($C11, $C$8:$C$57, 0), (COLUMNS($DC11:DM11)-1)*5 + 4) = "F"), INDEX($CZ$8:$CZ$23, COLUMNS($DC11:DM11)), "0"), "")</f>
        <v>0</v>
      </c>
      <c r="DN11" s="390" t="str">
        <f t="array" ref="DN11">IFERROR(IF(AND(INDEX($E$8:$CE$57, MATCH($C11, $C$8:$C$57, 0), (COLUMNS($DC11:DN11)-1)*5 + 1) = INDEX($E$5:$CE$5, 1, (COLUMNS($DC11:DN11)-1)*5 + 1), INDEX($E$8:$CE$57, MATCH($C11, $C$8:$C$57, 0), (COLUMNS($DC11:DN11)-1)*5 + 4) = "F"), INDEX($CZ$8:$CZ$23, COLUMNS($DC11:DN11)), "0"), "")</f>
        <v>0</v>
      </c>
      <c r="DO11" s="390" t="str">
        <f t="array" ref="DO11">IFERROR(IF(AND(INDEX($E$8:$CE$57, MATCH($C11, $C$8:$C$57, 0), (COLUMNS($DC11:DO11)-1)*5 + 1) = INDEX($E$5:$CE$5, 1, (COLUMNS($DC11:DO11)-1)*5 + 1), INDEX($E$8:$CE$57, MATCH($C11, $C$8:$C$57, 0), (COLUMNS($DC11:DO11)-1)*5 + 4) = "F"), INDEX($CZ$8:$CZ$23, COLUMNS($DC11:DO11)), "0"), "")</f>
        <v>0</v>
      </c>
      <c r="DP11" s="390" t="str">
        <f t="array" ref="DP11">IFERROR(IF(AND(INDEX($E$8:$CE$57, MATCH($C11, $C$8:$C$57, 0), (COLUMNS($DC11:DP11)-1)*5 + 1) = INDEX($E$5:$CE$5, 1, (COLUMNS($DC11:DP11)-1)*5 + 1), INDEX($E$8:$CE$57, MATCH($C11, $C$8:$C$57, 0), (COLUMNS($DC11:DP11)-1)*5 + 4) = "F"), INDEX($CZ$8:$CZ$23, COLUMNS($DC11:DP11)), "0"), "")</f>
        <v>0</v>
      </c>
      <c r="DQ11" s="390" t="str">
        <f t="array" ref="DQ11">IFERROR(IF(AND(INDEX($E$8:$CE$57, MATCH($C11, $C$8:$C$57, 0), (COLUMNS($DC11:DQ11)-1)*5 + 1) = INDEX($E$5:$CE$5, 1, (COLUMNS($DC11:DQ11)-1)*5 + 1), INDEX($E$8:$CE$57, MATCH($C11, $C$8:$C$57, 0), (COLUMNS($DC11:DQ11)-1)*5 + 4) = "F"), INDEX($CZ$8:$CZ$23, COLUMNS($DC11:DQ11)), "0"), "")</f>
        <v>0</v>
      </c>
      <c r="DR11" s="390" t="str">
        <f t="array" ref="DR11">IFERROR(IF(AND(INDEX($E$8:$CE$57, MATCH($C11, $C$8:$C$57, 0), (COLUMNS($DC11:DR11)-1)*5 + 1) = INDEX($E$5:$CE$5, 1, (COLUMNS($DC11:DR11)-1)*5 + 1), INDEX($E$8:$CE$57, MATCH($C11, $C$8:$C$57, 0), (COLUMNS($DC11:DR11)-1)*5 + 4) = "F"), INDEX($CZ$8:$CZ$23, COLUMNS($DC11:DR11)), "0"), "")</f>
        <v>0</v>
      </c>
      <c r="DT11" s="537" t="str">
        <f>SEMANA29[[#This Row],[COD]]</f>
        <v>COD 04</v>
      </c>
      <c r="DU11" s="390" t="str">
        <f t="array" ref="DU11">IFERROR(IF(AND(INDEX($E$8:$CE$57, MATCH($C11, $C$8:$C$57, 0), (COLUMNS($DU11:DU11)-1)*5 + 1) = INDEX($E$5:$CE$5, 1, (COLUMNS($DU11:DU11)-1)*5 + 1), INDEX($E$8:$CE$57, MATCH($C11, $C$8:$C$57, 0), (COLUMNS($DU11:DU11)-1)*5 + 4) = "SF"), INDEX($CZ$8:$CZ$23, COLUMNS($DU11:DU11)), "0"), "")</f>
        <v>0</v>
      </c>
      <c r="DV11" s="390" t="str">
        <f t="array" ref="DV11">IFERROR(IF(AND(INDEX($E$8:$CE$57, MATCH($C11, $C$8:$C$57, 0), (COLUMNS($DU11:DV11)-1)*5 + 1) = INDEX($E$5:$CE$5, 1, (COLUMNS($DU11:DV11)-1)*5 + 1), INDEX($E$8:$CE$57, MATCH($C11, $C$8:$C$57, 0), (COLUMNS($DU11:DV11)-1)*5 + 4) = "SF"), INDEX($CZ$8:$CZ$23, COLUMNS($DU11:DV11)), "0"), "")</f>
        <v>0</v>
      </c>
      <c r="DW11" s="390" t="str">
        <f t="array" ref="DW11">IFERROR(IF(AND(INDEX($E$8:$CE$57, MATCH($C11, $C$8:$C$57, 0), (COLUMNS($DU11:DW11)-1)*5 + 1) = INDEX($E$5:$CE$5, 1, (COLUMNS($DU11:DW11)-1)*5 + 1), INDEX($E$8:$CE$57, MATCH($C11, $C$8:$C$57, 0), (COLUMNS($DU11:DW11)-1)*5 + 4) = "SF"), INDEX($CZ$8:$CZ$23, COLUMNS($DU11:DW11)), "0"), "")</f>
        <v>0</v>
      </c>
      <c r="DX11" s="390" t="str">
        <f t="array" ref="DX11">IFERROR(IF(AND(INDEX($E$8:$CE$57, MATCH($C11, $C$8:$C$57, 0), (COLUMNS($DU11:DX11)-1)*5 + 1) = INDEX($E$5:$CE$5, 1, (COLUMNS($DU11:DX11)-1)*5 + 1), INDEX($E$8:$CE$57, MATCH($C11, $C$8:$C$57, 0), (COLUMNS($DU11:DX11)-1)*5 + 4) = "SF"), INDEX($CZ$8:$CZ$23, COLUMNS($DU11:DX11)), "0"), "")</f>
        <v>0</v>
      </c>
      <c r="DY11" s="390" t="str">
        <f t="array" ref="DY11">IFERROR(IF(AND(INDEX($E$8:$CE$57, MATCH($C11, $C$8:$C$57, 0), (COLUMNS($DU11:DY11)-1)*5 + 1) = INDEX($E$5:$CE$5, 1, (COLUMNS($DU11:DY11)-1)*5 + 1), INDEX($E$8:$CE$57, MATCH($C11, $C$8:$C$57, 0), (COLUMNS($DU11:DY11)-1)*5 + 4) = "SF"), INDEX($CZ$8:$CZ$23, COLUMNS($DU11:DY11)), "0"), "")</f>
        <v>0</v>
      </c>
      <c r="DZ11" s="390" t="str">
        <f t="array" ref="DZ11">IFERROR(IF(AND(INDEX($E$8:$CE$57, MATCH($C11, $C$8:$C$57, 0), (COLUMNS($DU11:DZ11)-1)*5 + 1) = INDEX($E$5:$CE$5, 1, (COLUMNS($DU11:DZ11)-1)*5 + 1), INDEX($E$8:$CE$57, MATCH($C11, $C$8:$C$57, 0), (COLUMNS($DU11:DZ11)-1)*5 + 4) = "SF"), INDEX($CZ$8:$CZ$23, COLUMNS($DU11:DZ11)), "0"), "")</f>
        <v>0</v>
      </c>
      <c r="EA11" s="390" t="str">
        <f t="array" ref="EA11">IFERROR(IF(AND(INDEX($E$8:$CE$57, MATCH($C11, $C$8:$C$57, 0), (COLUMNS($DU11:EA11)-1)*5 + 1) = INDEX($E$5:$CE$5, 1, (COLUMNS($DU11:EA11)-1)*5 + 1), INDEX($E$8:$CE$57, MATCH($C11, $C$8:$C$57, 0), (COLUMNS($DU11:EA11)-1)*5 + 4) = "SF"), INDEX($CZ$8:$CZ$23, COLUMNS($DU11:EA11)), "0"), "")</f>
        <v>0</v>
      </c>
      <c r="EB11" s="390" t="str">
        <f t="array" ref="EB11">IFERROR(IF(AND(INDEX($E$8:$CE$57, MATCH($C11, $C$8:$C$57, 0), (COLUMNS($DU11:EB11)-1)*5 + 1) = INDEX($E$5:$CE$5, 1, (COLUMNS($DU11:EB11)-1)*5 + 1), INDEX($E$8:$CE$57, MATCH($C11, $C$8:$C$57, 0), (COLUMNS($DU11:EB11)-1)*5 + 4) = "SF"), INDEX($CZ$8:$CZ$23, COLUMNS($DU11:EB11)), "0"), "")</f>
        <v>0</v>
      </c>
      <c r="EC11" s="390" t="str">
        <f t="array" ref="EC11">IFERROR(IF(AND(INDEX($E$8:$CE$57, MATCH($C11, $C$8:$C$57, 0), (COLUMNS($DU11:EC11)-1)*5 + 1) = INDEX($E$5:$CE$5, 1, (COLUMNS($DU11:EC11)-1)*5 + 1), INDEX($E$8:$CE$57, MATCH($C11, $C$8:$C$57, 0), (COLUMNS($DU11:EC11)-1)*5 + 4) = "SF"), INDEX($CZ$8:$CZ$23, COLUMNS($DU11:EC11)), "0"), "")</f>
        <v>0</v>
      </c>
      <c r="ED11" s="390" t="str">
        <f t="array" ref="ED11">IFERROR(IF(AND(INDEX($E$8:$CE$57, MATCH($C11, $C$8:$C$57, 0), (COLUMNS($DU11:ED11)-1)*5 + 1) = INDEX($E$5:$CE$5, 1, (COLUMNS($DU11:ED11)-1)*5 + 1), INDEX($E$8:$CE$57, MATCH($C11, $C$8:$C$57, 0), (COLUMNS($DU11:ED11)-1)*5 + 4) = "SF"), INDEX($CZ$8:$CZ$23, COLUMNS($DU11:ED11)), "0"), "")</f>
        <v>0</v>
      </c>
      <c r="EE11" s="390" t="str">
        <f t="array" ref="EE11">IFERROR(IF(AND(INDEX($E$8:$CE$57, MATCH($C11, $C$8:$C$57, 0), (COLUMNS($DU11:EE11)-1)*5 + 1) = INDEX($E$5:$CE$5, 1, (COLUMNS($DU11:EE11)-1)*5 + 1), INDEX($E$8:$CE$57, MATCH($C11, $C$8:$C$57, 0), (COLUMNS($DU11:EE11)-1)*5 + 4) = "SF"), INDEX($CZ$8:$CZ$23, COLUMNS($DU11:EE11)), "0"), "")</f>
        <v>0</v>
      </c>
      <c r="EF11" s="390" t="str">
        <f t="array" ref="EF11">IFERROR(IF(AND(INDEX($E$8:$CE$57, MATCH($C11, $C$8:$C$57, 0), (COLUMNS($DU11:EF11)-1)*5 + 1) = INDEX($E$5:$CE$5, 1, (COLUMNS($DU11:EF11)-1)*5 + 1), INDEX($E$8:$CE$57, MATCH($C11, $C$8:$C$57, 0), (COLUMNS($DU11:EF11)-1)*5 + 4) = "SF"), INDEX($CZ$8:$CZ$23, COLUMNS($DU11:EF11)), "0"), "")</f>
        <v>0</v>
      </c>
      <c r="EG11" s="390" t="str">
        <f t="array" ref="EG11">IFERROR(IF(AND(INDEX($E$8:$CE$57, MATCH($C11, $C$8:$C$57, 0), (COLUMNS($DU11:EG11)-1)*5 + 1) = INDEX($E$5:$CE$5, 1, (COLUMNS($DU11:EG11)-1)*5 + 1), INDEX($E$8:$CE$57, MATCH($C11, $C$8:$C$57, 0), (COLUMNS($DU11:EG11)-1)*5 + 4) = "SF"), INDEX($CZ$8:$CZ$23, COLUMNS($DU11:EG11)), "0"), "")</f>
        <v>0</v>
      </c>
      <c r="EH11" s="390" t="str">
        <f t="array" ref="EH11">IFERROR(IF(AND(INDEX($E$8:$CE$57, MATCH($C11, $C$8:$C$57, 0), (COLUMNS($DU11:EH11)-1)*5 + 1) = INDEX($E$5:$CE$5, 1, (COLUMNS($DU11:EH11)-1)*5 + 1), INDEX($E$8:$CE$57, MATCH($C11, $C$8:$C$57, 0), (COLUMNS($DU11:EH11)-1)*5 + 4) = "SF"), INDEX($CZ$8:$CZ$23, COLUMNS($DU11:EH11)), "0"), "")</f>
        <v>0</v>
      </c>
      <c r="EI11" s="390" t="str">
        <f t="array" ref="EI11">IFERROR(IF(AND(INDEX($E$8:$CE$57, MATCH($C11, $C$8:$C$57, 0), (COLUMNS($DU11:EI11)-1)*5 + 1) = INDEX($E$5:$CE$5, 1, (COLUMNS($DU11:EI11)-1)*5 + 1), INDEX($E$8:$CE$57, MATCH($C11, $C$8:$C$57, 0), (COLUMNS($DU11:EI11)-1)*5 + 4) = "SF"), INDEX($CZ$8:$CZ$23, COLUMNS($DU11:EI11)), "0"), "")</f>
        <v>0</v>
      </c>
      <c r="EJ11" s="390" t="str">
        <f t="array" ref="EJ11">IFERROR(IF(AND(INDEX($E$8:$CE$57, MATCH($C11, $C$8:$C$57, 0), (COLUMNS($DU11:EJ11)-1)*5 + 1) = INDEX($E$5:$CE$5, 1, (COLUMNS($DU11:EJ11)-1)*5 + 1), INDEX($E$8:$CE$57, MATCH($C11, $C$8:$C$57, 0), (COLUMNS($DU11:EJ11)-1)*5 + 4) = "SF"), INDEX($CZ$8:$CZ$23, COLUMNS($DU11:EJ11)), "0"), "")</f>
        <v>0</v>
      </c>
    </row>
    <row r="12" spans="1:140" ht="20.100000000000001" customHeight="1" x14ac:dyDescent="0.35">
      <c r="A12" s="515"/>
      <c r="B12" s="444">
        <f>IF(SEMANA29[[#This Row],[COD]]&lt;&gt;"",B11+1,"")</f>
        <v>5</v>
      </c>
      <c r="C12" s="554" t="s">
        <v>40</v>
      </c>
      <c r="D12" s="410" t="str">
        <f t="array" ref="D12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12" s="411"/>
      <c r="F12" s="411"/>
      <c r="G12" s="411"/>
      <c r="H12" s="411"/>
      <c r="I12" s="534">
        <f t="shared" si="0"/>
        <v>0</v>
      </c>
      <c r="J12" s="411"/>
      <c r="K12" s="411"/>
      <c r="L12" s="411"/>
      <c r="M12" s="411"/>
      <c r="N12" s="534">
        <f t="shared" si="1"/>
        <v>0</v>
      </c>
      <c r="O12" s="411"/>
      <c r="P12" s="411"/>
      <c r="Q12" s="411"/>
      <c r="R12" s="411"/>
      <c r="S12" s="534">
        <f t="shared" si="2"/>
        <v>0</v>
      </c>
      <c r="T12" s="411"/>
      <c r="U12" s="411"/>
      <c r="V12" s="411"/>
      <c r="W12" s="411"/>
      <c r="X12" s="534">
        <f t="shared" si="3"/>
        <v>0</v>
      </c>
      <c r="Y12" s="411"/>
      <c r="Z12" s="411"/>
      <c r="AA12" s="411"/>
      <c r="AB12" s="411"/>
      <c r="AC12" s="534">
        <f t="shared" si="4"/>
        <v>0</v>
      </c>
      <c r="AD12" s="411"/>
      <c r="AE12" s="411"/>
      <c r="AF12" s="411"/>
      <c r="AG12" s="411"/>
      <c r="AH12" s="534">
        <f t="shared" si="5"/>
        <v>0</v>
      </c>
      <c r="AI12" s="411"/>
      <c r="AJ12" s="411"/>
      <c r="AK12" s="411"/>
      <c r="AL12" s="411"/>
      <c r="AM12" s="534">
        <f t="shared" si="6"/>
        <v>0</v>
      </c>
      <c r="AN12" s="411"/>
      <c r="AO12" s="411"/>
      <c r="AP12" s="411"/>
      <c r="AQ12" s="411"/>
      <c r="AR12" s="534">
        <f t="shared" si="7"/>
        <v>0</v>
      </c>
      <c r="AS12" s="411"/>
      <c r="AT12" s="411"/>
      <c r="AU12" s="411"/>
      <c r="AV12" s="411"/>
      <c r="AW12" s="534">
        <f t="shared" si="8"/>
        <v>0</v>
      </c>
      <c r="AX12" s="411"/>
      <c r="AY12" s="411"/>
      <c r="AZ12" s="411"/>
      <c r="BA12" s="411"/>
      <c r="BB12" s="534">
        <f t="shared" si="9"/>
        <v>0</v>
      </c>
      <c r="BC12" s="411"/>
      <c r="BD12" s="411"/>
      <c r="BE12" s="411"/>
      <c r="BF12" s="411"/>
      <c r="BG12" s="534">
        <f t="shared" si="10"/>
        <v>0</v>
      </c>
      <c r="BH12" s="411"/>
      <c r="BI12" s="411"/>
      <c r="BJ12" s="411"/>
      <c r="BK12" s="411"/>
      <c r="BL12" s="534">
        <f t="shared" si="11"/>
        <v>0</v>
      </c>
      <c r="BM12" s="411"/>
      <c r="BN12" s="411"/>
      <c r="BO12" s="411"/>
      <c r="BP12" s="411"/>
      <c r="BQ12" s="534">
        <f t="shared" si="12"/>
        <v>0</v>
      </c>
      <c r="BR12" s="411"/>
      <c r="BS12" s="411"/>
      <c r="BT12" s="411"/>
      <c r="BU12" s="411"/>
      <c r="BV12" s="534">
        <f t="shared" si="13"/>
        <v>0</v>
      </c>
      <c r="BW12" s="411"/>
      <c r="BX12" s="411"/>
      <c r="BY12" s="411"/>
      <c r="BZ12" s="411"/>
      <c r="CA12" s="534">
        <f t="shared" si="14"/>
        <v>0</v>
      </c>
      <c r="CB12" s="411"/>
      <c r="CC12" s="411"/>
      <c r="CD12" s="411"/>
      <c r="CE12" s="411"/>
      <c r="CF12" s="534">
        <f t="shared" si="15"/>
        <v>0</v>
      </c>
      <c r="CG12" s="162">
        <f>IF(SEMANA29[[#This Row],[1]]="",0,$B$4)</f>
        <v>0</v>
      </c>
      <c r="CH12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12" s="164">
        <f>IF(SEMANA29[[#This Row],[Columna14]]=0,0,(CH12/CG12))</f>
        <v>0</v>
      </c>
      <c r="CJ12" s="163">
        <f>IF(SEMANA29[[#This Row],[1]]="",0,$B$4)</f>
        <v>0</v>
      </c>
      <c r="CK12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12" s="164">
        <f>IF(SEMANA29[[#This Row],[Columna14]]=0,0,(CK12/CJ12))</f>
        <v>0</v>
      </c>
      <c r="CM12" s="162">
        <f>IF(SEMANA29[[#This Row],[1]]="",0,$B$4)</f>
        <v>0</v>
      </c>
      <c r="CN12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12" s="164">
        <f>IF(SEMANA29[[#This Row],[Columna14]]=0,0,(CN12/CM12))</f>
        <v>0</v>
      </c>
      <c r="CP12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12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Row],[Columna25]],$AX$5,BA12,"SF")+COUNTIFS(SEMANA29[[#This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12" s="164">
        <f>IFERROR(IF(SEMANA29[[#This Row],[Columna14]]=0,0,(CQ12/CP12)),0)</f>
        <v>0</v>
      </c>
      <c r="CS12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12" s="93">
        <f>_xlfn.XLOOKUP(SEMANA29[[#This Row],[COD]],SEMANA2[COD],SEMANA2[Columna33])</f>
        <v>71.5</v>
      </c>
      <c r="CU12" s="536">
        <f t="shared" si="16"/>
        <v>71.5</v>
      </c>
      <c r="CV12" s="445" t="str">
        <f>IF(SEMANA29[[#This Row],[TIPO]]="PREMIO",$O$3,"0,00")</f>
        <v>0,00</v>
      </c>
      <c r="CW12" s="515"/>
      <c r="CY12" s="388">
        <v>5</v>
      </c>
      <c r="CZ12" s="349">
        <f>Z$6</f>
        <v>0</v>
      </c>
      <c r="DB12" s="537" t="str">
        <f>SEMANA29[[#This Row],[COD]]</f>
        <v>COD 05</v>
      </c>
      <c r="DC12" s="390" t="str">
        <f t="array" ref="DC12">IFERROR(IF(AND(INDEX($E$8:$CE$57, MATCH($C12, $C$8:$C$57, 0), (COLUMNS($DC12:DC12)-1)*5 + 1) = INDEX($E$5:$CE$5, 1, (COLUMNS($DC12:DC12)-1)*5 + 1), INDEX($E$8:$CE$57, MATCH($C12, $C$8:$C$57, 0), (COLUMNS($DC12:DC12)-1)*5 + 4) = "F"), INDEX($CZ$8:$CZ$23, COLUMNS($DC12:DC12)), "0"), "")</f>
        <v>0</v>
      </c>
      <c r="DD12" s="390" t="str">
        <f t="array" ref="DD12">IFERROR(IF(AND(INDEX($E$8:$CE$57, MATCH($C12, $C$8:$C$57, 0), (COLUMNS($DC12:DD12)-1)*5 + 1) = INDEX($E$5:$CE$5, 1, (COLUMNS($DC12:DD12)-1)*5 + 1), INDEX($E$8:$CE$57, MATCH($C12, $C$8:$C$57, 0), (COLUMNS($DC12:DD12)-1)*5 + 4) = "F"), INDEX($CZ$8:$CZ$23, COLUMNS($DC12:DD12)), "0"), "")</f>
        <v>0</v>
      </c>
      <c r="DE12" s="390" t="str">
        <f t="array" ref="DE12">IFERROR(IF(AND(INDEX($E$8:$CE$57, MATCH($C12, $C$8:$C$57, 0), (COLUMNS($DC12:DE12)-1)*5 + 1) = INDEX($E$5:$CE$5, 1, (COLUMNS($DC12:DE12)-1)*5 + 1), INDEX($E$8:$CE$57, MATCH($C12, $C$8:$C$57, 0), (COLUMNS($DC12:DE12)-1)*5 + 4) = "F"), INDEX($CZ$8:$CZ$23, COLUMNS($DC12:DE12)), "0"), "")</f>
        <v>0</v>
      </c>
      <c r="DF12" s="390" t="str">
        <f t="array" ref="DF12">IFERROR(IF(AND(INDEX($E$8:$CE$57, MATCH($C12, $C$8:$C$57, 0), (COLUMNS($DC12:DF12)-1)*5 + 1) = INDEX($E$5:$CE$5, 1, (COLUMNS($DC12:DF12)-1)*5 + 1), INDEX($E$8:$CE$57, MATCH($C12, $C$8:$C$57, 0), (COLUMNS($DC12:DF12)-1)*5 + 4) = "F"), INDEX($CZ$8:$CZ$23, COLUMNS($DC12:DF12)), "0"), "")</f>
        <v>0</v>
      </c>
      <c r="DG12" s="390" t="str">
        <f t="array" ref="DG12">IFERROR(IF(AND(INDEX($E$8:$CE$57, MATCH($C12, $C$8:$C$57, 0), (COLUMNS($DC12:DG12)-1)*5 + 1) = INDEX($E$5:$CE$5, 1, (COLUMNS($DC12:DG12)-1)*5 + 1), INDEX($E$8:$CE$57, MATCH($C12, $C$8:$C$57, 0), (COLUMNS($DC12:DG12)-1)*5 + 4) = "F"), INDEX($CZ$8:$CZ$23, COLUMNS($DC12:DG12)), "0"), "")</f>
        <v>0</v>
      </c>
      <c r="DH12" s="390" t="str">
        <f t="array" ref="DH12">IFERROR(IF(AND(INDEX($E$8:$CE$57, MATCH($C12, $C$8:$C$57, 0), (COLUMNS($DC12:DH12)-1)*5 + 1) = INDEX($E$5:$CE$5, 1, (COLUMNS($DC12:DH12)-1)*5 + 1), INDEX($E$8:$CE$57, MATCH($C12, $C$8:$C$57, 0), (COLUMNS($DC12:DH12)-1)*5 + 4) = "F"), INDEX($CZ$8:$CZ$23, COLUMNS($DC12:DH12)), "0"), "")</f>
        <v>0</v>
      </c>
      <c r="DI12" s="390" t="str">
        <f t="array" ref="DI12">IFERROR(IF(AND(INDEX($E$8:$CE$57, MATCH($C12, $C$8:$C$57, 0), (COLUMNS($DC12:DI12)-1)*5 + 1) = INDEX($E$5:$CE$5, 1, (COLUMNS($DC12:DI12)-1)*5 + 1), INDEX($E$8:$CE$57, MATCH($C12, $C$8:$C$57, 0), (COLUMNS($DC12:DI12)-1)*5 + 4) = "F"), INDEX($CZ$8:$CZ$23, COLUMNS($DC12:DI12)), "0"), "")</f>
        <v>0</v>
      </c>
      <c r="DJ12" s="390" t="str">
        <f t="array" ref="DJ12">IFERROR(IF(AND(INDEX($E$8:$CE$57, MATCH($C12, $C$8:$C$57, 0), (COLUMNS($DC12:DJ12)-1)*5 + 1) = INDEX($E$5:$CE$5, 1, (COLUMNS($DC12:DJ12)-1)*5 + 1), INDEX($E$8:$CE$57, MATCH($C12, $C$8:$C$57, 0), (COLUMNS($DC12:DJ12)-1)*5 + 4) = "F"), INDEX($CZ$8:$CZ$23, COLUMNS($DC12:DJ12)), "0"), "")</f>
        <v>0</v>
      </c>
      <c r="DK12" s="390" t="str">
        <f t="array" ref="DK12">IFERROR(IF(AND(INDEX($E$8:$CE$57, MATCH($C12, $C$8:$C$57, 0), (COLUMNS($DC12:DK12)-1)*5 + 1) = INDEX($E$5:$CE$5, 1, (COLUMNS($DC12:DK12)-1)*5 + 1), INDEX($E$8:$CE$57, MATCH($C12, $C$8:$C$57, 0), (COLUMNS($DC12:DK12)-1)*5 + 4) = "F"), INDEX($CZ$8:$CZ$23, COLUMNS($DC12:DK12)), "0"), "")</f>
        <v>0</v>
      </c>
      <c r="DL12" s="390" t="str">
        <f t="array" ref="DL12">IFERROR(IF(AND(INDEX($E$8:$CE$57, MATCH($C12, $C$8:$C$57, 0), (COLUMNS($DC12:DL12)-1)*5 + 1) = INDEX($E$5:$CE$5, 1, (COLUMNS($DC12:DL12)-1)*5 + 1), INDEX($E$8:$CE$57, MATCH($C12, $C$8:$C$57, 0), (COLUMNS($DC12:DL12)-1)*5 + 4) = "F"), INDEX($CZ$8:$CZ$23, COLUMNS($DC12:DL12)), "0"), "")</f>
        <v>0</v>
      </c>
      <c r="DM12" s="390" t="str">
        <f t="array" ref="DM12">IFERROR(IF(AND(INDEX($E$8:$CE$57, MATCH($C12, $C$8:$C$57, 0), (COLUMNS($DC12:DM12)-1)*5 + 1) = INDEX($E$5:$CE$5, 1, (COLUMNS($DC12:DM12)-1)*5 + 1), INDEX($E$8:$CE$57, MATCH($C12, $C$8:$C$57, 0), (COLUMNS($DC12:DM12)-1)*5 + 4) = "F"), INDEX($CZ$8:$CZ$23, COLUMNS($DC12:DM12)), "0"), "")</f>
        <v>0</v>
      </c>
      <c r="DN12" s="390" t="str">
        <f t="array" ref="DN12">IFERROR(IF(AND(INDEX($E$8:$CE$57, MATCH($C12, $C$8:$C$57, 0), (COLUMNS($DC12:DN12)-1)*5 + 1) = INDEX($E$5:$CE$5, 1, (COLUMNS($DC12:DN12)-1)*5 + 1), INDEX($E$8:$CE$57, MATCH($C12, $C$8:$C$57, 0), (COLUMNS($DC12:DN12)-1)*5 + 4) = "F"), INDEX($CZ$8:$CZ$23, COLUMNS($DC12:DN12)), "0"), "")</f>
        <v>0</v>
      </c>
      <c r="DO12" s="390" t="str">
        <f t="array" ref="DO12">IFERROR(IF(AND(INDEX($E$8:$CE$57, MATCH($C12, $C$8:$C$57, 0), (COLUMNS($DC12:DO12)-1)*5 + 1) = INDEX($E$5:$CE$5, 1, (COLUMNS($DC12:DO12)-1)*5 + 1), INDEX($E$8:$CE$57, MATCH($C12, $C$8:$C$57, 0), (COLUMNS($DC12:DO12)-1)*5 + 4) = "F"), INDEX($CZ$8:$CZ$23, COLUMNS($DC12:DO12)), "0"), "")</f>
        <v>0</v>
      </c>
      <c r="DP12" s="390" t="str">
        <f t="array" ref="DP12">IFERROR(IF(AND(INDEX($E$8:$CE$57, MATCH($C12, $C$8:$C$57, 0), (COLUMNS($DC12:DP12)-1)*5 + 1) = INDEX($E$5:$CE$5, 1, (COLUMNS($DC12:DP12)-1)*5 + 1), INDEX($E$8:$CE$57, MATCH($C12, $C$8:$C$57, 0), (COLUMNS($DC12:DP12)-1)*5 + 4) = "F"), INDEX($CZ$8:$CZ$23, COLUMNS($DC12:DP12)), "0"), "")</f>
        <v>0</v>
      </c>
      <c r="DQ12" s="390" t="str">
        <f t="array" ref="DQ12">IFERROR(IF(AND(INDEX($E$8:$CE$57, MATCH($C12, $C$8:$C$57, 0), (COLUMNS($DC12:DQ12)-1)*5 + 1) = INDEX($E$5:$CE$5, 1, (COLUMNS($DC12:DQ12)-1)*5 + 1), INDEX($E$8:$CE$57, MATCH($C12, $C$8:$C$57, 0), (COLUMNS($DC12:DQ12)-1)*5 + 4) = "F"), INDEX($CZ$8:$CZ$23, COLUMNS($DC12:DQ12)), "0"), "")</f>
        <v>0</v>
      </c>
      <c r="DR12" s="390" t="str">
        <f t="array" ref="DR12">IFERROR(IF(AND(INDEX($E$8:$CE$57, MATCH($C12, $C$8:$C$57, 0), (COLUMNS($DC12:DR12)-1)*5 + 1) = INDEX($E$5:$CE$5, 1, (COLUMNS($DC12:DR12)-1)*5 + 1), INDEX($E$8:$CE$57, MATCH($C12, $C$8:$C$57, 0), (COLUMNS($DC12:DR12)-1)*5 + 4) = "F"), INDEX($CZ$8:$CZ$23, COLUMNS($DC12:DR12)), "0"), "")</f>
        <v>0</v>
      </c>
      <c r="DT12" s="537" t="str">
        <f>SEMANA29[[#This Row],[COD]]</f>
        <v>COD 05</v>
      </c>
      <c r="DU12" s="390" t="str">
        <f t="array" ref="DU12">IFERROR(IF(AND(INDEX($E$8:$CE$57, MATCH($C12, $C$8:$C$57, 0), (COLUMNS($DU12:DU12)-1)*5 + 1) = INDEX($E$5:$CE$5, 1, (COLUMNS($DU12:DU12)-1)*5 + 1), INDEX($E$8:$CE$57, MATCH($C12, $C$8:$C$57, 0), (COLUMNS($DU12:DU12)-1)*5 + 4) = "SF"), INDEX($CZ$8:$CZ$23, COLUMNS($DU12:DU12)), "0"), "")</f>
        <v>0</v>
      </c>
      <c r="DV12" s="390" t="str">
        <f t="array" ref="DV12">IFERROR(IF(AND(INDEX($E$8:$CE$57, MATCH($C12, $C$8:$C$57, 0), (COLUMNS($DU12:DV12)-1)*5 + 1) = INDEX($E$5:$CE$5, 1, (COLUMNS($DU12:DV12)-1)*5 + 1), INDEX($E$8:$CE$57, MATCH($C12, $C$8:$C$57, 0), (COLUMNS($DU12:DV12)-1)*5 + 4) = "SF"), INDEX($CZ$8:$CZ$23, COLUMNS($DU12:DV12)), "0"), "")</f>
        <v>0</v>
      </c>
      <c r="DW12" s="390" t="str">
        <f t="array" ref="DW12">IFERROR(IF(AND(INDEX($E$8:$CE$57, MATCH($C12, $C$8:$C$57, 0), (COLUMNS($DU12:DW12)-1)*5 + 1) = INDEX($E$5:$CE$5, 1, (COLUMNS($DU12:DW12)-1)*5 + 1), INDEX($E$8:$CE$57, MATCH($C12, $C$8:$C$57, 0), (COLUMNS($DU12:DW12)-1)*5 + 4) = "SF"), INDEX($CZ$8:$CZ$23, COLUMNS($DU12:DW12)), "0"), "")</f>
        <v>0</v>
      </c>
      <c r="DX12" s="390" t="str">
        <f t="array" ref="DX12">IFERROR(IF(AND(INDEX($E$8:$CE$57, MATCH($C12, $C$8:$C$57, 0), (COLUMNS($DU12:DX12)-1)*5 + 1) = INDEX($E$5:$CE$5, 1, (COLUMNS($DU12:DX12)-1)*5 + 1), INDEX($E$8:$CE$57, MATCH($C12, $C$8:$C$57, 0), (COLUMNS($DU12:DX12)-1)*5 + 4) = "SF"), INDEX($CZ$8:$CZ$23, COLUMNS($DU12:DX12)), "0"), "")</f>
        <v>0</v>
      </c>
      <c r="DY12" s="390" t="str">
        <f t="array" ref="DY12">IFERROR(IF(AND(INDEX($E$8:$CE$57, MATCH($C12, $C$8:$C$57, 0), (COLUMNS($DU12:DY12)-1)*5 + 1) = INDEX($E$5:$CE$5, 1, (COLUMNS($DU12:DY12)-1)*5 + 1), INDEX($E$8:$CE$57, MATCH($C12, $C$8:$C$57, 0), (COLUMNS($DU12:DY12)-1)*5 + 4) = "SF"), INDEX($CZ$8:$CZ$23, COLUMNS($DU12:DY12)), "0"), "")</f>
        <v>0</v>
      </c>
      <c r="DZ12" s="390" t="str">
        <f t="array" ref="DZ12">IFERROR(IF(AND(INDEX($E$8:$CE$57, MATCH($C12, $C$8:$C$57, 0), (COLUMNS($DU12:DZ12)-1)*5 + 1) = INDEX($E$5:$CE$5, 1, (COLUMNS($DU12:DZ12)-1)*5 + 1), INDEX($E$8:$CE$57, MATCH($C12, $C$8:$C$57, 0), (COLUMNS($DU12:DZ12)-1)*5 + 4) = "SF"), INDEX($CZ$8:$CZ$23, COLUMNS($DU12:DZ12)), "0"), "")</f>
        <v>0</v>
      </c>
      <c r="EA12" s="390" t="str">
        <f t="array" ref="EA12">IFERROR(IF(AND(INDEX($E$8:$CE$57, MATCH($C12, $C$8:$C$57, 0), (COLUMNS($DU12:EA12)-1)*5 + 1) = INDEX($E$5:$CE$5, 1, (COLUMNS($DU12:EA12)-1)*5 + 1), INDEX($E$8:$CE$57, MATCH($C12, $C$8:$C$57, 0), (COLUMNS($DU12:EA12)-1)*5 + 4) = "SF"), INDEX($CZ$8:$CZ$23, COLUMNS($DU12:EA12)), "0"), "")</f>
        <v>0</v>
      </c>
      <c r="EB12" s="390" t="str">
        <f t="array" ref="EB12">IFERROR(IF(AND(INDEX($E$8:$CE$57, MATCH($C12, $C$8:$C$57, 0), (COLUMNS($DU12:EB12)-1)*5 + 1) = INDEX($E$5:$CE$5, 1, (COLUMNS($DU12:EB12)-1)*5 + 1), INDEX($E$8:$CE$57, MATCH($C12, $C$8:$C$57, 0), (COLUMNS($DU12:EB12)-1)*5 + 4) = "SF"), INDEX($CZ$8:$CZ$23, COLUMNS($DU12:EB12)), "0"), "")</f>
        <v>0</v>
      </c>
      <c r="EC12" s="390" t="str">
        <f t="array" ref="EC12">IFERROR(IF(AND(INDEX($E$8:$CE$57, MATCH($C12, $C$8:$C$57, 0), (COLUMNS($DU12:EC12)-1)*5 + 1) = INDEX($E$5:$CE$5, 1, (COLUMNS($DU12:EC12)-1)*5 + 1), INDEX($E$8:$CE$57, MATCH($C12, $C$8:$C$57, 0), (COLUMNS($DU12:EC12)-1)*5 + 4) = "SF"), INDEX($CZ$8:$CZ$23, COLUMNS($DU12:EC12)), "0"), "")</f>
        <v>0</v>
      </c>
      <c r="ED12" s="390" t="str">
        <f t="array" ref="ED12">IFERROR(IF(AND(INDEX($E$8:$CE$57, MATCH($C12, $C$8:$C$57, 0), (COLUMNS($DU12:ED12)-1)*5 + 1) = INDEX($E$5:$CE$5, 1, (COLUMNS($DU12:ED12)-1)*5 + 1), INDEX($E$8:$CE$57, MATCH($C12, $C$8:$C$57, 0), (COLUMNS($DU12:ED12)-1)*5 + 4) = "SF"), INDEX($CZ$8:$CZ$23, COLUMNS($DU12:ED12)), "0"), "")</f>
        <v>0</v>
      </c>
      <c r="EE12" s="390" t="str">
        <f t="array" ref="EE12">IFERROR(IF(AND(INDEX($E$8:$CE$57, MATCH($C12, $C$8:$C$57, 0), (COLUMNS($DU12:EE12)-1)*5 + 1) = INDEX($E$5:$CE$5, 1, (COLUMNS($DU12:EE12)-1)*5 + 1), INDEX($E$8:$CE$57, MATCH($C12, $C$8:$C$57, 0), (COLUMNS($DU12:EE12)-1)*5 + 4) = "SF"), INDEX($CZ$8:$CZ$23, COLUMNS($DU12:EE12)), "0"), "")</f>
        <v>0</v>
      </c>
      <c r="EF12" s="390" t="str">
        <f t="array" ref="EF12">IFERROR(IF(AND(INDEX($E$8:$CE$57, MATCH($C12, $C$8:$C$57, 0), (COLUMNS($DU12:EF12)-1)*5 + 1) = INDEX($E$5:$CE$5, 1, (COLUMNS($DU12:EF12)-1)*5 + 1), INDEX($E$8:$CE$57, MATCH($C12, $C$8:$C$57, 0), (COLUMNS($DU12:EF12)-1)*5 + 4) = "SF"), INDEX($CZ$8:$CZ$23, COLUMNS($DU12:EF12)), "0"), "")</f>
        <v>0</v>
      </c>
      <c r="EG12" s="390" t="str">
        <f t="array" ref="EG12">IFERROR(IF(AND(INDEX($E$8:$CE$57, MATCH($C12, $C$8:$C$57, 0), (COLUMNS($DU12:EG12)-1)*5 + 1) = INDEX($E$5:$CE$5, 1, (COLUMNS($DU12:EG12)-1)*5 + 1), INDEX($E$8:$CE$57, MATCH($C12, $C$8:$C$57, 0), (COLUMNS($DU12:EG12)-1)*5 + 4) = "SF"), INDEX($CZ$8:$CZ$23, COLUMNS($DU12:EG12)), "0"), "")</f>
        <v>0</v>
      </c>
      <c r="EH12" s="390" t="str">
        <f t="array" ref="EH12">IFERROR(IF(AND(INDEX($E$8:$CE$57, MATCH($C12, $C$8:$C$57, 0), (COLUMNS($DU12:EH12)-1)*5 + 1) = INDEX($E$5:$CE$5, 1, (COLUMNS($DU12:EH12)-1)*5 + 1), INDEX($E$8:$CE$57, MATCH($C12, $C$8:$C$57, 0), (COLUMNS($DU12:EH12)-1)*5 + 4) = "SF"), INDEX($CZ$8:$CZ$23, COLUMNS($DU12:EH12)), "0"), "")</f>
        <v>0</v>
      </c>
      <c r="EI12" s="390" t="str">
        <f t="array" ref="EI12">IFERROR(IF(AND(INDEX($E$8:$CE$57, MATCH($C12, $C$8:$C$57, 0), (COLUMNS($DU12:EI12)-1)*5 + 1) = INDEX($E$5:$CE$5, 1, (COLUMNS($DU12:EI12)-1)*5 + 1), INDEX($E$8:$CE$57, MATCH($C12, $C$8:$C$57, 0), (COLUMNS($DU12:EI12)-1)*5 + 4) = "SF"), INDEX($CZ$8:$CZ$23, COLUMNS($DU12:EI12)), "0"), "")</f>
        <v>0</v>
      </c>
      <c r="EJ12" s="390" t="str">
        <f t="array" ref="EJ12">IFERROR(IF(AND(INDEX($E$8:$CE$57, MATCH($C12, $C$8:$C$57, 0), (COLUMNS($DU12:EJ12)-1)*5 + 1) = INDEX($E$5:$CE$5, 1, (COLUMNS($DU12:EJ12)-1)*5 + 1), INDEX($E$8:$CE$57, MATCH($C12, $C$8:$C$57, 0), (COLUMNS($DU12:EJ12)-1)*5 + 4) = "SF"), INDEX($CZ$8:$CZ$23, COLUMNS($DU12:EJ12)), "0"), "")</f>
        <v>0</v>
      </c>
    </row>
    <row r="13" spans="1:140" ht="19.5" customHeight="1" x14ac:dyDescent="0.35">
      <c r="A13" s="515"/>
      <c r="B13" s="444">
        <f>IF(SEMANA29[[#This Row],[COD]]&lt;&gt;"",B12+1,"")</f>
        <v>6</v>
      </c>
      <c r="C13" s="554" t="s">
        <v>42</v>
      </c>
      <c r="D13" s="410" t="str">
        <f t="array" ref="D13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PREMIO</v>
      </c>
      <c r="E13" s="411"/>
      <c r="F13" s="412"/>
      <c r="G13" s="412"/>
      <c r="H13" s="412"/>
      <c r="I13" s="534">
        <f t="shared" si="0"/>
        <v>0</v>
      </c>
      <c r="J13" s="411"/>
      <c r="K13" s="412"/>
      <c r="L13" s="412"/>
      <c r="M13" s="412"/>
      <c r="N13" s="534">
        <f t="shared" si="1"/>
        <v>0</v>
      </c>
      <c r="O13" s="411"/>
      <c r="P13" s="412"/>
      <c r="Q13" s="412"/>
      <c r="R13" s="412"/>
      <c r="S13" s="534">
        <f t="shared" si="2"/>
        <v>0</v>
      </c>
      <c r="T13" s="411"/>
      <c r="U13" s="412"/>
      <c r="V13" s="412"/>
      <c r="W13" s="412"/>
      <c r="X13" s="534">
        <f t="shared" si="3"/>
        <v>0</v>
      </c>
      <c r="Y13" s="411"/>
      <c r="Z13" s="412"/>
      <c r="AA13" s="412"/>
      <c r="AB13" s="412"/>
      <c r="AC13" s="534">
        <f t="shared" si="4"/>
        <v>0</v>
      </c>
      <c r="AD13" s="411"/>
      <c r="AE13" s="412"/>
      <c r="AF13" s="412"/>
      <c r="AG13" s="412"/>
      <c r="AH13" s="534">
        <f t="shared" si="5"/>
        <v>0</v>
      </c>
      <c r="AI13" s="411"/>
      <c r="AJ13" s="412"/>
      <c r="AK13" s="412"/>
      <c r="AL13" s="412"/>
      <c r="AM13" s="534">
        <f t="shared" si="6"/>
        <v>0</v>
      </c>
      <c r="AN13" s="411"/>
      <c r="AO13" s="412"/>
      <c r="AP13" s="412"/>
      <c r="AQ13" s="412"/>
      <c r="AR13" s="534">
        <f t="shared" si="7"/>
        <v>0</v>
      </c>
      <c r="AS13" s="411"/>
      <c r="AT13" s="412"/>
      <c r="AU13" s="412"/>
      <c r="AV13" s="412"/>
      <c r="AW13" s="534">
        <f t="shared" si="8"/>
        <v>0</v>
      </c>
      <c r="AX13" s="411"/>
      <c r="AY13" s="412"/>
      <c r="AZ13" s="412"/>
      <c r="BA13" s="412"/>
      <c r="BB13" s="534">
        <f t="shared" si="9"/>
        <v>0</v>
      </c>
      <c r="BC13" s="411"/>
      <c r="BD13" s="412"/>
      <c r="BE13" s="412"/>
      <c r="BF13" s="412"/>
      <c r="BG13" s="534">
        <f t="shared" si="10"/>
        <v>0</v>
      </c>
      <c r="BH13" s="411"/>
      <c r="BI13" s="412"/>
      <c r="BJ13" s="412"/>
      <c r="BK13" s="412"/>
      <c r="BL13" s="534">
        <f t="shared" si="11"/>
        <v>0</v>
      </c>
      <c r="BM13" s="411"/>
      <c r="BN13" s="412"/>
      <c r="BO13" s="412"/>
      <c r="BP13" s="412"/>
      <c r="BQ13" s="534">
        <f t="shared" si="12"/>
        <v>0</v>
      </c>
      <c r="BR13" s="411"/>
      <c r="BS13" s="412"/>
      <c r="BT13" s="412"/>
      <c r="BU13" s="412"/>
      <c r="BV13" s="534">
        <f t="shared" si="13"/>
        <v>0</v>
      </c>
      <c r="BW13" s="411"/>
      <c r="BX13" s="412"/>
      <c r="BY13" s="412"/>
      <c r="BZ13" s="412"/>
      <c r="CA13" s="534">
        <f t="shared" si="14"/>
        <v>0</v>
      </c>
      <c r="CB13" s="411"/>
      <c r="CC13" s="412"/>
      <c r="CD13" s="412"/>
      <c r="CE13" s="412"/>
      <c r="CF13" s="534">
        <f t="shared" si="15"/>
        <v>0</v>
      </c>
      <c r="CG13" s="162">
        <f>IF(SEMANA29[[#This Row],[1]]="",0,$B$4)</f>
        <v>0</v>
      </c>
      <c r="CH13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13" s="164">
        <f>IF(SEMANA29[[#This Row],[Columna14]]=0,0,(CH13/CG13))</f>
        <v>0</v>
      </c>
      <c r="CJ13" s="163">
        <f>IF(SEMANA29[[#This Row],[1]]="",0,$B$4)</f>
        <v>0</v>
      </c>
      <c r="CK13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13" s="164">
        <f>IF(SEMANA29[[#This Row],[Columna14]]=0,0,(CK13/CJ13))</f>
        <v>0</v>
      </c>
      <c r="CM13" s="162">
        <f>IF(SEMANA29[[#This Row],[1]]="",0,$B$4)</f>
        <v>0</v>
      </c>
      <c r="CN13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13" s="164">
        <f>IF(SEMANA29[[#This Row],[Columna14]]=0,0,(CN13/CM13))</f>
        <v>0</v>
      </c>
      <c r="CP13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13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Row],[Columna25]],$AX$5,BA13,"SF")+COUNTIFS(SEMANA29[[#This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13" s="164">
        <f>IFERROR(IF(SEMANA29[[#This Row],[Columna14]]=0,0,(CQ13/CP13)),0)</f>
        <v>0</v>
      </c>
      <c r="CS13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13" s="93">
        <f>_xlfn.XLOOKUP(SEMANA29[[#This Row],[COD]],SEMANA2[COD],SEMANA2[Columna33])</f>
        <v>61.5</v>
      </c>
      <c r="CU13" s="536">
        <f t="shared" si="16"/>
        <v>61.5</v>
      </c>
      <c r="CV13" s="445">
        <f>IF(SEMANA29[[#This Row],[TIPO]]="PREMIO",$O$3,"0,00")</f>
        <v>1000</v>
      </c>
      <c r="CW13" s="515"/>
      <c r="CY13" s="388">
        <v>6</v>
      </c>
      <c r="CZ13" s="349">
        <f>AE$6</f>
        <v>0</v>
      </c>
      <c r="DB13" s="537" t="str">
        <f>SEMANA29[[#This Row],[COD]]</f>
        <v>COD 06</v>
      </c>
      <c r="DC13" s="390" t="str">
        <f t="array" ref="DC13">IFERROR(IF(AND(INDEX($E$8:$CE$57, MATCH($C13, $C$8:$C$57, 0), (COLUMNS($DC13:DC13)-1)*5 + 1) = INDEX($E$5:$CE$5, 1, (COLUMNS($DC13:DC13)-1)*5 + 1), INDEX($E$8:$CE$57, MATCH($C13, $C$8:$C$57, 0), (COLUMNS($DC13:DC13)-1)*5 + 4) = "F"), INDEX($CZ$8:$CZ$23, COLUMNS($DC13:DC13)), "0"), "")</f>
        <v>0</v>
      </c>
      <c r="DD13" s="390" t="str">
        <f t="array" ref="DD13">IFERROR(IF(AND(INDEX($E$8:$CE$57, MATCH($C13, $C$8:$C$57, 0), (COLUMNS($DC13:DD13)-1)*5 + 1) = INDEX($E$5:$CE$5, 1, (COLUMNS($DC13:DD13)-1)*5 + 1), INDEX($E$8:$CE$57, MATCH($C13, $C$8:$C$57, 0), (COLUMNS($DC13:DD13)-1)*5 + 4) = "F"), INDEX($CZ$8:$CZ$23, COLUMNS($DC13:DD13)), "0"), "")</f>
        <v>0</v>
      </c>
      <c r="DE13" s="390" t="str">
        <f t="array" ref="DE13">IFERROR(IF(AND(INDEX($E$8:$CE$57, MATCH($C13, $C$8:$C$57, 0), (COLUMNS($DC13:DE13)-1)*5 + 1) = INDEX($E$5:$CE$5, 1, (COLUMNS($DC13:DE13)-1)*5 + 1), INDEX($E$8:$CE$57, MATCH($C13, $C$8:$C$57, 0), (COLUMNS($DC13:DE13)-1)*5 + 4) = "F"), INDEX($CZ$8:$CZ$23, COLUMNS($DC13:DE13)), "0"), "")</f>
        <v>0</v>
      </c>
      <c r="DF13" s="390" t="str">
        <f t="array" ref="DF13">IFERROR(IF(AND(INDEX($E$8:$CE$57, MATCH($C13, $C$8:$C$57, 0), (COLUMNS($DC13:DF13)-1)*5 + 1) = INDEX($E$5:$CE$5, 1, (COLUMNS($DC13:DF13)-1)*5 + 1), INDEX($E$8:$CE$57, MATCH($C13, $C$8:$C$57, 0), (COLUMNS($DC13:DF13)-1)*5 + 4) = "F"), INDEX($CZ$8:$CZ$23, COLUMNS($DC13:DF13)), "0"), "")</f>
        <v>0</v>
      </c>
      <c r="DG13" s="390" t="str">
        <f t="array" ref="DG13">IFERROR(IF(AND(INDEX($E$8:$CE$57, MATCH($C13, $C$8:$C$57, 0), (COLUMNS($DC13:DG13)-1)*5 + 1) = INDEX($E$5:$CE$5, 1, (COLUMNS($DC13:DG13)-1)*5 + 1), INDEX($E$8:$CE$57, MATCH($C13, $C$8:$C$57, 0), (COLUMNS($DC13:DG13)-1)*5 + 4) = "F"), INDEX($CZ$8:$CZ$23, COLUMNS($DC13:DG13)), "0"), "")</f>
        <v>0</v>
      </c>
      <c r="DH13" s="390" t="str">
        <f t="array" ref="DH13">IFERROR(IF(AND(INDEX($E$8:$CE$57, MATCH($C13, $C$8:$C$57, 0), (COLUMNS($DC13:DH13)-1)*5 + 1) = INDEX($E$5:$CE$5, 1, (COLUMNS($DC13:DH13)-1)*5 + 1), INDEX($E$8:$CE$57, MATCH($C13, $C$8:$C$57, 0), (COLUMNS($DC13:DH13)-1)*5 + 4) = "F"), INDEX($CZ$8:$CZ$23, COLUMNS($DC13:DH13)), "0"), "")</f>
        <v>0</v>
      </c>
      <c r="DI13" s="390" t="str">
        <f t="array" ref="DI13">IFERROR(IF(AND(INDEX($E$8:$CE$57, MATCH($C13, $C$8:$C$57, 0), (COLUMNS($DC13:DI13)-1)*5 + 1) = INDEX($E$5:$CE$5, 1, (COLUMNS($DC13:DI13)-1)*5 + 1), INDEX($E$8:$CE$57, MATCH($C13, $C$8:$C$57, 0), (COLUMNS($DC13:DI13)-1)*5 + 4) = "F"), INDEX($CZ$8:$CZ$23, COLUMNS($DC13:DI13)), "0"), "")</f>
        <v>0</v>
      </c>
      <c r="DJ13" s="390" t="str">
        <f t="array" ref="DJ13">IFERROR(IF(AND(INDEX($E$8:$CE$57, MATCH($C13, $C$8:$C$57, 0), (COLUMNS($DC13:DJ13)-1)*5 + 1) = INDEX($E$5:$CE$5, 1, (COLUMNS($DC13:DJ13)-1)*5 + 1), INDEX($E$8:$CE$57, MATCH($C13, $C$8:$C$57, 0), (COLUMNS($DC13:DJ13)-1)*5 + 4) = "F"), INDEX($CZ$8:$CZ$23, COLUMNS($DC13:DJ13)), "0"), "")</f>
        <v>0</v>
      </c>
      <c r="DK13" s="390" t="str">
        <f t="array" ref="DK13">IFERROR(IF(AND(INDEX($E$8:$CE$57, MATCH($C13, $C$8:$C$57, 0), (COLUMNS($DC13:DK13)-1)*5 + 1) = INDEX($E$5:$CE$5, 1, (COLUMNS($DC13:DK13)-1)*5 + 1), INDEX($E$8:$CE$57, MATCH($C13, $C$8:$C$57, 0), (COLUMNS($DC13:DK13)-1)*5 + 4) = "F"), INDEX($CZ$8:$CZ$23, COLUMNS($DC13:DK13)), "0"), "")</f>
        <v>0</v>
      </c>
      <c r="DL13" s="390" t="str">
        <f t="array" ref="DL13">IFERROR(IF(AND(INDEX($E$8:$CE$57, MATCH($C13, $C$8:$C$57, 0), (COLUMNS($DC13:DL13)-1)*5 + 1) = INDEX($E$5:$CE$5, 1, (COLUMNS($DC13:DL13)-1)*5 + 1), INDEX($E$8:$CE$57, MATCH($C13, $C$8:$C$57, 0), (COLUMNS($DC13:DL13)-1)*5 + 4) = "F"), INDEX($CZ$8:$CZ$23, COLUMNS($DC13:DL13)), "0"), "")</f>
        <v>0</v>
      </c>
      <c r="DM13" s="390" t="str">
        <f t="array" ref="DM13">IFERROR(IF(AND(INDEX($E$8:$CE$57, MATCH($C13, $C$8:$C$57, 0), (COLUMNS($DC13:DM13)-1)*5 + 1) = INDEX($E$5:$CE$5, 1, (COLUMNS($DC13:DM13)-1)*5 + 1), INDEX($E$8:$CE$57, MATCH($C13, $C$8:$C$57, 0), (COLUMNS($DC13:DM13)-1)*5 + 4) = "F"), INDEX($CZ$8:$CZ$23, COLUMNS($DC13:DM13)), "0"), "")</f>
        <v>0</v>
      </c>
      <c r="DN13" s="390" t="str">
        <f t="array" ref="DN13">IFERROR(IF(AND(INDEX($E$8:$CE$57, MATCH($C13, $C$8:$C$57, 0), (COLUMNS($DC13:DN13)-1)*5 + 1) = INDEX($E$5:$CE$5, 1, (COLUMNS($DC13:DN13)-1)*5 + 1), INDEX($E$8:$CE$57, MATCH($C13, $C$8:$C$57, 0), (COLUMNS($DC13:DN13)-1)*5 + 4) = "F"), INDEX($CZ$8:$CZ$23, COLUMNS($DC13:DN13)), "0"), "")</f>
        <v>0</v>
      </c>
      <c r="DO13" s="390" t="str">
        <f t="array" ref="DO13">IFERROR(IF(AND(INDEX($E$8:$CE$57, MATCH($C13, $C$8:$C$57, 0), (COLUMNS($DC13:DO13)-1)*5 + 1) = INDEX($E$5:$CE$5, 1, (COLUMNS($DC13:DO13)-1)*5 + 1), INDEX($E$8:$CE$57, MATCH($C13, $C$8:$C$57, 0), (COLUMNS($DC13:DO13)-1)*5 + 4) = "F"), INDEX($CZ$8:$CZ$23, COLUMNS($DC13:DO13)), "0"), "")</f>
        <v>0</v>
      </c>
      <c r="DP13" s="390" t="str">
        <f t="array" ref="DP13">IFERROR(IF(AND(INDEX($E$8:$CE$57, MATCH($C13, $C$8:$C$57, 0), (COLUMNS($DC13:DP13)-1)*5 + 1) = INDEX($E$5:$CE$5, 1, (COLUMNS($DC13:DP13)-1)*5 + 1), INDEX($E$8:$CE$57, MATCH($C13, $C$8:$C$57, 0), (COLUMNS($DC13:DP13)-1)*5 + 4) = "F"), INDEX($CZ$8:$CZ$23, COLUMNS($DC13:DP13)), "0"), "")</f>
        <v>0</v>
      </c>
      <c r="DQ13" s="390" t="str">
        <f t="array" ref="DQ13">IFERROR(IF(AND(INDEX($E$8:$CE$57, MATCH($C13, $C$8:$C$57, 0), (COLUMNS($DC13:DQ13)-1)*5 + 1) = INDEX($E$5:$CE$5, 1, (COLUMNS($DC13:DQ13)-1)*5 + 1), INDEX($E$8:$CE$57, MATCH($C13, $C$8:$C$57, 0), (COLUMNS($DC13:DQ13)-1)*5 + 4) = "F"), INDEX($CZ$8:$CZ$23, COLUMNS($DC13:DQ13)), "0"), "")</f>
        <v>0</v>
      </c>
      <c r="DR13" s="390" t="str">
        <f t="array" ref="DR13">IFERROR(IF(AND(INDEX($E$8:$CE$57, MATCH($C13, $C$8:$C$57, 0), (COLUMNS($DC13:DR13)-1)*5 + 1) = INDEX($E$5:$CE$5, 1, (COLUMNS($DC13:DR13)-1)*5 + 1), INDEX($E$8:$CE$57, MATCH($C13, $C$8:$C$57, 0), (COLUMNS($DC13:DR13)-1)*5 + 4) = "F"), INDEX($CZ$8:$CZ$23, COLUMNS($DC13:DR13)), "0"), "")</f>
        <v>0</v>
      </c>
      <c r="DT13" s="537" t="str">
        <f>SEMANA29[[#This Row],[COD]]</f>
        <v>COD 06</v>
      </c>
      <c r="DU13" s="390" t="str">
        <f t="array" ref="DU13">IFERROR(IF(AND(INDEX($E$8:$CE$57, MATCH($C13, $C$8:$C$57, 0), (COLUMNS($DU13:DU13)-1)*5 + 1) = INDEX($E$5:$CE$5, 1, (COLUMNS($DU13:DU13)-1)*5 + 1), INDEX($E$8:$CE$57, MATCH($C13, $C$8:$C$57, 0), (COLUMNS($DU13:DU13)-1)*5 + 4) = "SF"), INDEX($CZ$8:$CZ$23, COLUMNS($DU13:DU13)), "0"), "")</f>
        <v>0</v>
      </c>
      <c r="DV13" s="390" t="str">
        <f t="array" ref="DV13">IFERROR(IF(AND(INDEX($E$8:$CE$57, MATCH($C13, $C$8:$C$57, 0), (COLUMNS($DU13:DV13)-1)*5 + 1) = INDEX($E$5:$CE$5, 1, (COLUMNS($DU13:DV13)-1)*5 + 1), INDEX($E$8:$CE$57, MATCH($C13, $C$8:$C$57, 0), (COLUMNS($DU13:DV13)-1)*5 + 4) = "SF"), INDEX($CZ$8:$CZ$23, COLUMNS($DU13:DV13)), "0"), "")</f>
        <v>0</v>
      </c>
      <c r="DW13" s="390" t="str">
        <f t="array" ref="DW13">IFERROR(IF(AND(INDEX($E$8:$CE$57, MATCH($C13, $C$8:$C$57, 0), (COLUMNS($DU13:DW13)-1)*5 + 1) = INDEX($E$5:$CE$5, 1, (COLUMNS($DU13:DW13)-1)*5 + 1), INDEX($E$8:$CE$57, MATCH($C13, $C$8:$C$57, 0), (COLUMNS($DU13:DW13)-1)*5 + 4) = "SF"), INDEX($CZ$8:$CZ$23, COLUMNS($DU13:DW13)), "0"), "")</f>
        <v>0</v>
      </c>
      <c r="DX13" s="390" t="str">
        <f t="array" ref="DX13">IFERROR(IF(AND(INDEX($E$8:$CE$57, MATCH($C13, $C$8:$C$57, 0), (COLUMNS($DU13:DX13)-1)*5 + 1) = INDEX($E$5:$CE$5, 1, (COLUMNS($DU13:DX13)-1)*5 + 1), INDEX($E$8:$CE$57, MATCH($C13, $C$8:$C$57, 0), (COLUMNS($DU13:DX13)-1)*5 + 4) = "SF"), INDEX($CZ$8:$CZ$23, COLUMNS($DU13:DX13)), "0"), "")</f>
        <v>0</v>
      </c>
      <c r="DY13" s="390" t="str">
        <f t="array" ref="DY13">IFERROR(IF(AND(INDEX($E$8:$CE$57, MATCH($C13, $C$8:$C$57, 0), (COLUMNS($DU13:DY13)-1)*5 + 1) = INDEX($E$5:$CE$5, 1, (COLUMNS($DU13:DY13)-1)*5 + 1), INDEX($E$8:$CE$57, MATCH($C13, $C$8:$C$57, 0), (COLUMNS($DU13:DY13)-1)*5 + 4) = "SF"), INDEX($CZ$8:$CZ$23, COLUMNS($DU13:DY13)), "0"), "")</f>
        <v>0</v>
      </c>
      <c r="DZ13" s="390" t="str">
        <f t="array" ref="DZ13">IFERROR(IF(AND(INDEX($E$8:$CE$57, MATCH($C13, $C$8:$C$57, 0), (COLUMNS($DU13:DZ13)-1)*5 + 1) = INDEX($E$5:$CE$5, 1, (COLUMNS($DU13:DZ13)-1)*5 + 1), INDEX($E$8:$CE$57, MATCH($C13, $C$8:$C$57, 0), (COLUMNS($DU13:DZ13)-1)*5 + 4) = "SF"), INDEX($CZ$8:$CZ$23, COLUMNS($DU13:DZ13)), "0"), "")</f>
        <v>0</v>
      </c>
      <c r="EA13" s="390" t="str">
        <f t="array" ref="EA13">IFERROR(IF(AND(INDEX($E$8:$CE$57, MATCH($C13, $C$8:$C$57, 0), (COLUMNS($DU13:EA13)-1)*5 + 1) = INDEX($E$5:$CE$5, 1, (COLUMNS($DU13:EA13)-1)*5 + 1), INDEX($E$8:$CE$57, MATCH($C13, $C$8:$C$57, 0), (COLUMNS($DU13:EA13)-1)*5 + 4) = "SF"), INDEX($CZ$8:$CZ$23, COLUMNS($DU13:EA13)), "0"), "")</f>
        <v>0</v>
      </c>
      <c r="EB13" s="390" t="str">
        <f t="array" ref="EB13">IFERROR(IF(AND(INDEX($E$8:$CE$57, MATCH($C13, $C$8:$C$57, 0), (COLUMNS($DU13:EB13)-1)*5 + 1) = INDEX($E$5:$CE$5, 1, (COLUMNS($DU13:EB13)-1)*5 + 1), INDEX($E$8:$CE$57, MATCH($C13, $C$8:$C$57, 0), (COLUMNS($DU13:EB13)-1)*5 + 4) = "SF"), INDEX($CZ$8:$CZ$23, COLUMNS($DU13:EB13)), "0"), "")</f>
        <v>0</v>
      </c>
      <c r="EC13" s="390" t="str">
        <f t="array" ref="EC13">IFERROR(IF(AND(INDEX($E$8:$CE$57, MATCH($C13, $C$8:$C$57, 0), (COLUMNS($DU13:EC13)-1)*5 + 1) = INDEX($E$5:$CE$5, 1, (COLUMNS($DU13:EC13)-1)*5 + 1), INDEX($E$8:$CE$57, MATCH($C13, $C$8:$C$57, 0), (COLUMNS($DU13:EC13)-1)*5 + 4) = "SF"), INDEX($CZ$8:$CZ$23, COLUMNS($DU13:EC13)), "0"), "")</f>
        <v>0</v>
      </c>
      <c r="ED13" s="390" t="str">
        <f t="array" ref="ED13">IFERROR(IF(AND(INDEX($E$8:$CE$57, MATCH($C13, $C$8:$C$57, 0), (COLUMNS($DU13:ED13)-1)*5 + 1) = INDEX($E$5:$CE$5, 1, (COLUMNS($DU13:ED13)-1)*5 + 1), INDEX($E$8:$CE$57, MATCH($C13, $C$8:$C$57, 0), (COLUMNS($DU13:ED13)-1)*5 + 4) = "SF"), INDEX($CZ$8:$CZ$23, COLUMNS($DU13:ED13)), "0"), "")</f>
        <v>0</v>
      </c>
      <c r="EE13" s="390" t="str">
        <f t="array" ref="EE13">IFERROR(IF(AND(INDEX($E$8:$CE$57, MATCH($C13, $C$8:$C$57, 0), (COLUMNS($DU13:EE13)-1)*5 + 1) = INDEX($E$5:$CE$5, 1, (COLUMNS($DU13:EE13)-1)*5 + 1), INDEX($E$8:$CE$57, MATCH($C13, $C$8:$C$57, 0), (COLUMNS($DU13:EE13)-1)*5 + 4) = "SF"), INDEX($CZ$8:$CZ$23, COLUMNS($DU13:EE13)), "0"), "")</f>
        <v>0</v>
      </c>
      <c r="EF13" s="390" t="str">
        <f t="array" ref="EF13">IFERROR(IF(AND(INDEX($E$8:$CE$57, MATCH($C13, $C$8:$C$57, 0), (COLUMNS($DU13:EF13)-1)*5 + 1) = INDEX($E$5:$CE$5, 1, (COLUMNS($DU13:EF13)-1)*5 + 1), INDEX($E$8:$CE$57, MATCH($C13, $C$8:$C$57, 0), (COLUMNS($DU13:EF13)-1)*5 + 4) = "SF"), INDEX($CZ$8:$CZ$23, COLUMNS($DU13:EF13)), "0"), "")</f>
        <v>0</v>
      </c>
      <c r="EG13" s="390" t="str">
        <f t="array" ref="EG13">IFERROR(IF(AND(INDEX($E$8:$CE$57, MATCH($C13, $C$8:$C$57, 0), (COLUMNS($DU13:EG13)-1)*5 + 1) = INDEX($E$5:$CE$5, 1, (COLUMNS($DU13:EG13)-1)*5 + 1), INDEX($E$8:$CE$57, MATCH($C13, $C$8:$C$57, 0), (COLUMNS($DU13:EG13)-1)*5 + 4) = "SF"), INDEX($CZ$8:$CZ$23, COLUMNS($DU13:EG13)), "0"), "")</f>
        <v>0</v>
      </c>
      <c r="EH13" s="390" t="str">
        <f t="array" ref="EH13">IFERROR(IF(AND(INDEX($E$8:$CE$57, MATCH($C13, $C$8:$C$57, 0), (COLUMNS($DU13:EH13)-1)*5 + 1) = INDEX($E$5:$CE$5, 1, (COLUMNS($DU13:EH13)-1)*5 + 1), INDEX($E$8:$CE$57, MATCH($C13, $C$8:$C$57, 0), (COLUMNS($DU13:EH13)-1)*5 + 4) = "SF"), INDEX($CZ$8:$CZ$23, COLUMNS($DU13:EH13)), "0"), "")</f>
        <v>0</v>
      </c>
      <c r="EI13" s="390" t="str">
        <f t="array" ref="EI13">IFERROR(IF(AND(INDEX($E$8:$CE$57, MATCH($C13, $C$8:$C$57, 0), (COLUMNS($DU13:EI13)-1)*5 + 1) = INDEX($E$5:$CE$5, 1, (COLUMNS($DU13:EI13)-1)*5 + 1), INDEX($E$8:$CE$57, MATCH($C13, $C$8:$C$57, 0), (COLUMNS($DU13:EI13)-1)*5 + 4) = "SF"), INDEX($CZ$8:$CZ$23, COLUMNS($DU13:EI13)), "0"), "")</f>
        <v>0</v>
      </c>
      <c r="EJ13" s="390" t="str">
        <f t="array" ref="EJ13">IFERROR(IF(AND(INDEX($E$8:$CE$57, MATCH($C13, $C$8:$C$57, 0), (COLUMNS($DU13:EJ13)-1)*5 + 1) = INDEX($E$5:$CE$5, 1, (COLUMNS($DU13:EJ13)-1)*5 + 1), INDEX($E$8:$CE$57, MATCH($C13, $C$8:$C$57, 0), (COLUMNS($DU13:EJ13)-1)*5 + 4) = "SF"), INDEX($CZ$8:$CZ$23, COLUMNS($DU13:EJ13)), "0"), "")</f>
        <v>0</v>
      </c>
    </row>
    <row r="14" spans="1:140" ht="20.100000000000001" customHeight="1" x14ac:dyDescent="0.35">
      <c r="A14" s="515"/>
      <c r="B14" s="444">
        <f>IF(SEMANA29[[#This Row],[COD]]&lt;&gt;"",B13+1,"")</f>
        <v>7</v>
      </c>
      <c r="C14" s="554" t="s">
        <v>45</v>
      </c>
      <c r="D14" s="410" t="str">
        <f t="array" ref="D14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PREMIO</v>
      </c>
      <c r="E14" s="414"/>
      <c r="F14" s="415"/>
      <c r="G14" s="415"/>
      <c r="H14" s="415"/>
      <c r="I14" s="534">
        <f t="shared" si="0"/>
        <v>0</v>
      </c>
      <c r="J14" s="414"/>
      <c r="K14" s="415"/>
      <c r="L14" s="415"/>
      <c r="M14" s="415"/>
      <c r="N14" s="534">
        <f t="shared" si="1"/>
        <v>0</v>
      </c>
      <c r="O14" s="414"/>
      <c r="P14" s="415"/>
      <c r="Q14" s="415"/>
      <c r="R14" s="415"/>
      <c r="S14" s="534">
        <f t="shared" si="2"/>
        <v>0</v>
      </c>
      <c r="T14" s="414"/>
      <c r="U14" s="415"/>
      <c r="V14" s="415"/>
      <c r="W14" s="415"/>
      <c r="X14" s="534">
        <f t="shared" si="3"/>
        <v>0</v>
      </c>
      <c r="Y14" s="414"/>
      <c r="Z14" s="415"/>
      <c r="AA14" s="415"/>
      <c r="AB14" s="415"/>
      <c r="AC14" s="534">
        <f t="shared" si="4"/>
        <v>0</v>
      </c>
      <c r="AD14" s="414"/>
      <c r="AE14" s="415"/>
      <c r="AF14" s="415"/>
      <c r="AG14" s="415"/>
      <c r="AH14" s="534">
        <f t="shared" si="5"/>
        <v>0</v>
      </c>
      <c r="AI14" s="414"/>
      <c r="AJ14" s="415"/>
      <c r="AK14" s="415"/>
      <c r="AL14" s="415"/>
      <c r="AM14" s="534">
        <f t="shared" si="6"/>
        <v>0</v>
      </c>
      <c r="AN14" s="414"/>
      <c r="AO14" s="415"/>
      <c r="AP14" s="415"/>
      <c r="AQ14" s="415"/>
      <c r="AR14" s="534">
        <f t="shared" si="7"/>
        <v>0</v>
      </c>
      <c r="AS14" s="414"/>
      <c r="AT14" s="415"/>
      <c r="AU14" s="415"/>
      <c r="AV14" s="415"/>
      <c r="AW14" s="534">
        <f t="shared" si="8"/>
        <v>0</v>
      </c>
      <c r="AX14" s="414"/>
      <c r="AY14" s="415"/>
      <c r="AZ14" s="415"/>
      <c r="BA14" s="415"/>
      <c r="BB14" s="534">
        <f t="shared" si="9"/>
        <v>0</v>
      </c>
      <c r="BC14" s="414"/>
      <c r="BD14" s="415"/>
      <c r="BE14" s="415"/>
      <c r="BF14" s="415"/>
      <c r="BG14" s="534">
        <f t="shared" si="10"/>
        <v>0</v>
      </c>
      <c r="BH14" s="414"/>
      <c r="BI14" s="415"/>
      <c r="BJ14" s="415"/>
      <c r="BK14" s="415"/>
      <c r="BL14" s="534">
        <f t="shared" si="11"/>
        <v>0</v>
      </c>
      <c r="BM14" s="414"/>
      <c r="BN14" s="415"/>
      <c r="BO14" s="415"/>
      <c r="BP14" s="415"/>
      <c r="BQ14" s="534">
        <f t="shared" si="12"/>
        <v>0</v>
      </c>
      <c r="BR14" s="414"/>
      <c r="BS14" s="415"/>
      <c r="BT14" s="415"/>
      <c r="BU14" s="415"/>
      <c r="BV14" s="534">
        <f t="shared" si="13"/>
        <v>0</v>
      </c>
      <c r="BW14" s="414"/>
      <c r="BX14" s="415"/>
      <c r="BY14" s="415"/>
      <c r="BZ14" s="415"/>
      <c r="CA14" s="534">
        <f t="shared" si="14"/>
        <v>0</v>
      </c>
      <c r="CB14" s="414"/>
      <c r="CC14" s="415"/>
      <c r="CD14" s="415"/>
      <c r="CE14" s="415"/>
      <c r="CF14" s="534">
        <f t="shared" si="15"/>
        <v>0</v>
      </c>
      <c r="CG14" s="162">
        <f>IF(SEMANA29[[#This Row],[1]]="",0,$B$4)</f>
        <v>0</v>
      </c>
      <c r="CH14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14" s="164">
        <f>IF(SEMANA29[[#This Row],[Columna14]]=0,0,(CH14/CG14))</f>
        <v>0</v>
      </c>
      <c r="CJ14" s="163">
        <f>IF(SEMANA29[[#This Row],[1]]="",0,$B$4)</f>
        <v>0</v>
      </c>
      <c r="CK14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14" s="164">
        <f>IF(SEMANA29[[#This Row],[Columna14]]=0,0,(CK14/CJ14))</f>
        <v>0</v>
      </c>
      <c r="CM14" s="162">
        <f>IF(SEMANA29[[#This Row],[1]]="",0,$B$4)</f>
        <v>0</v>
      </c>
      <c r="CN14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14" s="164">
        <f>IF(SEMANA29[[#This Row],[Columna14]]=0,0,(CN14/CM14))</f>
        <v>0</v>
      </c>
      <c r="CP14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14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Row],[Columna25]],$AX$5,BA14,"SF")+COUNTIFS(SEMANA29[[#This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14" s="164">
        <f>IFERROR(IF(SEMANA29[[#This Row],[Columna14]]=0,0,(CQ14/CP14)),0)</f>
        <v>0</v>
      </c>
      <c r="CS14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14" s="93">
        <f>_xlfn.XLOOKUP(SEMANA29[[#This Row],[COD]],SEMANA2[COD],SEMANA2[Columna33])</f>
        <v>59.5</v>
      </c>
      <c r="CU14" s="536">
        <f t="shared" si="16"/>
        <v>59.5</v>
      </c>
      <c r="CV14" s="445">
        <f>IF(SEMANA29[[#This Row],[TIPO]]="PREMIO",$O$3,"0,00")</f>
        <v>1000</v>
      </c>
      <c r="CW14" s="515"/>
      <c r="CY14" s="388">
        <v>7</v>
      </c>
      <c r="CZ14" s="349">
        <f>AJ$6</f>
        <v>0</v>
      </c>
      <c r="DB14" s="537" t="str">
        <f>SEMANA29[[#This Row],[COD]]</f>
        <v>COD 07</v>
      </c>
      <c r="DC14" s="390" t="str">
        <f t="array" ref="DC14">IFERROR(IF(AND(INDEX($E$8:$CE$57, MATCH($C14, $C$8:$C$57, 0), (COLUMNS($DC14:DC14)-1)*5 + 1) = INDEX($E$5:$CE$5, 1, (COLUMNS($DC14:DC14)-1)*5 + 1), INDEX($E$8:$CE$57, MATCH($C14, $C$8:$C$57, 0), (COLUMNS($DC14:DC14)-1)*5 + 4) = "F"), INDEX($CZ$8:$CZ$23, COLUMNS($DC14:DC14)), "0"), "")</f>
        <v>0</v>
      </c>
      <c r="DD14" s="390" t="str">
        <f t="array" ref="DD14">IFERROR(IF(AND(INDEX($E$8:$CE$57, MATCH($C14, $C$8:$C$57, 0), (COLUMNS($DC14:DD14)-1)*5 + 1) = INDEX($E$5:$CE$5, 1, (COLUMNS($DC14:DD14)-1)*5 + 1), INDEX($E$8:$CE$57, MATCH($C14, $C$8:$C$57, 0), (COLUMNS($DC14:DD14)-1)*5 + 4) = "F"), INDEX($CZ$8:$CZ$23, COLUMNS($DC14:DD14)), "0"), "")</f>
        <v>0</v>
      </c>
      <c r="DE14" s="390" t="str">
        <f t="array" ref="DE14">IFERROR(IF(AND(INDEX($E$8:$CE$57, MATCH($C14, $C$8:$C$57, 0), (COLUMNS($DC14:DE14)-1)*5 + 1) = INDEX($E$5:$CE$5, 1, (COLUMNS($DC14:DE14)-1)*5 + 1), INDEX($E$8:$CE$57, MATCH($C14, $C$8:$C$57, 0), (COLUMNS($DC14:DE14)-1)*5 + 4) = "F"), INDEX($CZ$8:$CZ$23, COLUMNS($DC14:DE14)), "0"), "")</f>
        <v>0</v>
      </c>
      <c r="DF14" s="390" t="str">
        <f t="array" ref="DF14">IFERROR(IF(AND(INDEX($E$8:$CE$57, MATCH($C14, $C$8:$C$57, 0), (COLUMNS($DC14:DF14)-1)*5 + 1) = INDEX($E$5:$CE$5, 1, (COLUMNS($DC14:DF14)-1)*5 + 1), INDEX($E$8:$CE$57, MATCH($C14, $C$8:$C$57, 0), (COLUMNS($DC14:DF14)-1)*5 + 4) = "F"), INDEX($CZ$8:$CZ$23, COLUMNS($DC14:DF14)), "0"), "")</f>
        <v>0</v>
      </c>
      <c r="DG14" s="390" t="str">
        <f t="array" ref="DG14">IFERROR(IF(AND(INDEX($E$8:$CE$57, MATCH($C14, $C$8:$C$57, 0), (COLUMNS($DC14:DG14)-1)*5 + 1) = INDEX($E$5:$CE$5, 1, (COLUMNS($DC14:DG14)-1)*5 + 1), INDEX($E$8:$CE$57, MATCH($C14, $C$8:$C$57, 0), (COLUMNS($DC14:DG14)-1)*5 + 4) = "F"), INDEX($CZ$8:$CZ$23, COLUMNS($DC14:DG14)), "0"), "")</f>
        <v>0</v>
      </c>
      <c r="DH14" s="390" t="str">
        <f t="array" ref="DH14">IFERROR(IF(AND(INDEX($E$8:$CE$57, MATCH($C14, $C$8:$C$57, 0), (COLUMNS($DC14:DH14)-1)*5 + 1) = INDEX($E$5:$CE$5, 1, (COLUMNS($DC14:DH14)-1)*5 + 1), INDEX($E$8:$CE$57, MATCH($C14, $C$8:$C$57, 0), (COLUMNS($DC14:DH14)-1)*5 + 4) = "F"), INDEX($CZ$8:$CZ$23, COLUMNS($DC14:DH14)), "0"), "")</f>
        <v>0</v>
      </c>
      <c r="DI14" s="390" t="str">
        <f t="array" ref="DI14">IFERROR(IF(AND(INDEX($E$8:$CE$57, MATCH($C14, $C$8:$C$57, 0), (COLUMNS($DC14:DI14)-1)*5 + 1) = INDEX($E$5:$CE$5, 1, (COLUMNS($DC14:DI14)-1)*5 + 1), INDEX($E$8:$CE$57, MATCH($C14, $C$8:$C$57, 0), (COLUMNS($DC14:DI14)-1)*5 + 4) = "F"), INDEX($CZ$8:$CZ$23, COLUMNS($DC14:DI14)), "0"), "")</f>
        <v>0</v>
      </c>
      <c r="DJ14" s="390" t="str">
        <f t="array" ref="DJ14">IFERROR(IF(AND(INDEX($E$8:$CE$57, MATCH($C14, $C$8:$C$57, 0), (COLUMNS($DC14:DJ14)-1)*5 + 1) = INDEX($E$5:$CE$5, 1, (COLUMNS($DC14:DJ14)-1)*5 + 1), INDEX($E$8:$CE$57, MATCH($C14, $C$8:$C$57, 0), (COLUMNS($DC14:DJ14)-1)*5 + 4) = "F"), INDEX($CZ$8:$CZ$23, COLUMNS($DC14:DJ14)), "0"), "")</f>
        <v>0</v>
      </c>
      <c r="DK14" s="390" t="str">
        <f t="array" ref="DK14">IFERROR(IF(AND(INDEX($E$8:$CE$57, MATCH($C14, $C$8:$C$57, 0), (COLUMNS($DC14:DK14)-1)*5 + 1) = INDEX($E$5:$CE$5, 1, (COLUMNS($DC14:DK14)-1)*5 + 1), INDEX($E$8:$CE$57, MATCH($C14, $C$8:$C$57, 0), (COLUMNS($DC14:DK14)-1)*5 + 4) = "F"), INDEX($CZ$8:$CZ$23, COLUMNS($DC14:DK14)), "0"), "")</f>
        <v>0</v>
      </c>
      <c r="DL14" s="390" t="str">
        <f t="array" ref="DL14">IFERROR(IF(AND(INDEX($E$8:$CE$57, MATCH($C14, $C$8:$C$57, 0), (COLUMNS($DC14:DL14)-1)*5 + 1) = INDEX($E$5:$CE$5, 1, (COLUMNS($DC14:DL14)-1)*5 + 1), INDEX($E$8:$CE$57, MATCH($C14, $C$8:$C$57, 0), (COLUMNS($DC14:DL14)-1)*5 + 4) = "F"), INDEX($CZ$8:$CZ$23, COLUMNS($DC14:DL14)), "0"), "")</f>
        <v>0</v>
      </c>
      <c r="DM14" s="390" t="str">
        <f t="array" ref="DM14">IFERROR(IF(AND(INDEX($E$8:$CE$57, MATCH($C14, $C$8:$C$57, 0), (COLUMNS($DC14:DM14)-1)*5 + 1) = INDEX($E$5:$CE$5, 1, (COLUMNS($DC14:DM14)-1)*5 + 1), INDEX($E$8:$CE$57, MATCH($C14, $C$8:$C$57, 0), (COLUMNS($DC14:DM14)-1)*5 + 4) = "F"), INDEX($CZ$8:$CZ$23, COLUMNS($DC14:DM14)), "0"), "")</f>
        <v>0</v>
      </c>
      <c r="DN14" s="390" t="str">
        <f t="array" ref="DN14">IFERROR(IF(AND(INDEX($E$8:$CE$57, MATCH($C14, $C$8:$C$57, 0), (COLUMNS($DC14:DN14)-1)*5 + 1) = INDEX($E$5:$CE$5, 1, (COLUMNS($DC14:DN14)-1)*5 + 1), INDEX($E$8:$CE$57, MATCH($C14, $C$8:$C$57, 0), (COLUMNS($DC14:DN14)-1)*5 + 4) = "F"), INDEX($CZ$8:$CZ$23, COLUMNS($DC14:DN14)), "0"), "")</f>
        <v>0</v>
      </c>
      <c r="DO14" s="390" t="str">
        <f t="array" ref="DO14">IFERROR(IF(AND(INDEX($E$8:$CE$57, MATCH($C14, $C$8:$C$57, 0), (COLUMNS($DC14:DO14)-1)*5 + 1) = INDEX($E$5:$CE$5, 1, (COLUMNS($DC14:DO14)-1)*5 + 1), INDEX($E$8:$CE$57, MATCH($C14, $C$8:$C$57, 0), (COLUMNS($DC14:DO14)-1)*5 + 4) = "F"), INDEX($CZ$8:$CZ$23, COLUMNS($DC14:DO14)), "0"), "")</f>
        <v>0</v>
      </c>
      <c r="DP14" s="390" t="str">
        <f t="array" ref="DP14">IFERROR(IF(AND(INDEX($E$8:$CE$57, MATCH($C14, $C$8:$C$57, 0), (COLUMNS($DC14:DP14)-1)*5 + 1) = INDEX($E$5:$CE$5, 1, (COLUMNS($DC14:DP14)-1)*5 + 1), INDEX($E$8:$CE$57, MATCH($C14, $C$8:$C$57, 0), (COLUMNS($DC14:DP14)-1)*5 + 4) = "F"), INDEX($CZ$8:$CZ$23, COLUMNS($DC14:DP14)), "0"), "")</f>
        <v>0</v>
      </c>
      <c r="DQ14" s="390" t="str">
        <f t="array" ref="DQ14">IFERROR(IF(AND(INDEX($E$8:$CE$57, MATCH($C14, $C$8:$C$57, 0), (COLUMNS($DC14:DQ14)-1)*5 + 1) = INDEX($E$5:$CE$5, 1, (COLUMNS($DC14:DQ14)-1)*5 + 1), INDEX($E$8:$CE$57, MATCH($C14, $C$8:$C$57, 0), (COLUMNS($DC14:DQ14)-1)*5 + 4) = "F"), INDEX($CZ$8:$CZ$23, COLUMNS($DC14:DQ14)), "0"), "")</f>
        <v>0</v>
      </c>
      <c r="DR14" s="390" t="str">
        <f t="array" ref="DR14">IFERROR(IF(AND(INDEX($E$8:$CE$57, MATCH($C14, $C$8:$C$57, 0), (COLUMNS($DC14:DR14)-1)*5 + 1) = INDEX($E$5:$CE$5, 1, (COLUMNS($DC14:DR14)-1)*5 + 1), INDEX($E$8:$CE$57, MATCH($C14, $C$8:$C$57, 0), (COLUMNS($DC14:DR14)-1)*5 + 4) = "F"), INDEX($CZ$8:$CZ$23, COLUMNS($DC14:DR14)), "0"), "")</f>
        <v>0</v>
      </c>
      <c r="DT14" s="537" t="str">
        <f>SEMANA29[[#This Row],[COD]]</f>
        <v>COD 07</v>
      </c>
      <c r="DU14" s="390" t="str">
        <f t="array" ref="DU14">IFERROR(IF(AND(INDEX($E$8:$CE$57, MATCH($C14, $C$8:$C$57, 0), (COLUMNS($DU14:DU14)-1)*5 + 1) = INDEX($E$5:$CE$5, 1, (COLUMNS($DU14:DU14)-1)*5 + 1), INDEX($E$8:$CE$57, MATCH($C14, $C$8:$C$57, 0), (COLUMNS($DU14:DU14)-1)*5 + 4) = "SF"), INDEX($CZ$8:$CZ$23, COLUMNS($DU14:DU14)), "0"), "")</f>
        <v>0</v>
      </c>
      <c r="DV14" s="390" t="str">
        <f t="array" ref="DV14">IFERROR(IF(AND(INDEX($E$8:$CE$57, MATCH($C14, $C$8:$C$57, 0), (COLUMNS($DU14:DV14)-1)*5 + 1) = INDEX($E$5:$CE$5, 1, (COLUMNS($DU14:DV14)-1)*5 + 1), INDEX($E$8:$CE$57, MATCH($C14, $C$8:$C$57, 0), (COLUMNS($DU14:DV14)-1)*5 + 4) = "SF"), INDEX($CZ$8:$CZ$23, COLUMNS($DU14:DV14)), "0"), "")</f>
        <v>0</v>
      </c>
      <c r="DW14" s="390" t="str">
        <f t="array" ref="DW14">IFERROR(IF(AND(INDEX($E$8:$CE$57, MATCH($C14, $C$8:$C$57, 0), (COLUMNS($DU14:DW14)-1)*5 + 1) = INDEX($E$5:$CE$5, 1, (COLUMNS($DU14:DW14)-1)*5 + 1), INDEX($E$8:$CE$57, MATCH($C14, $C$8:$C$57, 0), (COLUMNS($DU14:DW14)-1)*5 + 4) = "SF"), INDEX($CZ$8:$CZ$23, COLUMNS($DU14:DW14)), "0"), "")</f>
        <v>0</v>
      </c>
      <c r="DX14" s="390" t="str">
        <f t="array" ref="DX14">IFERROR(IF(AND(INDEX($E$8:$CE$57, MATCH($C14, $C$8:$C$57, 0), (COLUMNS($DU14:DX14)-1)*5 + 1) = INDEX($E$5:$CE$5, 1, (COLUMNS($DU14:DX14)-1)*5 + 1), INDEX($E$8:$CE$57, MATCH($C14, $C$8:$C$57, 0), (COLUMNS($DU14:DX14)-1)*5 + 4) = "SF"), INDEX($CZ$8:$CZ$23, COLUMNS($DU14:DX14)), "0"), "")</f>
        <v>0</v>
      </c>
      <c r="DY14" s="390" t="str">
        <f t="array" ref="DY14">IFERROR(IF(AND(INDEX($E$8:$CE$57, MATCH($C14, $C$8:$C$57, 0), (COLUMNS($DU14:DY14)-1)*5 + 1) = INDEX($E$5:$CE$5, 1, (COLUMNS($DU14:DY14)-1)*5 + 1), INDEX($E$8:$CE$57, MATCH($C14, $C$8:$C$57, 0), (COLUMNS($DU14:DY14)-1)*5 + 4) = "SF"), INDEX($CZ$8:$CZ$23, COLUMNS($DU14:DY14)), "0"), "")</f>
        <v>0</v>
      </c>
      <c r="DZ14" s="390" t="str">
        <f t="array" ref="DZ14">IFERROR(IF(AND(INDEX($E$8:$CE$57, MATCH($C14, $C$8:$C$57, 0), (COLUMNS($DU14:DZ14)-1)*5 + 1) = INDEX($E$5:$CE$5, 1, (COLUMNS($DU14:DZ14)-1)*5 + 1), INDEX($E$8:$CE$57, MATCH($C14, $C$8:$C$57, 0), (COLUMNS($DU14:DZ14)-1)*5 + 4) = "SF"), INDEX($CZ$8:$CZ$23, COLUMNS($DU14:DZ14)), "0"), "")</f>
        <v>0</v>
      </c>
      <c r="EA14" s="390" t="str">
        <f t="array" ref="EA14">IFERROR(IF(AND(INDEX($E$8:$CE$57, MATCH($C14, $C$8:$C$57, 0), (COLUMNS($DU14:EA14)-1)*5 + 1) = INDEX($E$5:$CE$5, 1, (COLUMNS($DU14:EA14)-1)*5 + 1), INDEX($E$8:$CE$57, MATCH($C14, $C$8:$C$57, 0), (COLUMNS($DU14:EA14)-1)*5 + 4) = "SF"), INDEX($CZ$8:$CZ$23, COLUMNS($DU14:EA14)), "0"), "")</f>
        <v>0</v>
      </c>
      <c r="EB14" s="390" t="str">
        <f t="array" ref="EB14">IFERROR(IF(AND(INDEX($E$8:$CE$57, MATCH($C14, $C$8:$C$57, 0), (COLUMNS($DU14:EB14)-1)*5 + 1) = INDEX($E$5:$CE$5, 1, (COLUMNS($DU14:EB14)-1)*5 + 1), INDEX($E$8:$CE$57, MATCH($C14, $C$8:$C$57, 0), (COLUMNS($DU14:EB14)-1)*5 + 4) = "SF"), INDEX($CZ$8:$CZ$23, COLUMNS($DU14:EB14)), "0"), "")</f>
        <v>0</v>
      </c>
      <c r="EC14" s="390" t="str">
        <f t="array" ref="EC14">IFERROR(IF(AND(INDEX($E$8:$CE$57, MATCH($C14, $C$8:$C$57, 0), (COLUMNS($DU14:EC14)-1)*5 + 1) = INDEX($E$5:$CE$5, 1, (COLUMNS($DU14:EC14)-1)*5 + 1), INDEX($E$8:$CE$57, MATCH($C14, $C$8:$C$57, 0), (COLUMNS($DU14:EC14)-1)*5 + 4) = "SF"), INDEX($CZ$8:$CZ$23, COLUMNS($DU14:EC14)), "0"), "")</f>
        <v>0</v>
      </c>
      <c r="ED14" s="390" t="str">
        <f t="array" ref="ED14">IFERROR(IF(AND(INDEX($E$8:$CE$57, MATCH($C14, $C$8:$C$57, 0), (COLUMNS($DU14:ED14)-1)*5 + 1) = INDEX($E$5:$CE$5, 1, (COLUMNS($DU14:ED14)-1)*5 + 1), INDEX($E$8:$CE$57, MATCH($C14, $C$8:$C$57, 0), (COLUMNS($DU14:ED14)-1)*5 + 4) = "SF"), INDEX($CZ$8:$CZ$23, COLUMNS($DU14:ED14)), "0"), "")</f>
        <v>0</v>
      </c>
      <c r="EE14" s="390" t="str">
        <f t="array" ref="EE14">IFERROR(IF(AND(INDEX($E$8:$CE$57, MATCH($C14, $C$8:$C$57, 0), (COLUMNS($DU14:EE14)-1)*5 + 1) = INDEX($E$5:$CE$5, 1, (COLUMNS($DU14:EE14)-1)*5 + 1), INDEX($E$8:$CE$57, MATCH($C14, $C$8:$C$57, 0), (COLUMNS($DU14:EE14)-1)*5 + 4) = "SF"), INDEX($CZ$8:$CZ$23, COLUMNS($DU14:EE14)), "0"), "")</f>
        <v>0</v>
      </c>
      <c r="EF14" s="390" t="str">
        <f t="array" ref="EF14">IFERROR(IF(AND(INDEX($E$8:$CE$57, MATCH($C14, $C$8:$C$57, 0), (COLUMNS($DU14:EF14)-1)*5 + 1) = INDEX($E$5:$CE$5, 1, (COLUMNS($DU14:EF14)-1)*5 + 1), INDEX($E$8:$CE$57, MATCH($C14, $C$8:$C$57, 0), (COLUMNS($DU14:EF14)-1)*5 + 4) = "SF"), INDEX($CZ$8:$CZ$23, COLUMNS($DU14:EF14)), "0"), "")</f>
        <v>0</v>
      </c>
      <c r="EG14" s="390" t="str">
        <f t="array" ref="EG14">IFERROR(IF(AND(INDEX($E$8:$CE$57, MATCH($C14, $C$8:$C$57, 0), (COLUMNS($DU14:EG14)-1)*5 + 1) = INDEX($E$5:$CE$5, 1, (COLUMNS($DU14:EG14)-1)*5 + 1), INDEX($E$8:$CE$57, MATCH($C14, $C$8:$C$57, 0), (COLUMNS($DU14:EG14)-1)*5 + 4) = "SF"), INDEX($CZ$8:$CZ$23, COLUMNS($DU14:EG14)), "0"), "")</f>
        <v>0</v>
      </c>
      <c r="EH14" s="390" t="str">
        <f t="array" ref="EH14">IFERROR(IF(AND(INDEX($E$8:$CE$57, MATCH($C14, $C$8:$C$57, 0), (COLUMNS($DU14:EH14)-1)*5 + 1) = INDEX($E$5:$CE$5, 1, (COLUMNS($DU14:EH14)-1)*5 + 1), INDEX($E$8:$CE$57, MATCH($C14, $C$8:$C$57, 0), (COLUMNS($DU14:EH14)-1)*5 + 4) = "SF"), INDEX($CZ$8:$CZ$23, COLUMNS($DU14:EH14)), "0"), "")</f>
        <v>0</v>
      </c>
      <c r="EI14" s="390" t="str">
        <f t="array" ref="EI14">IFERROR(IF(AND(INDEX($E$8:$CE$57, MATCH($C14, $C$8:$C$57, 0), (COLUMNS($DU14:EI14)-1)*5 + 1) = INDEX($E$5:$CE$5, 1, (COLUMNS($DU14:EI14)-1)*5 + 1), INDEX($E$8:$CE$57, MATCH($C14, $C$8:$C$57, 0), (COLUMNS($DU14:EI14)-1)*5 + 4) = "SF"), INDEX($CZ$8:$CZ$23, COLUMNS($DU14:EI14)), "0"), "")</f>
        <v>0</v>
      </c>
      <c r="EJ14" s="390" t="str">
        <f t="array" ref="EJ14">IFERROR(IF(AND(INDEX($E$8:$CE$57, MATCH($C14, $C$8:$C$57, 0), (COLUMNS($DU14:EJ14)-1)*5 + 1) = INDEX($E$5:$CE$5, 1, (COLUMNS($DU14:EJ14)-1)*5 + 1), INDEX($E$8:$CE$57, MATCH($C14, $C$8:$C$57, 0), (COLUMNS($DU14:EJ14)-1)*5 + 4) = "SF"), INDEX($CZ$8:$CZ$23, COLUMNS($DU14:EJ14)), "0"), "")</f>
        <v>0</v>
      </c>
    </row>
    <row r="15" spans="1:140" ht="20.100000000000001" customHeight="1" x14ac:dyDescent="0.35">
      <c r="A15" s="515"/>
      <c r="B15" s="444">
        <f>IF(SEMANA29[[#This Row],[COD]]&lt;&gt;"",B14+1,"")</f>
        <v>8</v>
      </c>
      <c r="C15" s="554" t="s">
        <v>47</v>
      </c>
      <c r="D15" s="410" t="str">
        <f t="array" ref="D15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15" s="411"/>
      <c r="F15" s="412"/>
      <c r="G15" s="412"/>
      <c r="H15" s="412"/>
      <c r="I15" s="534">
        <f t="shared" si="0"/>
        <v>0</v>
      </c>
      <c r="J15" s="411"/>
      <c r="K15" s="412"/>
      <c r="L15" s="412"/>
      <c r="M15" s="412"/>
      <c r="N15" s="534">
        <f t="shared" si="1"/>
        <v>0</v>
      </c>
      <c r="O15" s="411"/>
      <c r="P15" s="412"/>
      <c r="Q15" s="412"/>
      <c r="R15" s="412"/>
      <c r="S15" s="534">
        <f t="shared" si="2"/>
        <v>0</v>
      </c>
      <c r="T15" s="411"/>
      <c r="U15" s="412"/>
      <c r="V15" s="412"/>
      <c r="W15" s="412"/>
      <c r="X15" s="534">
        <f t="shared" si="3"/>
        <v>0</v>
      </c>
      <c r="Y15" s="411"/>
      <c r="Z15" s="412"/>
      <c r="AA15" s="412"/>
      <c r="AB15" s="412"/>
      <c r="AC15" s="534">
        <f t="shared" si="4"/>
        <v>0</v>
      </c>
      <c r="AD15" s="411"/>
      <c r="AE15" s="412"/>
      <c r="AF15" s="412"/>
      <c r="AG15" s="412"/>
      <c r="AH15" s="534">
        <f t="shared" si="5"/>
        <v>0</v>
      </c>
      <c r="AI15" s="411"/>
      <c r="AJ15" s="412"/>
      <c r="AK15" s="412"/>
      <c r="AL15" s="412"/>
      <c r="AM15" s="534">
        <f t="shared" si="6"/>
        <v>0</v>
      </c>
      <c r="AN15" s="411"/>
      <c r="AO15" s="412"/>
      <c r="AP15" s="412"/>
      <c r="AQ15" s="412"/>
      <c r="AR15" s="534">
        <f t="shared" si="7"/>
        <v>0</v>
      </c>
      <c r="AS15" s="411"/>
      <c r="AT15" s="412"/>
      <c r="AU15" s="412"/>
      <c r="AV15" s="412"/>
      <c r="AW15" s="534">
        <f t="shared" si="8"/>
        <v>0</v>
      </c>
      <c r="AX15" s="411"/>
      <c r="AY15" s="412"/>
      <c r="AZ15" s="412"/>
      <c r="BA15" s="412"/>
      <c r="BB15" s="534">
        <f t="shared" si="9"/>
        <v>0</v>
      </c>
      <c r="BC15" s="411"/>
      <c r="BD15" s="412"/>
      <c r="BE15" s="412"/>
      <c r="BF15" s="412"/>
      <c r="BG15" s="534">
        <f t="shared" si="10"/>
        <v>0</v>
      </c>
      <c r="BH15" s="411"/>
      <c r="BI15" s="412"/>
      <c r="BJ15" s="412"/>
      <c r="BK15" s="412"/>
      <c r="BL15" s="534">
        <f t="shared" si="11"/>
        <v>0</v>
      </c>
      <c r="BM15" s="411"/>
      <c r="BN15" s="412"/>
      <c r="BO15" s="412"/>
      <c r="BP15" s="412"/>
      <c r="BQ15" s="534">
        <f t="shared" si="12"/>
        <v>0</v>
      </c>
      <c r="BR15" s="411"/>
      <c r="BS15" s="412"/>
      <c r="BT15" s="412"/>
      <c r="BU15" s="412"/>
      <c r="BV15" s="534">
        <f t="shared" si="13"/>
        <v>0</v>
      </c>
      <c r="BW15" s="411"/>
      <c r="BX15" s="412"/>
      <c r="BY15" s="412"/>
      <c r="BZ15" s="412"/>
      <c r="CA15" s="534">
        <f t="shared" si="14"/>
        <v>0</v>
      </c>
      <c r="CB15" s="411"/>
      <c r="CC15" s="412"/>
      <c r="CD15" s="412"/>
      <c r="CE15" s="412"/>
      <c r="CF15" s="534">
        <f t="shared" si="15"/>
        <v>0</v>
      </c>
      <c r="CG15" s="162">
        <f>IF(SEMANA29[[#This Row],[1]]="",0,$B$4)</f>
        <v>0</v>
      </c>
      <c r="CH15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15" s="164">
        <f>IF(SEMANA29[[#This Row],[Columna14]]=0,0,(CH15/CG15))</f>
        <v>0</v>
      </c>
      <c r="CJ15" s="163">
        <f>IF(SEMANA29[[#This Row],[1]]="",0,$B$4)</f>
        <v>0</v>
      </c>
      <c r="CK15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15" s="164">
        <f>IF(SEMANA29[[#This Row],[Columna14]]=0,0,(CK15/CJ15))</f>
        <v>0</v>
      </c>
      <c r="CM15" s="162">
        <f>IF(SEMANA29[[#This Row],[1]]="",0,$B$4)</f>
        <v>0</v>
      </c>
      <c r="CN15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15" s="164">
        <f>IF(SEMANA29[[#This Row],[Columna14]]=0,0,(CN15/CM15))</f>
        <v>0</v>
      </c>
      <c r="CP15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15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Row],[Columna25]],$AX$5,BA15,"SF")+COUNTIFS(SEMANA29[[#This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15" s="164">
        <f>IFERROR(IF(SEMANA29[[#This Row],[Columna14]]=0,0,(CQ15/CP15)),0)</f>
        <v>0</v>
      </c>
      <c r="CS15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15" s="93">
        <f>_xlfn.XLOOKUP(SEMANA29[[#This Row],[COD]],SEMANA2[COD],SEMANA2[Columna33])</f>
        <v>66</v>
      </c>
      <c r="CU15" s="536">
        <f t="shared" si="16"/>
        <v>66</v>
      </c>
      <c r="CV15" s="445" t="str">
        <f>IF(SEMANA29[[#This Row],[TIPO]]="PREMIO",$O$3,"0,00")</f>
        <v>0,00</v>
      </c>
      <c r="CW15" s="515"/>
      <c r="CY15" s="388">
        <v>8</v>
      </c>
      <c r="CZ15" s="349">
        <f>AO$6</f>
        <v>0</v>
      </c>
      <c r="DB15" s="537" t="str">
        <f>SEMANA29[[#This Row],[COD]]</f>
        <v>COD 08</v>
      </c>
      <c r="DC15" s="390" t="str">
        <f t="array" ref="DC15">IFERROR(IF(AND(INDEX($E$8:$CE$57, MATCH($C15, $C$8:$C$57, 0), (COLUMNS($DC15:DC15)-1)*5 + 1) = INDEX($E$5:$CE$5, 1, (COLUMNS($DC15:DC15)-1)*5 + 1), INDEX($E$8:$CE$57, MATCH($C15, $C$8:$C$57, 0), (COLUMNS($DC15:DC15)-1)*5 + 4) = "F"), INDEX($CZ$8:$CZ$23, COLUMNS($DC15:DC15)), "0"), "")</f>
        <v>0</v>
      </c>
      <c r="DD15" s="390" t="str">
        <f t="array" ref="DD15">IFERROR(IF(AND(INDEX($E$8:$CE$57, MATCH($C15, $C$8:$C$57, 0), (COLUMNS($DC15:DD15)-1)*5 + 1) = INDEX($E$5:$CE$5, 1, (COLUMNS($DC15:DD15)-1)*5 + 1), INDEX($E$8:$CE$57, MATCH($C15, $C$8:$C$57, 0), (COLUMNS($DC15:DD15)-1)*5 + 4) = "F"), INDEX($CZ$8:$CZ$23, COLUMNS($DC15:DD15)), "0"), "")</f>
        <v>0</v>
      </c>
      <c r="DE15" s="390" t="str">
        <f t="array" ref="DE15">IFERROR(IF(AND(INDEX($E$8:$CE$57, MATCH($C15, $C$8:$C$57, 0), (COLUMNS($DC15:DE15)-1)*5 + 1) = INDEX($E$5:$CE$5, 1, (COLUMNS($DC15:DE15)-1)*5 + 1), INDEX($E$8:$CE$57, MATCH($C15, $C$8:$C$57, 0), (COLUMNS($DC15:DE15)-1)*5 + 4) = "F"), INDEX($CZ$8:$CZ$23, COLUMNS($DC15:DE15)), "0"), "")</f>
        <v>0</v>
      </c>
      <c r="DF15" s="390" t="str">
        <f t="array" ref="DF15">IFERROR(IF(AND(INDEX($E$8:$CE$57, MATCH($C15, $C$8:$C$57, 0), (COLUMNS($DC15:DF15)-1)*5 + 1) = INDEX($E$5:$CE$5, 1, (COLUMNS($DC15:DF15)-1)*5 + 1), INDEX($E$8:$CE$57, MATCH($C15, $C$8:$C$57, 0), (COLUMNS($DC15:DF15)-1)*5 + 4) = "F"), INDEX($CZ$8:$CZ$23, COLUMNS($DC15:DF15)), "0"), "")</f>
        <v>0</v>
      </c>
      <c r="DG15" s="390" t="str">
        <f t="array" ref="DG15">IFERROR(IF(AND(INDEX($E$8:$CE$57, MATCH($C15, $C$8:$C$57, 0), (COLUMNS($DC15:DG15)-1)*5 + 1) = INDEX($E$5:$CE$5, 1, (COLUMNS($DC15:DG15)-1)*5 + 1), INDEX($E$8:$CE$57, MATCH($C15, $C$8:$C$57, 0), (COLUMNS($DC15:DG15)-1)*5 + 4) = "F"), INDEX($CZ$8:$CZ$23, COLUMNS($DC15:DG15)), "0"), "")</f>
        <v>0</v>
      </c>
      <c r="DH15" s="390" t="str">
        <f t="array" ref="DH15">IFERROR(IF(AND(INDEX($E$8:$CE$57, MATCH($C15, $C$8:$C$57, 0), (COLUMNS($DC15:DH15)-1)*5 + 1) = INDEX($E$5:$CE$5, 1, (COLUMNS($DC15:DH15)-1)*5 + 1), INDEX($E$8:$CE$57, MATCH($C15, $C$8:$C$57, 0), (COLUMNS($DC15:DH15)-1)*5 + 4) = "F"), INDEX($CZ$8:$CZ$23, COLUMNS($DC15:DH15)), "0"), "")</f>
        <v>0</v>
      </c>
      <c r="DI15" s="390" t="str">
        <f t="array" ref="DI15">IFERROR(IF(AND(INDEX($E$8:$CE$57, MATCH($C15, $C$8:$C$57, 0), (COLUMNS($DC15:DI15)-1)*5 + 1) = INDEX($E$5:$CE$5, 1, (COLUMNS($DC15:DI15)-1)*5 + 1), INDEX($E$8:$CE$57, MATCH($C15, $C$8:$C$57, 0), (COLUMNS($DC15:DI15)-1)*5 + 4) = "F"), INDEX($CZ$8:$CZ$23, COLUMNS($DC15:DI15)), "0"), "")</f>
        <v>0</v>
      </c>
      <c r="DJ15" s="390" t="str">
        <f t="array" ref="DJ15">IFERROR(IF(AND(INDEX($E$8:$CE$57, MATCH($C15, $C$8:$C$57, 0), (COLUMNS($DC15:DJ15)-1)*5 + 1) = INDEX($E$5:$CE$5, 1, (COLUMNS($DC15:DJ15)-1)*5 + 1), INDEX($E$8:$CE$57, MATCH($C15, $C$8:$C$57, 0), (COLUMNS($DC15:DJ15)-1)*5 + 4) = "F"), INDEX($CZ$8:$CZ$23, COLUMNS($DC15:DJ15)), "0"), "")</f>
        <v>0</v>
      </c>
      <c r="DK15" s="390" t="str">
        <f t="array" ref="DK15">IFERROR(IF(AND(INDEX($E$8:$CE$57, MATCH($C15, $C$8:$C$57, 0), (COLUMNS($DC15:DK15)-1)*5 + 1) = INDEX($E$5:$CE$5, 1, (COLUMNS($DC15:DK15)-1)*5 + 1), INDEX($E$8:$CE$57, MATCH($C15, $C$8:$C$57, 0), (COLUMNS($DC15:DK15)-1)*5 + 4) = "F"), INDEX($CZ$8:$CZ$23, COLUMNS($DC15:DK15)), "0"), "")</f>
        <v>0</v>
      </c>
      <c r="DL15" s="390" t="str">
        <f t="array" ref="DL15">IFERROR(IF(AND(INDEX($E$8:$CE$57, MATCH($C15, $C$8:$C$57, 0), (COLUMNS($DC15:DL15)-1)*5 + 1) = INDEX($E$5:$CE$5, 1, (COLUMNS($DC15:DL15)-1)*5 + 1), INDEX($E$8:$CE$57, MATCH($C15, $C$8:$C$57, 0), (COLUMNS($DC15:DL15)-1)*5 + 4) = "F"), INDEX($CZ$8:$CZ$23, COLUMNS($DC15:DL15)), "0"), "")</f>
        <v>0</v>
      </c>
      <c r="DM15" s="390" t="str">
        <f t="array" ref="DM15">IFERROR(IF(AND(INDEX($E$8:$CE$57, MATCH($C15, $C$8:$C$57, 0), (COLUMNS($DC15:DM15)-1)*5 + 1) = INDEX($E$5:$CE$5, 1, (COLUMNS($DC15:DM15)-1)*5 + 1), INDEX($E$8:$CE$57, MATCH($C15, $C$8:$C$57, 0), (COLUMNS($DC15:DM15)-1)*5 + 4) = "F"), INDEX($CZ$8:$CZ$23, COLUMNS($DC15:DM15)), "0"), "")</f>
        <v>0</v>
      </c>
      <c r="DN15" s="390" t="str">
        <f t="array" ref="DN15">IFERROR(IF(AND(INDEX($E$8:$CE$57, MATCH($C15, $C$8:$C$57, 0), (COLUMNS($DC15:DN15)-1)*5 + 1) = INDEX($E$5:$CE$5, 1, (COLUMNS($DC15:DN15)-1)*5 + 1), INDEX($E$8:$CE$57, MATCH($C15, $C$8:$C$57, 0), (COLUMNS($DC15:DN15)-1)*5 + 4) = "F"), INDEX($CZ$8:$CZ$23, COLUMNS($DC15:DN15)), "0"), "")</f>
        <v>0</v>
      </c>
      <c r="DO15" s="390" t="str">
        <f t="array" ref="DO15">IFERROR(IF(AND(INDEX($E$8:$CE$57, MATCH($C15, $C$8:$C$57, 0), (COLUMNS($DC15:DO15)-1)*5 + 1) = INDEX($E$5:$CE$5, 1, (COLUMNS($DC15:DO15)-1)*5 + 1), INDEX($E$8:$CE$57, MATCH($C15, $C$8:$C$57, 0), (COLUMNS($DC15:DO15)-1)*5 + 4) = "F"), INDEX($CZ$8:$CZ$23, COLUMNS($DC15:DO15)), "0"), "")</f>
        <v>0</v>
      </c>
      <c r="DP15" s="390" t="str">
        <f t="array" ref="DP15">IFERROR(IF(AND(INDEX($E$8:$CE$57, MATCH($C15, $C$8:$C$57, 0), (COLUMNS($DC15:DP15)-1)*5 + 1) = INDEX($E$5:$CE$5, 1, (COLUMNS($DC15:DP15)-1)*5 + 1), INDEX($E$8:$CE$57, MATCH($C15, $C$8:$C$57, 0), (COLUMNS($DC15:DP15)-1)*5 + 4) = "F"), INDEX($CZ$8:$CZ$23, COLUMNS($DC15:DP15)), "0"), "")</f>
        <v>0</v>
      </c>
      <c r="DQ15" s="390" t="str">
        <f t="array" ref="DQ15">IFERROR(IF(AND(INDEX($E$8:$CE$57, MATCH($C15, $C$8:$C$57, 0), (COLUMNS($DC15:DQ15)-1)*5 + 1) = INDEX($E$5:$CE$5, 1, (COLUMNS($DC15:DQ15)-1)*5 + 1), INDEX($E$8:$CE$57, MATCH($C15, $C$8:$C$57, 0), (COLUMNS($DC15:DQ15)-1)*5 + 4) = "F"), INDEX($CZ$8:$CZ$23, COLUMNS($DC15:DQ15)), "0"), "")</f>
        <v>0</v>
      </c>
      <c r="DR15" s="390" t="str">
        <f t="array" ref="DR15">IFERROR(IF(AND(INDEX($E$8:$CE$57, MATCH($C15, $C$8:$C$57, 0), (COLUMNS($DC15:DR15)-1)*5 + 1) = INDEX($E$5:$CE$5, 1, (COLUMNS($DC15:DR15)-1)*5 + 1), INDEX($E$8:$CE$57, MATCH($C15, $C$8:$C$57, 0), (COLUMNS($DC15:DR15)-1)*5 + 4) = "F"), INDEX($CZ$8:$CZ$23, COLUMNS($DC15:DR15)), "0"), "")</f>
        <v>0</v>
      </c>
      <c r="DT15" s="537" t="str">
        <f>SEMANA29[[#This Row],[COD]]</f>
        <v>COD 08</v>
      </c>
      <c r="DU15" s="390" t="str">
        <f t="array" ref="DU15">IFERROR(IF(AND(INDEX($E$8:$CE$57, MATCH($C15, $C$8:$C$57, 0), (COLUMNS($DU15:DU15)-1)*5 + 1) = INDEX($E$5:$CE$5, 1, (COLUMNS($DU15:DU15)-1)*5 + 1), INDEX($E$8:$CE$57, MATCH($C15, $C$8:$C$57, 0), (COLUMNS($DU15:DU15)-1)*5 + 4) = "SF"), INDEX($CZ$8:$CZ$23, COLUMNS($DU15:DU15)), "0"), "")</f>
        <v>0</v>
      </c>
      <c r="DV15" s="390" t="str">
        <f t="array" ref="DV15">IFERROR(IF(AND(INDEX($E$8:$CE$57, MATCH($C15, $C$8:$C$57, 0), (COLUMNS($DU15:DV15)-1)*5 + 1) = INDEX($E$5:$CE$5, 1, (COLUMNS($DU15:DV15)-1)*5 + 1), INDEX($E$8:$CE$57, MATCH($C15, $C$8:$C$57, 0), (COLUMNS($DU15:DV15)-1)*5 + 4) = "SF"), INDEX($CZ$8:$CZ$23, COLUMNS($DU15:DV15)), "0"), "")</f>
        <v>0</v>
      </c>
      <c r="DW15" s="390" t="str">
        <f t="array" ref="DW15">IFERROR(IF(AND(INDEX($E$8:$CE$57, MATCH($C15, $C$8:$C$57, 0), (COLUMNS($DU15:DW15)-1)*5 + 1) = INDEX($E$5:$CE$5, 1, (COLUMNS($DU15:DW15)-1)*5 + 1), INDEX($E$8:$CE$57, MATCH($C15, $C$8:$C$57, 0), (COLUMNS($DU15:DW15)-1)*5 + 4) = "SF"), INDEX($CZ$8:$CZ$23, COLUMNS($DU15:DW15)), "0"), "")</f>
        <v>0</v>
      </c>
      <c r="DX15" s="390" t="str">
        <f t="array" ref="DX15">IFERROR(IF(AND(INDEX($E$8:$CE$57, MATCH($C15, $C$8:$C$57, 0), (COLUMNS($DU15:DX15)-1)*5 + 1) = INDEX($E$5:$CE$5, 1, (COLUMNS($DU15:DX15)-1)*5 + 1), INDEX($E$8:$CE$57, MATCH($C15, $C$8:$C$57, 0), (COLUMNS($DU15:DX15)-1)*5 + 4) = "SF"), INDEX($CZ$8:$CZ$23, COLUMNS($DU15:DX15)), "0"), "")</f>
        <v>0</v>
      </c>
      <c r="DY15" s="390" t="str">
        <f t="array" ref="DY15">IFERROR(IF(AND(INDEX($E$8:$CE$57, MATCH($C15, $C$8:$C$57, 0), (COLUMNS($DU15:DY15)-1)*5 + 1) = INDEX($E$5:$CE$5, 1, (COLUMNS($DU15:DY15)-1)*5 + 1), INDEX($E$8:$CE$57, MATCH($C15, $C$8:$C$57, 0), (COLUMNS($DU15:DY15)-1)*5 + 4) = "SF"), INDEX($CZ$8:$CZ$23, COLUMNS($DU15:DY15)), "0"), "")</f>
        <v>0</v>
      </c>
      <c r="DZ15" s="390" t="str">
        <f t="array" ref="DZ15">IFERROR(IF(AND(INDEX($E$8:$CE$57, MATCH($C15, $C$8:$C$57, 0), (COLUMNS($DU15:DZ15)-1)*5 + 1) = INDEX($E$5:$CE$5, 1, (COLUMNS($DU15:DZ15)-1)*5 + 1), INDEX($E$8:$CE$57, MATCH($C15, $C$8:$C$57, 0), (COLUMNS($DU15:DZ15)-1)*5 + 4) = "SF"), INDEX($CZ$8:$CZ$23, COLUMNS($DU15:DZ15)), "0"), "")</f>
        <v>0</v>
      </c>
      <c r="EA15" s="390" t="str">
        <f t="array" ref="EA15">IFERROR(IF(AND(INDEX($E$8:$CE$57, MATCH($C15, $C$8:$C$57, 0), (COLUMNS($DU15:EA15)-1)*5 + 1) = INDEX($E$5:$CE$5, 1, (COLUMNS($DU15:EA15)-1)*5 + 1), INDEX($E$8:$CE$57, MATCH($C15, $C$8:$C$57, 0), (COLUMNS($DU15:EA15)-1)*5 + 4) = "SF"), INDEX($CZ$8:$CZ$23, COLUMNS($DU15:EA15)), "0"), "")</f>
        <v>0</v>
      </c>
      <c r="EB15" s="390" t="str">
        <f t="array" ref="EB15">IFERROR(IF(AND(INDEX($E$8:$CE$57, MATCH($C15, $C$8:$C$57, 0), (COLUMNS($DU15:EB15)-1)*5 + 1) = INDEX($E$5:$CE$5, 1, (COLUMNS($DU15:EB15)-1)*5 + 1), INDEX($E$8:$CE$57, MATCH($C15, $C$8:$C$57, 0), (COLUMNS($DU15:EB15)-1)*5 + 4) = "SF"), INDEX($CZ$8:$CZ$23, COLUMNS($DU15:EB15)), "0"), "")</f>
        <v>0</v>
      </c>
      <c r="EC15" s="390" t="str">
        <f t="array" ref="EC15">IFERROR(IF(AND(INDEX($E$8:$CE$57, MATCH($C15, $C$8:$C$57, 0), (COLUMNS($DU15:EC15)-1)*5 + 1) = INDEX($E$5:$CE$5, 1, (COLUMNS($DU15:EC15)-1)*5 + 1), INDEX($E$8:$CE$57, MATCH($C15, $C$8:$C$57, 0), (COLUMNS($DU15:EC15)-1)*5 + 4) = "SF"), INDEX($CZ$8:$CZ$23, COLUMNS($DU15:EC15)), "0"), "")</f>
        <v>0</v>
      </c>
      <c r="ED15" s="390" t="str">
        <f t="array" ref="ED15">IFERROR(IF(AND(INDEX($E$8:$CE$57, MATCH($C15, $C$8:$C$57, 0), (COLUMNS($DU15:ED15)-1)*5 + 1) = INDEX($E$5:$CE$5, 1, (COLUMNS($DU15:ED15)-1)*5 + 1), INDEX($E$8:$CE$57, MATCH($C15, $C$8:$C$57, 0), (COLUMNS($DU15:ED15)-1)*5 + 4) = "SF"), INDEX($CZ$8:$CZ$23, COLUMNS($DU15:ED15)), "0"), "")</f>
        <v>0</v>
      </c>
      <c r="EE15" s="390" t="str">
        <f t="array" ref="EE15">IFERROR(IF(AND(INDEX($E$8:$CE$57, MATCH($C15, $C$8:$C$57, 0), (COLUMNS($DU15:EE15)-1)*5 + 1) = INDEX($E$5:$CE$5, 1, (COLUMNS($DU15:EE15)-1)*5 + 1), INDEX($E$8:$CE$57, MATCH($C15, $C$8:$C$57, 0), (COLUMNS($DU15:EE15)-1)*5 + 4) = "SF"), INDEX($CZ$8:$CZ$23, COLUMNS($DU15:EE15)), "0"), "")</f>
        <v>0</v>
      </c>
      <c r="EF15" s="390" t="str">
        <f t="array" ref="EF15">IFERROR(IF(AND(INDEX($E$8:$CE$57, MATCH($C15, $C$8:$C$57, 0), (COLUMNS($DU15:EF15)-1)*5 + 1) = INDEX($E$5:$CE$5, 1, (COLUMNS($DU15:EF15)-1)*5 + 1), INDEX($E$8:$CE$57, MATCH($C15, $C$8:$C$57, 0), (COLUMNS($DU15:EF15)-1)*5 + 4) = "SF"), INDEX($CZ$8:$CZ$23, COLUMNS($DU15:EF15)), "0"), "")</f>
        <v>0</v>
      </c>
      <c r="EG15" s="390" t="str">
        <f t="array" ref="EG15">IFERROR(IF(AND(INDEX($E$8:$CE$57, MATCH($C15, $C$8:$C$57, 0), (COLUMNS($DU15:EG15)-1)*5 + 1) = INDEX($E$5:$CE$5, 1, (COLUMNS($DU15:EG15)-1)*5 + 1), INDEX($E$8:$CE$57, MATCH($C15, $C$8:$C$57, 0), (COLUMNS($DU15:EG15)-1)*5 + 4) = "SF"), INDEX($CZ$8:$CZ$23, COLUMNS($DU15:EG15)), "0"), "")</f>
        <v>0</v>
      </c>
      <c r="EH15" s="390" t="str">
        <f t="array" ref="EH15">IFERROR(IF(AND(INDEX($E$8:$CE$57, MATCH($C15, $C$8:$C$57, 0), (COLUMNS($DU15:EH15)-1)*5 + 1) = INDEX($E$5:$CE$5, 1, (COLUMNS($DU15:EH15)-1)*5 + 1), INDEX($E$8:$CE$57, MATCH($C15, $C$8:$C$57, 0), (COLUMNS($DU15:EH15)-1)*5 + 4) = "SF"), INDEX($CZ$8:$CZ$23, COLUMNS($DU15:EH15)), "0"), "")</f>
        <v>0</v>
      </c>
      <c r="EI15" s="390" t="str">
        <f t="array" ref="EI15">IFERROR(IF(AND(INDEX($E$8:$CE$57, MATCH($C15, $C$8:$C$57, 0), (COLUMNS($DU15:EI15)-1)*5 + 1) = INDEX($E$5:$CE$5, 1, (COLUMNS($DU15:EI15)-1)*5 + 1), INDEX($E$8:$CE$57, MATCH($C15, $C$8:$C$57, 0), (COLUMNS($DU15:EI15)-1)*5 + 4) = "SF"), INDEX($CZ$8:$CZ$23, COLUMNS($DU15:EI15)), "0"), "")</f>
        <v>0</v>
      </c>
      <c r="EJ15" s="390" t="str">
        <f t="array" ref="EJ15">IFERROR(IF(AND(INDEX($E$8:$CE$57, MATCH($C15, $C$8:$C$57, 0), (COLUMNS($DU15:EJ15)-1)*5 + 1) = INDEX($E$5:$CE$5, 1, (COLUMNS($DU15:EJ15)-1)*5 + 1), INDEX($E$8:$CE$57, MATCH($C15, $C$8:$C$57, 0), (COLUMNS($DU15:EJ15)-1)*5 + 4) = "SF"), INDEX($CZ$8:$CZ$23, COLUMNS($DU15:EJ15)), "0"), "")</f>
        <v>0</v>
      </c>
    </row>
    <row r="16" spans="1:140" ht="20.100000000000001" customHeight="1" x14ac:dyDescent="0.35">
      <c r="A16" s="515"/>
      <c r="B16" s="444">
        <f>IF(SEMANA29[[#This Row],[COD]]&lt;&gt;"",B15+1,"")</f>
        <v>9</v>
      </c>
      <c r="C16" s="554" t="s">
        <v>49</v>
      </c>
      <c r="D16" s="410" t="str">
        <f t="array" ref="D16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16" s="414"/>
      <c r="F16" s="416"/>
      <c r="G16" s="415"/>
      <c r="H16" s="416"/>
      <c r="I16" s="534">
        <f t="shared" si="0"/>
        <v>0</v>
      </c>
      <c r="J16" s="414"/>
      <c r="K16" s="416"/>
      <c r="L16" s="415"/>
      <c r="M16" s="416"/>
      <c r="N16" s="534">
        <f t="shared" si="1"/>
        <v>0</v>
      </c>
      <c r="O16" s="414"/>
      <c r="P16" s="416"/>
      <c r="Q16" s="415"/>
      <c r="R16" s="416"/>
      <c r="S16" s="534">
        <f t="shared" si="2"/>
        <v>0</v>
      </c>
      <c r="T16" s="414"/>
      <c r="U16" s="416"/>
      <c r="V16" s="415"/>
      <c r="W16" s="416"/>
      <c r="X16" s="534">
        <f t="shared" si="3"/>
        <v>0</v>
      </c>
      <c r="Y16" s="414"/>
      <c r="Z16" s="416"/>
      <c r="AA16" s="415"/>
      <c r="AB16" s="416"/>
      <c r="AC16" s="534">
        <f t="shared" si="4"/>
        <v>0</v>
      </c>
      <c r="AD16" s="414"/>
      <c r="AE16" s="416"/>
      <c r="AF16" s="415"/>
      <c r="AG16" s="416"/>
      <c r="AH16" s="534">
        <f t="shared" si="5"/>
        <v>0</v>
      </c>
      <c r="AI16" s="414"/>
      <c r="AJ16" s="416"/>
      <c r="AK16" s="415"/>
      <c r="AL16" s="416"/>
      <c r="AM16" s="534">
        <f t="shared" si="6"/>
        <v>0</v>
      </c>
      <c r="AN16" s="414"/>
      <c r="AO16" s="416"/>
      <c r="AP16" s="415"/>
      <c r="AQ16" s="416"/>
      <c r="AR16" s="534">
        <f t="shared" si="7"/>
        <v>0</v>
      </c>
      <c r="AS16" s="414"/>
      <c r="AT16" s="416"/>
      <c r="AU16" s="415"/>
      <c r="AV16" s="416"/>
      <c r="AW16" s="534">
        <f t="shared" si="8"/>
        <v>0</v>
      </c>
      <c r="AX16" s="414"/>
      <c r="AY16" s="416"/>
      <c r="AZ16" s="415"/>
      <c r="BA16" s="416"/>
      <c r="BB16" s="534">
        <f t="shared" si="9"/>
        <v>0</v>
      </c>
      <c r="BC16" s="414"/>
      <c r="BD16" s="416"/>
      <c r="BE16" s="415"/>
      <c r="BF16" s="416"/>
      <c r="BG16" s="534">
        <f t="shared" si="10"/>
        <v>0</v>
      </c>
      <c r="BH16" s="414"/>
      <c r="BI16" s="416"/>
      <c r="BJ16" s="415"/>
      <c r="BK16" s="416"/>
      <c r="BL16" s="534">
        <f t="shared" si="11"/>
        <v>0</v>
      </c>
      <c r="BM16" s="414"/>
      <c r="BN16" s="416"/>
      <c r="BO16" s="415"/>
      <c r="BP16" s="416"/>
      <c r="BQ16" s="534">
        <f t="shared" si="12"/>
        <v>0</v>
      </c>
      <c r="BR16" s="414"/>
      <c r="BS16" s="416"/>
      <c r="BT16" s="415"/>
      <c r="BU16" s="416"/>
      <c r="BV16" s="534">
        <f t="shared" si="13"/>
        <v>0</v>
      </c>
      <c r="BW16" s="414"/>
      <c r="BX16" s="416"/>
      <c r="BY16" s="415"/>
      <c r="BZ16" s="416"/>
      <c r="CA16" s="534">
        <f t="shared" si="14"/>
        <v>0</v>
      </c>
      <c r="CB16" s="414"/>
      <c r="CC16" s="416"/>
      <c r="CD16" s="415"/>
      <c r="CE16" s="416"/>
      <c r="CF16" s="534">
        <f t="shared" si="15"/>
        <v>0</v>
      </c>
      <c r="CG16" s="162">
        <f>IF(SEMANA29[[#This Row],[1]]="",0,$B$4)</f>
        <v>0</v>
      </c>
      <c r="CH16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16" s="164">
        <f>IF(SEMANA29[[#This Row],[Columna14]]=0,0,(CH16/CG16))</f>
        <v>0</v>
      </c>
      <c r="CJ16" s="163">
        <f>IF(SEMANA29[[#This Row],[1]]="",0,$B$4)</f>
        <v>0</v>
      </c>
      <c r="CK16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16" s="164">
        <f>IF(SEMANA29[[#This Row],[Columna14]]=0,0,(CK16/CJ16))</f>
        <v>0</v>
      </c>
      <c r="CM16" s="162">
        <f>IF(SEMANA29[[#This Row],[1]]="",0,$B$4)</f>
        <v>0</v>
      </c>
      <c r="CN16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16" s="164">
        <f>IF(SEMANA29[[#This Row],[Columna14]]=0,0,(CN16/CM16))</f>
        <v>0</v>
      </c>
      <c r="CP16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16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Row],[Columna25]],$AX$5,BA16,"SF")+COUNTIFS(SEMANA29[[#This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16" s="164">
        <f>IFERROR(IF(SEMANA29[[#This Row],[Columna14]]=0,0,(CQ16/CP16)),0)</f>
        <v>0</v>
      </c>
      <c r="CS16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16" s="93">
        <f>_xlfn.XLOOKUP(SEMANA29[[#This Row],[COD]],SEMANA2[COD],SEMANA2[Columna33])</f>
        <v>70.5</v>
      </c>
      <c r="CU16" s="536">
        <f t="shared" si="16"/>
        <v>70.5</v>
      </c>
      <c r="CV16" s="445" t="str">
        <f>IF(SEMANA29[[#This Row],[TIPO]]="PREMIO",$O$3,"0,00")</f>
        <v>0,00</v>
      </c>
      <c r="CW16" s="515"/>
      <c r="CY16" s="388">
        <v>9</v>
      </c>
      <c r="CZ16" s="349">
        <f>AT$6</f>
        <v>0</v>
      </c>
      <c r="DB16" s="537" t="str">
        <f>SEMANA29[[#This Row],[COD]]</f>
        <v>COD 09</v>
      </c>
      <c r="DC16" s="390" t="str">
        <f t="array" ref="DC16">IFERROR(IF(AND(INDEX($E$8:$CE$57, MATCH($C16, $C$8:$C$57, 0), (COLUMNS($DC16:DC16)-1)*5 + 1) = INDEX($E$5:$CE$5, 1, (COLUMNS($DC16:DC16)-1)*5 + 1), INDEX($E$8:$CE$57, MATCH($C16, $C$8:$C$57, 0), (COLUMNS($DC16:DC16)-1)*5 + 4) = "F"), INDEX($CZ$8:$CZ$23, COLUMNS($DC16:DC16)), "0"), "")</f>
        <v>0</v>
      </c>
      <c r="DD16" s="390" t="str">
        <f t="array" ref="DD16">IFERROR(IF(AND(INDEX($E$8:$CE$57, MATCH($C16, $C$8:$C$57, 0), (COLUMNS($DC16:DD16)-1)*5 + 1) = INDEX($E$5:$CE$5, 1, (COLUMNS($DC16:DD16)-1)*5 + 1), INDEX($E$8:$CE$57, MATCH($C16, $C$8:$C$57, 0), (COLUMNS($DC16:DD16)-1)*5 + 4) = "F"), INDEX($CZ$8:$CZ$23, COLUMNS($DC16:DD16)), "0"), "")</f>
        <v>0</v>
      </c>
      <c r="DE16" s="390" t="str">
        <f t="array" ref="DE16">IFERROR(IF(AND(INDEX($E$8:$CE$57, MATCH($C16, $C$8:$C$57, 0), (COLUMNS($DC16:DE16)-1)*5 + 1) = INDEX($E$5:$CE$5, 1, (COLUMNS($DC16:DE16)-1)*5 + 1), INDEX($E$8:$CE$57, MATCH($C16, $C$8:$C$57, 0), (COLUMNS($DC16:DE16)-1)*5 + 4) = "F"), INDEX($CZ$8:$CZ$23, COLUMNS($DC16:DE16)), "0"), "")</f>
        <v>0</v>
      </c>
      <c r="DF16" s="390" t="str">
        <f t="array" ref="DF16">IFERROR(IF(AND(INDEX($E$8:$CE$57, MATCH($C16, $C$8:$C$57, 0), (COLUMNS($DC16:DF16)-1)*5 + 1) = INDEX($E$5:$CE$5, 1, (COLUMNS($DC16:DF16)-1)*5 + 1), INDEX($E$8:$CE$57, MATCH($C16, $C$8:$C$57, 0), (COLUMNS($DC16:DF16)-1)*5 + 4) = "F"), INDEX($CZ$8:$CZ$23, COLUMNS($DC16:DF16)), "0"), "")</f>
        <v>0</v>
      </c>
      <c r="DG16" s="390" t="str">
        <f t="array" ref="DG16">IFERROR(IF(AND(INDEX($E$8:$CE$57, MATCH($C16, $C$8:$C$57, 0), (COLUMNS($DC16:DG16)-1)*5 + 1) = INDEX($E$5:$CE$5, 1, (COLUMNS($DC16:DG16)-1)*5 + 1), INDEX($E$8:$CE$57, MATCH($C16, $C$8:$C$57, 0), (COLUMNS($DC16:DG16)-1)*5 + 4) = "F"), INDEX($CZ$8:$CZ$23, COLUMNS($DC16:DG16)), "0"), "")</f>
        <v>0</v>
      </c>
      <c r="DH16" s="390" t="str">
        <f t="array" ref="DH16">IFERROR(IF(AND(INDEX($E$8:$CE$57, MATCH($C16, $C$8:$C$57, 0), (COLUMNS($DC16:DH16)-1)*5 + 1) = INDEX($E$5:$CE$5, 1, (COLUMNS($DC16:DH16)-1)*5 + 1), INDEX($E$8:$CE$57, MATCH($C16, $C$8:$C$57, 0), (COLUMNS($DC16:DH16)-1)*5 + 4) = "F"), INDEX($CZ$8:$CZ$23, COLUMNS($DC16:DH16)), "0"), "")</f>
        <v>0</v>
      </c>
      <c r="DI16" s="390" t="str">
        <f t="array" ref="DI16">IFERROR(IF(AND(INDEX($E$8:$CE$57, MATCH($C16, $C$8:$C$57, 0), (COLUMNS($DC16:DI16)-1)*5 + 1) = INDEX($E$5:$CE$5, 1, (COLUMNS($DC16:DI16)-1)*5 + 1), INDEX($E$8:$CE$57, MATCH($C16, $C$8:$C$57, 0), (COLUMNS($DC16:DI16)-1)*5 + 4) = "F"), INDEX($CZ$8:$CZ$23, COLUMNS($DC16:DI16)), "0"), "")</f>
        <v>0</v>
      </c>
      <c r="DJ16" s="390" t="str">
        <f t="array" ref="DJ16">IFERROR(IF(AND(INDEX($E$8:$CE$57, MATCH($C16, $C$8:$C$57, 0), (COLUMNS($DC16:DJ16)-1)*5 + 1) = INDEX($E$5:$CE$5, 1, (COLUMNS($DC16:DJ16)-1)*5 + 1), INDEX($E$8:$CE$57, MATCH($C16, $C$8:$C$57, 0), (COLUMNS($DC16:DJ16)-1)*5 + 4) = "F"), INDEX($CZ$8:$CZ$23, COLUMNS($DC16:DJ16)), "0"), "")</f>
        <v>0</v>
      </c>
      <c r="DK16" s="390" t="str">
        <f t="array" ref="DK16">IFERROR(IF(AND(INDEX($E$8:$CE$57, MATCH($C16, $C$8:$C$57, 0), (COLUMNS($DC16:DK16)-1)*5 + 1) = INDEX($E$5:$CE$5, 1, (COLUMNS($DC16:DK16)-1)*5 + 1), INDEX($E$8:$CE$57, MATCH($C16, $C$8:$C$57, 0), (COLUMNS($DC16:DK16)-1)*5 + 4) = "F"), INDEX($CZ$8:$CZ$23, COLUMNS($DC16:DK16)), "0"), "")</f>
        <v>0</v>
      </c>
      <c r="DL16" s="390" t="str">
        <f t="array" ref="DL16">IFERROR(IF(AND(INDEX($E$8:$CE$57, MATCH($C16, $C$8:$C$57, 0), (COLUMNS($DC16:DL16)-1)*5 + 1) = INDEX($E$5:$CE$5, 1, (COLUMNS($DC16:DL16)-1)*5 + 1), INDEX($E$8:$CE$57, MATCH($C16, $C$8:$C$57, 0), (COLUMNS($DC16:DL16)-1)*5 + 4) = "F"), INDEX($CZ$8:$CZ$23, COLUMNS($DC16:DL16)), "0"), "")</f>
        <v>0</v>
      </c>
      <c r="DM16" s="390" t="str">
        <f t="array" ref="DM16">IFERROR(IF(AND(INDEX($E$8:$CE$57, MATCH($C16, $C$8:$C$57, 0), (COLUMNS($DC16:DM16)-1)*5 + 1) = INDEX($E$5:$CE$5, 1, (COLUMNS($DC16:DM16)-1)*5 + 1), INDEX($E$8:$CE$57, MATCH($C16, $C$8:$C$57, 0), (COLUMNS($DC16:DM16)-1)*5 + 4) = "F"), INDEX($CZ$8:$CZ$23, COLUMNS($DC16:DM16)), "0"), "")</f>
        <v>0</v>
      </c>
      <c r="DN16" s="390" t="str">
        <f t="array" ref="DN16">IFERROR(IF(AND(INDEX($E$8:$CE$57, MATCH($C16, $C$8:$C$57, 0), (COLUMNS($DC16:DN16)-1)*5 + 1) = INDEX($E$5:$CE$5, 1, (COLUMNS($DC16:DN16)-1)*5 + 1), INDEX($E$8:$CE$57, MATCH($C16, $C$8:$C$57, 0), (COLUMNS($DC16:DN16)-1)*5 + 4) = "F"), INDEX($CZ$8:$CZ$23, COLUMNS($DC16:DN16)), "0"), "")</f>
        <v>0</v>
      </c>
      <c r="DO16" s="390" t="str">
        <f t="array" ref="DO16">IFERROR(IF(AND(INDEX($E$8:$CE$57, MATCH($C16, $C$8:$C$57, 0), (COLUMNS($DC16:DO16)-1)*5 + 1) = INDEX($E$5:$CE$5, 1, (COLUMNS($DC16:DO16)-1)*5 + 1), INDEX($E$8:$CE$57, MATCH($C16, $C$8:$C$57, 0), (COLUMNS($DC16:DO16)-1)*5 + 4) = "F"), INDEX($CZ$8:$CZ$23, COLUMNS($DC16:DO16)), "0"), "")</f>
        <v>0</v>
      </c>
      <c r="DP16" s="390" t="str">
        <f t="array" ref="DP16">IFERROR(IF(AND(INDEX($E$8:$CE$57, MATCH($C16, $C$8:$C$57, 0), (COLUMNS($DC16:DP16)-1)*5 + 1) = INDEX($E$5:$CE$5, 1, (COLUMNS($DC16:DP16)-1)*5 + 1), INDEX($E$8:$CE$57, MATCH($C16, $C$8:$C$57, 0), (COLUMNS($DC16:DP16)-1)*5 + 4) = "F"), INDEX($CZ$8:$CZ$23, COLUMNS($DC16:DP16)), "0"), "")</f>
        <v>0</v>
      </c>
      <c r="DQ16" s="390" t="str">
        <f t="array" ref="DQ16">IFERROR(IF(AND(INDEX($E$8:$CE$57, MATCH($C16, $C$8:$C$57, 0), (COLUMNS($DC16:DQ16)-1)*5 + 1) = INDEX($E$5:$CE$5, 1, (COLUMNS($DC16:DQ16)-1)*5 + 1), INDEX($E$8:$CE$57, MATCH($C16, $C$8:$C$57, 0), (COLUMNS($DC16:DQ16)-1)*5 + 4) = "F"), INDEX($CZ$8:$CZ$23, COLUMNS($DC16:DQ16)), "0"), "")</f>
        <v>0</v>
      </c>
      <c r="DR16" s="390" t="str">
        <f t="array" ref="DR16">IFERROR(IF(AND(INDEX($E$8:$CE$57, MATCH($C16, $C$8:$C$57, 0), (COLUMNS($DC16:DR16)-1)*5 + 1) = INDEX($E$5:$CE$5, 1, (COLUMNS($DC16:DR16)-1)*5 + 1), INDEX($E$8:$CE$57, MATCH($C16, $C$8:$C$57, 0), (COLUMNS($DC16:DR16)-1)*5 + 4) = "F"), INDEX($CZ$8:$CZ$23, COLUMNS($DC16:DR16)), "0"), "")</f>
        <v>0</v>
      </c>
      <c r="DT16" s="537" t="str">
        <f>SEMANA29[[#This Row],[COD]]</f>
        <v>COD 09</v>
      </c>
      <c r="DU16" s="390" t="str">
        <f t="array" ref="DU16">IFERROR(IF(AND(INDEX($E$8:$CE$57, MATCH($C16, $C$8:$C$57, 0), (COLUMNS($DU16:DU16)-1)*5 + 1) = INDEX($E$5:$CE$5, 1, (COLUMNS($DU16:DU16)-1)*5 + 1), INDEX($E$8:$CE$57, MATCH($C16, $C$8:$C$57, 0), (COLUMNS($DU16:DU16)-1)*5 + 4) = "SF"), INDEX($CZ$8:$CZ$23, COLUMNS($DU16:DU16)), "0"), "")</f>
        <v>0</v>
      </c>
      <c r="DV16" s="390" t="str">
        <f t="array" ref="DV16">IFERROR(IF(AND(INDEX($E$8:$CE$57, MATCH($C16, $C$8:$C$57, 0), (COLUMNS($DU16:DV16)-1)*5 + 1) = INDEX($E$5:$CE$5, 1, (COLUMNS($DU16:DV16)-1)*5 + 1), INDEX($E$8:$CE$57, MATCH($C16, $C$8:$C$57, 0), (COLUMNS($DU16:DV16)-1)*5 + 4) = "SF"), INDEX($CZ$8:$CZ$23, COLUMNS($DU16:DV16)), "0"), "")</f>
        <v>0</v>
      </c>
      <c r="DW16" s="390" t="str">
        <f t="array" ref="DW16">IFERROR(IF(AND(INDEX($E$8:$CE$57, MATCH($C16, $C$8:$C$57, 0), (COLUMNS($DU16:DW16)-1)*5 + 1) = INDEX($E$5:$CE$5, 1, (COLUMNS($DU16:DW16)-1)*5 + 1), INDEX($E$8:$CE$57, MATCH($C16, $C$8:$C$57, 0), (COLUMNS($DU16:DW16)-1)*5 + 4) = "SF"), INDEX($CZ$8:$CZ$23, COLUMNS($DU16:DW16)), "0"), "")</f>
        <v>0</v>
      </c>
      <c r="DX16" s="390" t="str">
        <f t="array" ref="DX16">IFERROR(IF(AND(INDEX($E$8:$CE$57, MATCH($C16, $C$8:$C$57, 0), (COLUMNS($DU16:DX16)-1)*5 + 1) = INDEX($E$5:$CE$5, 1, (COLUMNS($DU16:DX16)-1)*5 + 1), INDEX($E$8:$CE$57, MATCH($C16, $C$8:$C$57, 0), (COLUMNS($DU16:DX16)-1)*5 + 4) = "SF"), INDEX($CZ$8:$CZ$23, COLUMNS($DU16:DX16)), "0"), "")</f>
        <v>0</v>
      </c>
      <c r="DY16" s="390" t="str">
        <f t="array" ref="DY16">IFERROR(IF(AND(INDEX($E$8:$CE$57, MATCH($C16, $C$8:$C$57, 0), (COLUMNS($DU16:DY16)-1)*5 + 1) = INDEX($E$5:$CE$5, 1, (COLUMNS($DU16:DY16)-1)*5 + 1), INDEX($E$8:$CE$57, MATCH($C16, $C$8:$C$57, 0), (COLUMNS($DU16:DY16)-1)*5 + 4) = "SF"), INDEX($CZ$8:$CZ$23, COLUMNS($DU16:DY16)), "0"), "")</f>
        <v>0</v>
      </c>
      <c r="DZ16" s="390" t="str">
        <f t="array" ref="DZ16">IFERROR(IF(AND(INDEX($E$8:$CE$57, MATCH($C16, $C$8:$C$57, 0), (COLUMNS($DU16:DZ16)-1)*5 + 1) = INDEX($E$5:$CE$5, 1, (COLUMNS($DU16:DZ16)-1)*5 + 1), INDEX($E$8:$CE$57, MATCH($C16, $C$8:$C$57, 0), (COLUMNS($DU16:DZ16)-1)*5 + 4) = "SF"), INDEX($CZ$8:$CZ$23, COLUMNS($DU16:DZ16)), "0"), "")</f>
        <v>0</v>
      </c>
      <c r="EA16" s="390" t="str">
        <f t="array" ref="EA16">IFERROR(IF(AND(INDEX($E$8:$CE$57, MATCH($C16, $C$8:$C$57, 0), (COLUMNS($DU16:EA16)-1)*5 + 1) = INDEX($E$5:$CE$5, 1, (COLUMNS($DU16:EA16)-1)*5 + 1), INDEX($E$8:$CE$57, MATCH($C16, $C$8:$C$57, 0), (COLUMNS($DU16:EA16)-1)*5 + 4) = "SF"), INDEX($CZ$8:$CZ$23, COLUMNS($DU16:EA16)), "0"), "")</f>
        <v>0</v>
      </c>
      <c r="EB16" s="390" t="str">
        <f t="array" ref="EB16">IFERROR(IF(AND(INDEX($E$8:$CE$57, MATCH($C16, $C$8:$C$57, 0), (COLUMNS($DU16:EB16)-1)*5 + 1) = INDEX($E$5:$CE$5, 1, (COLUMNS($DU16:EB16)-1)*5 + 1), INDEX($E$8:$CE$57, MATCH($C16, $C$8:$C$57, 0), (COLUMNS($DU16:EB16)-1)*5 + 4) = "SF"), INDEX($CZ$8:$CZ$23, COLUMNS($DU16:EB16)), "0"), "")</f>
        <v>0</v>
      </c>
      <c r="EC16" s="390" t="str">
        <f t="array" ref="EC16">IFERROR(IF(AND(INDEX($E$8:$CE$57, MATCH($C16, $C$8:$C$57, 0), (COLUMNS($DU16:EC16)-1)*5 + 1) = INDEX($E$5:$CE$5, 1, (COLUMNS($DU16:EC16)-1)*5 + 1), INDEX($E$8:$CE$57, MATCH($C16, $C$8:$C$57, 0), (COLUMNS($DU16:EC16)-1)*5 + 4) = "SF"), INDEX($CZ$8:$CZ$23, COLUMNS($DU16:EC16)), "0"), "")</f>
        <v>0</v>
      </c>
      <c r="ED16" s="390" t="str">
        <f t="array" ref="ED16">IFERROR(IF(AND(INDEX($E$8:$CE$57, MATCH($C16, $C$8:$C$57, 0), (COLUMNS($DU16:ED16)-1)*5 + 1) = INDEX($E$5:$CE$5, 1, (COLUMNS($DU16:ED16)-1)*5 + 1), INDEX($E$8:$CE$57, MATCH($C16, $C$8:$C$57, 0), (COLUMNS($DU16:ED16)-1)*5 + 4) = "SF"), INDEX($CZ$8:$CZ$23, COLUMNS($DU16:ED16)), "0"), "")</f>
        <v>0</v>
      </c>
      <c r="EE16" s="390" t="str">
        <f t="array" ref="EE16">IFERROR(IF(AND(INDEX($E$8:$CE$57, MATCH($C16, $C$8:$C$57, 0), (COLUMNS($DU16:EE16)-1)*5 + 1) = INDEX($E$5:$CE$5, 1, (COLUMNS($DU16:EE16)-1)*5 + 1), INDEX($E$8:$CE$57, MATCH($C16, $C$8:$C$57, 0), (COLUMNS($DU16:EE16)-1)*5 + 4) = "SF"), INDEX($CZ$8:$CZ$23, COLUMNS($DU16:EE16)), "0"), "")</f>
        <v>0</v>
      </c>
      <c r="EF16" s="390" t="str">
        <f t="array" ref="EF16">IFERROR(IF(AND(INDEX($E$8:$CE$57, MATCH($C16, $C$8:$C$57, 0), (COLUMNS($DU16:EF16)-1)*5 + 1) = INDEX($E$5:$CE$5, 1, (COLUMNS($DU16:EF16)-1)*5 + 1), INDEX($E$8:$CE$57, MATCH($C16, $C$8:$C$57, 0), (COLUMNS($DU16:EF16)-1)*5 + 4) = "SF"), INDEX($CZ$8:$CZ$23, COLUMNS($DU16:EF16)), "0"), "")</f>
        <v>0</v>
      </c>
      <c r="EG16" s="390" t="str">
        <f t="array" ref="EG16">IFERROR(IF(AND(INDEX($E$8:$CE$57, MATCH($C16, $C$8:$C$57, 0), (COLUMNS($DU16:EG16)-1)*5 + 1) = INDEX($E$5:$CE$5, 1, (COLUMNS($DU16:EG16)-1)*5 + 1), INDEX($E$8:$CE$57, MATCH($C16, $C$8:$C$57, 0), (COLUMNS($DU16:EG16)-1)*5 + 4) = "SF"), INDEX($CZ$8:$CZ$23, COLUMNS($DU16:EG16)), "0"), "")</f>
        <v>0</v>
      </c>
      <c r="EH16" s="390" t="str">
        <f t="array" ref="EH16">IFERROR(IF(AND(INDEX($E$8:$CE$57, MATCH($C16, $C$8:$C$57, 0), (COLUMNS($DU16:EH16)-1)*5 + 1) = INDEX($E$5:$CE$5, 1, (COLUMNS($DU16:EH16)-1)*5 + 1), INDEX($E$8:$CE$57, MATCH($C16, $C$8:$C$57, 0), (COLUMNS($DU16:EH16)-1)*5 + 4) = "SF"), INDEX($CZ$8:$CZ$23, COLUMNS($DU16:EH16)), "0"), "")</f>
        <v>0</v>
      </c>
      <c r="EI16" s="390" t="str">
        <f t="array" ref="EI16">IFERROR(IF(AND(INDEX($E$8:$CE$57, MATCH($C16, $C$8:$C$57, 0), (COLUMNS($DU16:EI16)-1)*5 + 1) = INDEX($E$5:$CE$5, 1, (COLUMNS($DU16:EI16)-1)*5 + 1), INDEX($E$8:$CE$57, MATCH($C16, $C$8:$C$57, 0), (COLUMNS($DU16:EI16)-1)*5 + 4) = "SF"), INDEX($CZ$8:$CZ$23, COLUMNS($DU16:EI16)), "0"), "")</f>
        <v>0</v>
      </c>
      <c r="EJ16" s="390" t="str">
        <f t="array" ref="EJ16">IFERROR(IF(AND(INDEX($E$8:$CE$57, MATCH($C16, $C$8:$C$57, 0), (COLUMNS($DU16:EJ16)-1)*5 + 1) = INDEX($E$5:$CE$5, 1, (COLUMNS($DU16:EJ16)-1)*5 + 1), INDEX($E$8:$CE$57, MATCH($C16, $C$8:$C$57, 0), (COLUMNS($DU16:EJ16)-1)*5 + 4) = "SF"), INDEX($CZ$8:$CZ$23, COLUMNS($DU16:EJ16)), "0"), "")</f>
        <v>0</v>
      </c>
    </row>
    <row r="17" spans="1:140" ht="20.100000000000001" customHeight="1" x14ac:dyDescent="0.35">
      <c r="A17" s="515"/>
      <c r="B17" s="444">
        <f>IF(SEMANA29[[#This Row],[COD]]&lt;&gt;"",B16+1,"")</f>
        <v>10</v>
      </c>
      <c r="C17" s="554" t="s">
        <v>51</v>
      </c>
      <c r="D17" s="410" t="str">
        <f t="array" ref="D17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PREMIO</v>
      </c>
      <c r="E17" s="414"/>
      <c r="F17" s="416"/>
      <c r="G17" s="415"/>
      <c r="H17" s="411"/>
      <c r="I17" s="534">
        <f t="shared" si="0"/>
        <v>0</v>
      </c>
      <c r="J17" s="414"/>
      <c r="K17" s="416"/>
      <c r="L17" s="415"/>
      <c r="M17" s="411"/>
      <c r="N17" s="534">
        <f t="shared" si="1"/>
        <v>0</v>
      </c>
      <c r="O17" s="414"/>
      <c r="P17" s="416"/>
      <c r="Q17" s="415"/>
      <c r="R17" s="411"/>
      <c r="S17" s="534">
        <f t="shared" si="2"/>
        <v>0</v>
      </c>
      <c r="T17" s="414"/>
      <c r="U17" s="416"/>
      <c r="V17" s="415"/>
      <c r="W17" s="411"/>
      <c r="X17" s="534">
        <f t="shared" si="3"/>
        <v>0</v>
      </c>
      <c r="Y17" s="414"/>
      <c r="Z17" s="416"/>
      <c r="AA17" s="415"/>
      <c r="AB17" s="411"/>
      <c r="AC17" s="534">
        <f t="shared" si="4"/>
        <v>0</v>
      </c>
      <c r="AD17" s="414"/>
      <c r="AE17" s="416"/>
      <c r="AF17" s="415"/>
      <c r="AG17" s="411"/>
      <c r="AH17" s="534">
        <f t="shared" si="5"/>
        <v>0</v>
      </c>
      <c r="AI17" s="414"/>
      <c r="AJ17" s="416"/>
      <c r="AK17" s="415"/>
      <c r="AL17" s="411"/>
      <c r="AM17" s="534">
        <f t="shared" si="6"/>
        <v>0</v>
      </c>
      <c r="AN17" s="414"/>
      <c r="AO17" s="416"/>
      <c r="AP17" s="415"/>
      <c r="AQ17" s="411"/>
      <c r="AR17" s="534">
        <f t="shared" si="7"/>
        <v>0</v>
      </c>
      <c r="AS17" s="414"/>
      <c r="AT17" s="416"/>
      <c r="AU17" s="415"/>
      <c r="AV17" s="411"/>
      <c r="AW17" s="534">
        <f t="shared" si="8"/>
        <v>0</v>
      </c>
      <c r="AX17" s="414"/>
      <c r="AY17" s="416"/>
      <c r="AZ17" s="415"/>
      <c r="BA17" s="411"/>
      <c r="BB17" s="534">
        <f t="shared" si="9"/>
        <v>0</v>
      </c>
      <c r="BC17" s="414"/>
      <c r="BD17" s="416"/>
      <c r="BE17" s="415"/>
      <c r="BF17" s="411"/>
      <c r="BG17" s="534">
        <f t="shared" si="10"/>
        <v>0</v>
      </c>
      <c r="BH17" s="414"/>
      <c r="BI17" s="416"/>
      <c r="BJ17" s="415"/>
      <c r="BK17" s="411"/>
      <c r="BL17" s="534">
        <f t="shared" si="11"/>
        <v>0</v>
      </c>
      <c r="BM17" s="414"/>
      <c r="BN17" s="416"/>
      <c r="BO17" s="415"/>
      <c r="BP17" s="411"/>
      <c r="BQ17" s="534">
        <f t="shared" si="12"/>
        <v>0</v>
      </c>
      <c r="BR17" s="414"/>
      <c r="BS17" s="416"/>
      <c r="BT17" s="415"/>
      <c r="BU17" s="411"/>
      <c r="BV17" s="534">
        <f t="shared" si="13"/>
        <v>0</v>
      </c>
      <c r="BW17" s="414"/>
      <c r="BX17" s="416"/>
      <c r="BY17" s="415"/>
      <c r="BZ17" s="411"/>
      <c r="CA17" s="534">
        <f t="shared" si="14"/>
        <v>0</v>
      </c>
      <c r="CB17" s="414"/>
      <c r="CC17" s="416"/>
      <c r="CD17" s="415"/>
      <c r="CE17" s="411"/>
      <c r="CF17" s="534">
        <f t="shared" si="15"/>
        <v>0</v>
      </c>
      <c r="CG17" s="162">
        <f>IF(SEMANA29[[#This Row],[1]]="",0,$B$4)</f>
        <v>0</v>
      </c>
      <c r="CH17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17" s="164">
        <f>IF(SEMANA29[[#This Row],[Columna14]]=0,0,(CH17/CG17))</f>
        <v>0</v>
      </c>
      <c r="CJ17" s="163">
        <f>IF(SEMANA29[[#This Row],[1]]="",0,$B$4)</f>
        <v>0</v>
      </c>
      <c r="CK17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17" s="164">
        <f>IF(SEMANA29[[#This Row],[Columna14]]=0,0,(CK17/CJ17))</f>
        <v>0</v>
      </c>
      <c r="CM17" s="162">
        <f>IF(SEMANA29[[#This Row],[1]]="",0,$B$4)</f>
        <v>0</v>
      </c>
      <c r="CN17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17" s="164">
        <f>IF(SEMANA29[[#This Row],[Columna14]]=0,0,(CN17/CM17))</f>
        <v>0</v>
      </c>
      <c r="CP17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17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Row],[Columna25]],$AX$5,BA17,"SF")+COUNTIFS(SEMANA29[[#This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17" s="164">
        <f>IFERROR(IF(SEMANA29[[#This Row],[Columna14]]=0,0,(CQ17/CP17)),0)</f>
        <v>0</v>
      </c>
      <c r="CS17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17" s="93">
        <f>_xlfn.XLOOKUP(SEMANA29[[#This Row],[COD]],SEMANA2[COD],SEMANA2[Columna33])</f>
        <v>74.5</v>
      </c>
      <c r="CU17" s="536">
        <f t="shared" si="16"/>
        <v>74.5</v>
      </c>
      <c r="CV17" s="445">
        <f>IF(SEMANA29[[#This Row],[TIPO]]="PREMIO",$O$3,"0,00")</f>
        <v>1000</v>
      </c>
      <c r="CW17" s="515"/>
      <c r="CY17" s="388">
        <v>10</v>
      </c>
      <c r="CZ17" s="349">
        <f>$AY$6</f>
        <v>0</v>
      </c>
      <c r="DB17" s="537" t="str">
        <f>SEMANA29[[#This Row],[COD]]</f>
        <v>COD 10</v>
      </c>
      <c r="DC17" s="390" t="str">
        <f t="array" ref="DC17">IFERROR(IF(AND(INDEX($E$8:$CE$57, MATCH($C17, $C$8:$C$57, 0), (COLUMNS($DC17:DC17)-1)*5 + 1) = INDEX($E$5:$CE$5, 1, (COLUMNS($DC17:DC17)-1)*5 + 1), INDEX($E$8:$CE$57, MATCH($C17, $C$8:$C$57, 0), (COLUMNS($DC17:DC17)-1)*5 + 4) = "F"), INDEX($CZ$8:$CZ$23, COLUMNS($DC17:DC17)), "0"), "")</f>
        <v>0</v>
      </c>
      <c r="DD17" s="390" t="str">
        <f t="array" ref="DD17">IFERROR(IF(AND(INDEX($E$8:$CE$57, MATCH($C17, $C$8:$C$57, 0), (COLUMNS($DC17:DD17)-1)*5 + 1) = INDEX($E$5:$CE$5, 1, (COLUMNS($DC17:DD17)-1)*5 + 1), INDEX($E$8:$CE$57, MATCH($C17, $C$8:$C$57, 0), (COLUMNS($DC17:DD17)-1)*5 + 4) = "F"), INDEX($CZ$8:$CZ$23, COLUMNS($DC17:DD17)), "0"), "")</f>
        <v>0</v>
      </c>
      <c r="DE17" s="390" t="str">
        <f t="array" ref="DE17">IFERROR(IF(AND(INDEX($E$8:$CE$57, MATCH($C17, $C$8:$C$57, 0), (COLUMNS($DC17:DE17)-1)*5 + 1) = INDEX($E$5:$CE$5, 1, (COLUMNS($DC17:DE17)-1)*5 + 1), INDEX($E$8:$CE$57, MATCH($C17, $C$8:$C$57, 0), (COLUMNS($DC17:DE17)-1)*5 + 4) = "F"), INDEX($CZ$8:$CZ$23, COLUMNS($DC17:DE17)), "0"), "")</f>
        <v>0</v>
      </c>
      <c r="DF17" s="390" t="str">
        <f t="array" ref="DF17">IFERROR(IF(AND(INDEX($E$8:$CE$57, MATCH($C17, $C$8:$C$57, 0), (COLUMNS($DC17:DF17)-1)*5 + 1) = INDEX($E$5:$CE$5, 1, (COLUMNS($DC17:DF17)-1)*5 + 1), INDEX($E$8:$CE$57, MATCH($C17, $C$8:$C$57, 0), (COLUMNS($DC17:DF17)-1)*5 + 4) = "F"), INDEX($CZ$8:$CZ$23, COLUMNS($DC17:DF17)), "0"), "")</f>
        <v>0</v>
      </c>
      <c r="DG17" s="390" t="str">
        <f t="array" ref="DG17">IFERROR(IF(AND(INDEX($E$8:$CE$57, MATCH($C17, $C$8:$C$57, 0), (COLUMNS($DC17:DG17)-1)*5 + 1) = INDEX($E$5:$CE$5, 1, (COLUMNS($DC17:DG17)-1)*5 + 1), INDEX($E$8:$CE$57, MATCH($C17, $C$8:$C$57, 0), (COLUMNS($DC17:DG17)-1)*5 + 4) = "F"), INDEX($CZ$8:$CZ$23, COLUMNS($DC17:DG17)), "0"), "")</f>
        <v>0</v>
      </c>
      <c r="DH17" s="390" t="str">
        <f t="array" ref="DH17">IFERROR(IF(AND(INDEX($E$8:$CE$57, MATCH($C17, $C$8:$C$57, 0), (COLUMNS($DC17:DH17)-1)*5 + 1) = INDEX($E$5:$CE$5, 1, (COLUMNS($DC17:DH17)-1)*5 + 1), INDEX($E$8:$CE$57, MATCH($C17, $C$8:$C$57, 0), (COLUMNS($DC17:DH17)-1)*5 + 4) = "F"), INDEX($CZ$8:$CZ$23, COLUMNS($DC17:DH17)), "0"), "")</f>
        <v>0</v>
      </c>
      <c r="DI17" s="390" t="str">
        <f t="array" ref="DI17">IFERROR(IF(AND(INDEX($E$8:$CE$57, MATCH($C17, $C$8:$C$57, 0), (COLUMNS($DC17:DI17)-1)*5 + 1) = INDEX($E$5:$CE$5, 1, (COLUMNS($DC17:DI17)-1)*5 + 1), INDEX($E$8:$CE$57, MATCH($C17, $C$8:$C$57, 0), (COLUMNS($DC17:DI17)-1)*5 + 4) = "F"), INDEX($CZ$8:$CZ$23, COLUMNS($DC17:DI17)), "0"), "")</f>
        <v>0</v>
      </c>
      <c r="DJ17" s="390" t="str">
        <f t="array" ref="DJ17">IFERROR(IF(AND(INDEX($E$8:$CE$57, MATCH($C17, $C$8:$C$57, 0), (COLUMNS($DC17:DJ17)-1)*5 + 1) = INDEX($E$5:$CE$5, 1, (COLUMNS($DC17:DJ17)-1)*5 + 1), INDEX($E$8:$CE$57, MATCH($C17, $C$8:$C$57, 0), (COLUMNS($DC17:DJ17)-1)*5 + 4) = "F"), INDEX($CZ$8:$CZ$23, COLUMNS($DC17:DJ17)), "0"), "")</f>
        <v>0</v>
      </c>
      <c r="DK17" s="390" t="str">
        <f t="array" ref="DK17">IFERROR(IF(AND(INDEX($E$8:$CE$57, MATCH($C17, $C$8:$C$57, 0), (COLUMNS($DC17:DK17)-1)*5 + 1) = INDEX($E$5:$CE$5, 1, (COLUMNS($DC17:DK17)-1)*5 + 1), INDEX($E$8:$CE$57, MATCH($C17, $C$8:$C$57, 0), (COLUMNS($DC17:DK17)-1)*5 + 4) = "F"), INDEX($CZ$8:$CZ$23, COLUMNS($DC17:DK17)), "0"), "")</f>
        <v>0</v>
      </c>
      <c r="DL17" s="390" t="str">
        <f t="array" ref="DL17">IFERROR(IF(AND(INDEX($E$8:$CE$57, MATCH($C17, $C$8:$C$57, 0), (COLUMNS($DC17:DL17)-1)*5 + 1) = INDEX($E$5:$CE$5, 1, (COLUMNS($DC17:DL17)-1)*5 + 1), INDEX($E$8:$CE$57, MATCH($C17, $C$8:$C$57, 0), (COLUMNS($DC17:DL17)-1)*5 + 4) = "F"), INDEX($CZ$8:$CZ$23, COLUMNS($DC17:DL17)), "0"), "")</f>
        <v>0</v>
      </c>
      <c r="DM17" s="390" t="str">
        <f t="array" ref="DM17">IFERROR(IF(AND(INDEX($E$8:$CE$57, MATCH($C17, $C$8:$C$57, 0), (COLUMNS($DC17:DM17)-1)*5 + 1) = INDEX($E$5:$CE$5, 1, (COLUMNS($DC17:DM17)-1)*5 + 1), INDEX($E$8:$CE$57, MATCH($C17, $C$8:$C$57, 0), (COLUMNS($DC17:DM17)-1)*5 + 4) = "F"), INDEX($CZ$8:$CZ$23, COLUMNS($DC17:DM17)), "0"), "")</f>
        <v>0</v>
      </c>
      <c r="DN17" s="390" t="str">
        <f t="array" ref="DN17">IFERROR(IF(AND(INDEX($E$8:$CE$57, MATCH($C17, $C$8:$C$57, 0), (COLUMNS($DC17:DN17)-1)*5 + 1) = INDEX($E$5:$CE$5, 1, (COLUMNS($DC17:DN17)-1)*5 + 1), INDEX($E$8:$CE$57, MATCH($C17, $C$8:$C$57, 0), (COLUMNS($DC17:DN17)-1)*5 + 4) = "F"), INDEX($CZ$8:$CZ$23, COLUMNS($DC17:DN17)), "0"), "")</f>
        <v>0</v>
      </c>
      <c r="DO17" s="390" t="str">
        <f t="array" ref="DO17">IFERROR(IF(AND(INDEX($E$8:$CE$57, MATCH($C17, $C$8:$C$57, 0), (COLUMNS($DC17:DO17)-1)*5 + 1) = INDEX($E$5:$CE$5, 1, (COLUMNS($DC17:DO17)-1)*5 + 1), INDEX($E$8:$CE$57, MATCH($C17, $C$8:$C$57, 0), (COLUMNS($DC17:DO17)-1)*5 + 4) = "F"), INDEX($CZ$8:$CZ$23, COLUMNS($DC17:DO17)), "0"), "")</f>
        <v>0</v>
      </c>
      <c r="DP17" s="390" t="str">
        <f t="array" ref="DP17">IFERROR(IF(AND(INDEX($E$8:$CE$57, MATCH($C17, $C$8:$C$57, 0), (COLUMNS($DC17:DP17)-1)*5 + 1) = INDEX($E$5:$CE$5, 1, (COLUMNS($DC17:DP17)-1)*5 + 1), INDEX($E$8:$CE$57, MATCH($C17, $C$8:$C$57, 0), (COLUMNS($DC17:DP17)-1)*5 + 4) = "F"), INDEX($CZ$8:$CZ$23, COLUMNS($DC17:DP17)), "0"), "")</f>
        <v>0</v>
      </c>
      <c r="DQ17" s="390" t="str">
        <f t="array" ref="DQ17">IFERROR(IF(AND(INDEX($E$8:$CE$57, MATCH($C17, $C$8:$C$57, 0), (COLUMNS($DC17:DQ17)-1)*5 + 1) = INDEX($E$5:$CE$5, 1, (COLUMNS($DC17:DQ17)-1)*5 + 1), INDEX($E$8:$CE$57, MATCH($C17, $C$8:$C$57, 0), (COLUMNS($DC17:DQ17)-1)*5 + 4) = "F"), INDEX($CZ$8:$CZ$23, COLUMNS($DC17:DQ17)), "0"), "")</f>
        <v>0</v>
      </c>
      <c r="DR17" s="390" t="str">
        <f t="array" ref="DR17">IFERROR(IF(AND(INDEX($E$8:$CE$57, MATCH($C17, $C$8:$C$57, 0), (COLUMNS($DC17:DR17)-1)*5 + 1) = INDEX($E$5:$CE$5, 1, (COLUMNS($DC17:DR17)-1)*5 + 1), INDEX($E$8:$CE$57, MATCH($C17, $C$8:$C$57, 0), (COLUMNS($DC17:DR17)-1)*5 + 4) = "F"), INDEX($CZ$8:$CZ$23, COLUMNS($DC17:DR17)), "0"), "")</f>
        <v>0</v>
      </c>
      <c r="DT17" s="537" t="str">
        <f>SEMANA29[[#This Row],[COD]]</f>
        <v>COD 10</v>
      </c>
      <c r="DU17" s="390" t="str">
        <f t="array" ref="DU17">IFERROR(IF(AND(INDEX($E$8:$CE$57, MATCH($C17, $C$8:$C$57, 0), (COLUMNS($DU17:DU17)-1)*5 + 1) = INDEX($E$5:$CE$5, 1, (COLUMNS($DU17:DU17)-1)*5 + 1), INDEX($E$8:$CE$57, MATCH($C17, $C$8:$C$57, 0), (COLUMNS($DU17:DU17)-1)*5 + 4) = "SF"), INDEX($CZ$8:$CZ$23, COLUMNS($DU17:DU17)), "0"), "")</f>
        <v>0</v>
      </c>
      <c r="DV17" s="390" t="str">
        <f t="array" ref="DV17">IFERROR(IF(AND(INDEX($E$8:$CE$57, MATCH($C17, $C$8:$C$57, 0), (COLUMNS($DU17:DV17)-1)*5 + 1) = INDEX($E$5:$CE$5, 1, (COLUMNS($DU17:DV17)-1)*5 + 1), INDEX($E$8:$CE$57, MATCH($C17, $C$8:$C$57, 0), (COLUMNS($DU17:DV17)-1)*5 + 4) = "SF"), INDEX($CZ$8:$CZ$23, COLUMNS($DU17:DV17)), "0"), "")</f>
        <v>0</v>
      </c>
      <c r="DW17" s="390" t="str">
        <f t="array" ref="DW17">IFERROR(IF(AND(INDEX($E$8:$CE$57, MATCH($C17, $C$8:$C$57, 0), (COLUMNS($DU17:DW17)-1)*5 + 1) = INDEX($E$5:$CE$5, 1, (COLUMNS($DU17:DW17)-1)*5 + 1), INDEX($E$8:$CE$57, MATCH($C17, $C$8:$C$57, 0), (COLUMNS($DU17:DW17)-1)*5 + 4) = "SF"), INDEX($CZ$8:$CZ$23, COLUMNS($DU17:DW17)), "0"), "")</f>
        <v>0</v>
      </c>
      <c r="DX17" s="390" t="str">
        <f t="array" ref="DX17">IFERROR(IF(AND(INDEX($E$8:$CE$57, MATCH($C17, $C$8:$C$57, 0), (COLUMNS($DU17:DX17)-1)*5 + 1) = INDEX($E$5:$CE$5, 1, (COLUMNS($DU17:DX17)-1)*5 + 1), INDEX($E$8:$CE$57, MATCH($C17, $C$8:$C$57, 0), (COLUMNS($DU17:DX17)-1)*5 + 4) = "SF"), INDEX($CZ$8:$CZ$23, COLUMNS($DU17:DX17)), "0"), "")</f>
        <v>0</v>
      </c>
      <c r="DY17" s="390" t="str">
        <f t="array" ref="DY17">IFERROR(IF(AND(INDEX($E$8:$CE$57, MATCH($C17, $C$8:$C$57, 0), (COLUMNS($DU17:DY17)-1)*5 + 1) = INDEX($E$5:$CE$5, 1, (COLUMNS($DU17:DY17)-1)*5 + 1), INDEX($E$8:$CE$57, MATCH($C17, $C$8:$C$57, 0), (COLUMNS($DU17:DY17)-1)*5 + 4) = "SF"), INDEX($CZ$8:$CZ$23, COLUMNS($DU17:DY17)), "0"), "")</f>
        <v>0</v>
      </c>
      <c r="DZ17" s="390" t="str">
        <f t="array" ref="DZ17">IFERROR(IF(AND(INDEX($E$8:$CE$57, MATCH($C17, $C$8:$C$57, 0), (COLUMNS($DU17:DZ17)-1)*5 + 1) = INDEX($E$5:$CE$5, 1, (COLUMNS($DU17:DZ17)-1)*5 + 1), INDEX($E$8:$CE$57, MATCH($C17, $C$8:$C$57, 0), (COLUMNS($DU17:DZ17)-1)*5 + 4) = "SF"), INDEX($CZ$8:$CZ$23, COLUMNS($DU17:DZ17)), "0"), "")</f>
        <v>0</v>
      </c>
      <c r="EA17" s="390" t="str">
        <f t="array" ref="EA17">IFERROR(IF(AND(INDEX($E$8:$CE$57, MATCH($C17, $C$8:$C$57, 0), (COLUMNS($DU17:EA17)-1)*5 + 1) = INDEX($E$5:$CE$5, 1, (COLUMNS($DU17:EA17)-1)*5 + 1), INDEX($E$8:$CE$57, MATCH($C17, $C$8:$C$57, 0), (COLUMNS($DU17:EA17)-1)*5 + 4) = "SF"), INDEX($CZ$8:$CZ$23, COLUMNS($DU17:EA17)), "0"), "")</f>
        <v>0</v>
      </c>
      <c r="EB17" s="390" t="str">
        <f t="array" ref="EB17">IFERROR(IF(AND(INDEX($E$8:$CE$57, MATCH($C17, $C$8:$C$57, 0), (COLUMNS($DU17:EB17)-1)*5 + 1) = INDEX($E$5:$CE$5, 1, (COLUMNS($DU17:EB17)-1)*5 + 1), INDEX($E$8:$CE$57, MATCH($C17, $C$8:$C$57, 0), (COLUMNS($DU17:EB17)-1)*5 + 4) = "SF"), INDEX($CZ$8:$CZ$23, COLUMNS($DU17:EB17)), "0"), "")</f>
        <v>0</v>
      </c>
      <c r="EC17" s="390" t="str">
        <f t="array" ref="EC17">IFERROR(IF(AND(INDEX($E$8:$CE$57, MATCH($C17, $C$8:$C$57, 0), (COLUMNS($DU17:EC17)-1)*5 + 1) = INDEX($E$5:$CE$5, 1, (COLUMNS($DU17:EC17)-1)*5 + 1), INDEX($E$8:$CE$57, MATCH($C17, $C$8:$C$57, 0), (COLUMNS($DU17:EC17)-1)*5 + 4) = "SF"), INDEX($CZ$8:$CZ$23, COLUMNS($DU17:EC17)), "0"), "")</f>
        <v>0</v>
      </c>
      <c r="ED17" s="390" t="str">
        <f t="array" ref="ED17">IFERROR(IF(AND(INDEX($E$8:$CE$57, MATCH($C17, $C$8:$C$57, 0), (COLUMNS($DU17:ED17)-1)*5 + 1) = INDEX($E$5:$CE$5, 1, (COLUMNS($DU17:ED17)-1)*5 + 1), INDEX($E$8:$CE$57, MATCH($C17, $C$8:$C$57, 0), (COLUMNS($DU17:ED17)-1)*5 + 4) = "SF"), INDEX($CZ$8:$CZ$23, COLUMNS($DU17:ED17)), "0"), "")</f>
        <v>0</v>
      </c>
      <c r="EE17" s="390" t="str">
        <f t="array" ref="EE17">IFERROR(IF(AND(INDEX($E$8:$CE$57, MATCH($C17, $C$8:$C$57, 0), (COLUMNS($DU17:EE17)-1)*5 + 1) = INDEX($E$5:$CE$5, 1, (COLUMNS($DU17:EE17)-1)*5 + 1), INDEX($E$8:$CE$57, MATCH($C17, $C$8:$C$57, 0), (COLUMNS($DU17:EE17)-1)*5 + 4) = "SF"), INDEX($CZ$8:$CZ$23, COLUMNS($DU17:EE17)), "0"), "")</f>
        <v>0</v>
      </c>
      <c r="EF17" s="390" t="str">
        <f t="array" ref="EF17">IFERROR(IF(AND(INDEX($E$8:$CE$57, MATCH($C17, $C$8:$C$57, 0), (COLUMNS($DU17:EF17)-1)*5 + 1) = INDEX($E$5:$CE$5, 1, (COLUMNS($DU17:EF17)-1)*5 + 1), INDEX($E$8:$CE$57, MATCH($C17, $C$8:$C$57, 0), (COLUMNS($DU17:EF17)-1)*5 + 4) = "SF"), INDEX($CZ$8:$CZ$23, COLUMNS($DU17:EF17)), "0"), "")</f>
        <v>0</v>
      </c>
      <c r="EG17" s="390" t="str">
        <f t="array" ref="EG17">IFERROR(IF(AND(INDEX($E$8:$CE$57, MATCH($C17, $C$8:$C$57, 0), (COLUMNS($DU17:EG17)-1)*5 + 1) = INDEX($E$5:$CE$5, 1, (COLUMNS($DU17:EG17)-1)*5 + 1), INDEX($E$8:$CE$57, MATCH($C17, $C$8:$C$57, 0), (COLUMNS($DU17:EG17)-1)*5 + 4) = "SF"), INDEX($CZ$8:$CZ$23, COLUMNS($DU17:EG17)), "0"), "")</f>
        <v>0</v>
      </c>
      <c r="EH17" s="390" t="str">
        <f t="array" ref="EH17">IFERROR(IF(AND(INDEX($E$8:$CE$57, MATCH($C17, $C$8:$C$57, 0), (COLUMNS($DU17:EH17)-1)*5 + 1) = INDEX($E$5:$CE$5, 1, (COLUMNS($DU17:EH17)-1)*5 + 1), INDEX($E$8:$CE$57, MATCH($C17, $C$8:$C$57, 0), (COLUMNS($DU17:EH17)-1)*5 + 4) = "SF"), INDEX($CZ$8:$CZ$23, COLUMNS($DU17:EH17)), "0"), "")</f>
        <v>0</v>
      </c>
      <c r="EI17" s="390" t="str">
        <f t="array" ref="EI17">IFERROR(IF(AND(INDEX($E$8:$CE$57, MATCH($C17, $C$8:$C$57, 0), (COLUMNS($DU17:EI17)-1)*5 + 1) = INDEX($E$5:$CE$5, 1, (COLUMNS($DU17:EI17)-1)*5 + 1), INDEX($E$8:$CE$57, MATCH($C17, $C$8:$C$57, 0), (COLUMNS($DU17:EI17)-1)*5 + 4) = "SF"), INDEX($CZ$8:$CZ$23, COLUMNS($DU17:EI17)), "0"), "")</f>
        <v>0</v>
      </c>
      <c r="EJ17" s="390" t="str">
        <f t="array" ref="EJ17">IFERROR(IF(AND(INDEX($E$8:$CE$57, MATCH($C17, $C$8:$C$57, 0), (COLUMNS($DU17:EJ17)-1)*5 + 1) = INDEX($E$5:$CE$5, 1, (COLUMNS($DU17:EJ17)-1)*5 + 1), INDEX($E$8:$CE$57, MATCH($C17, $C$8:$C$57, 0), (COLUMNS($DU17:EJ17)-1)*5 + 4) = "SF"), INDEX($CZ$8:$CZ$23, COLUMNS($DU17:EJ17)), "0"), "")</f>
        <v>0</v>
      </c>
    </row>
    <row r="18" spans="1:140" ht="20.100000000000001" customHeight="1" x14ac:dyDescent="0.35">
      <c r="A18" s="515"/>
      <c r="B18" s="444">
        <f>IF(SEMANA29[[#This Row],[COD]]&lt;&gt;"",B17+1,"")</f>
        <v>11</v>
      </c>
      <c r="C18" s="554" t="s">
        <v>53</v>
      </c>
      <c r="D18" s="410" t="str">
        <f t="array" ref="D18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18" s="411"/>
      <c r="F18" s="411"/>
      <c r="G18" s="411"/>
      <c r="H18" s="411"/>
      <c r="I18" s="534">
        <f t="shared" si="0"/>
        <v>0</v>
      </c>
      <c r="J18" s="411"/>
      <c r="K18" s="411"/>
      <c r="L18" s="411"/>
      <c r="M18" s="411"/>
      <c r="N18" s="534">
        <f t="shared" si="1"/>
        <v>0</v>
      </c>
      <c r="O18" s="411"/>
      <c r="P18" s="411"/>
      <c r="Q18" s="411"/>
      <c r="R18" s="411"/>
      <c r="S18" s="534">
        <f t="shared" si="2"/>
        <v>0</v>
      </c>
      <c r="T18" s="411"/>
      <c r="U18" s="411"/>
      <c r="V18" s="411"/>
      <c r="W18" s="411"/>
      <c r="X18" s="534">
        <f t="shared" si="3"/>
        <v>0</v>
      </c>
      <c r="Y18" s="411"/>
      <c r="Z18" s="411"/>
      <c r="AA18" s="411"/>
      <c r="AB18" s="411"/>
      <c r="AC18" s="534">
        <f t="shared" si="4"/>
        <v>0</v>
      </c>
      <c r="AD18" s="411"/>
      <c r="AE18" s="411"/>
      <c r="AF18" s="411"/>
      <c r="AG18" s="411"/>
      <c r="AH18" s="534">
        <f t="shared" si="5"/>
        <v>0</v>
      </c>
      <c r="AI18" s="411"/>
      <c r="AJ18" s="411"/>
      <c r="AK18" s="411"/>
      <c r="AL18" s="411"/>
      <c r="AM18" s="534">
        <f t="shared" si="6"/>
        <v>0</v>
      </c>
      <c r="AN18" s="411"/>
      <c r="AO18" s="411"/>
      <c r="AP18" s="411"/>
      <c r="AQ18" s="411"/>
      <c r="AR18" s="534">
        <f t="shared" si="7"/>
        <v>0</v>
      </c>
      <c r="AS18" s="411"/>
      <c r="AT18" s="411"/>
      <c r="AU18" s="411"/>
      <c r="AV18" s="411"/>
      <c r="AW18" s="534">
        <f t="shared" si="8"/>
        <v>0</v>
      </c>
      <c r="AX18" s="411"/>
      <c r="AY18" s="411"/>
      <c r="AZ18" s="411"/>
      <c r="BA18" s="411"/>
      <c r="BB18" s="534">
        <f t="shared" si="9"/>
        <v>0</v>
      </c>
      <c r="BC18" s="411"/>
      <c r="BD18" s="411"/>
      <c r="BE18" s="411"/>
      <c r="BF18" s="411"/>
      <c r="BG18" s="534">
        <f t="shared" si="10"/>
        <v>0</v>
      </c>
      <c r="BH18" s="411"/>
      <c r="BI18" s="411"/>
      <c r="BJ18" s="411"/>
      <c r="BK18" s="411"/>
      <c r="BL18" s="534">
        <f t="shared" si="11"/>
        <v>0</v>
      </c>
      <c r="BM18" s="411"/>
      <c r="BN18" s="411"/>
      <c r="BO18" s="411"/>
      <c r="BP18" s="411"/>
      <c r="BQ18" s="534">
        <f t="shared" si="12"/>
        <v>0</v>
      </c>
      <c r="BR18" s="411"/>
      <c r="BS18" s="411"/>
      <c r="BT18" s="411"/>
      <c r="BU18" s="411"/>
      <c r="BV18" s="534">
        <f t="shared" si="13"/>
        <v>0</v>
      </c>
      <c r="BW18" s="411"/>
      <c r="BX18" s="411"/>
      <c r="BY18" s="411"/>
      <c r="BZ18" s="411"/>
      <c r="CA18" s="534">
        <f t="shared" si="14"/>
        <v>0</v>
      </c>
      <c r="CB18" s="411"/>
      <c r="CC18" s="411"/>
      <c r="CD18" s="411"/>
      <c r="CE18" s="411"/>
      <c r="CF18" s="534">
        <f t="shared" si="15"/>
        <v>0</v>
      </c>
      <c r="CG18" s="162">
        <f>IF(SEMANA29[[#This Row],[1]]="",0,$B$4)</f>
        <v>0</v>
      </c>
      <c r="CH18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18" s="164">
        <f>IF(SEMANA29[[#This Row],[Columna14]]=0,0,(CH18/CG18))</f>
        <v>0</v>
      </c>
      <c r="CJ18" s="163">
        <f>IF(SEMANA29[[#This Row],[1]]="",0,$B$4)</f>
        <v>0</v>
      </c>
      <c r="CK18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18" s="164">
        <f>IF(SEMANA29[[#This Row],[Columna14]]=0,0,(CK18/CJ18))</f>
        <v>0</v>
      </c>
      <c r="CM18" s="162">
        <f>IF(SEMANA29[[#This Row],[1]]="",0,$B$4)</f>
        <v>0</v>
      </c>
      <c r="CN18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18" s="164">
        <f>IF(SEMANA29[[#This Row],[Columna14]]=0,0,(CN18/CM18))</f>
        <v>0</v>
      </c>
      <c r="CP18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18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Row],[Columna25]],$AX$5,BA18,"SF")+COUNTIFS(SEMANA29[[#This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18" s="164">
        <f>IFERROR(IF(SEMANA29[[#This Row],[Columna14]]=0,0,(CQ18/CP18)),0)</f>
        <v>0</v>
      </c>
      <c r="CS18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18" s="93">
        <f>_xlfn.XLOOKUP(SEMANA29[[#This Row],[COD]],SEMANA2[COD],SEMANA2[Columna33])</f>
        <v>68.5</v>
      </c>
      <c r="CU18" s="536">
        <f t="shared" si="16"/>
        <v>68.5</v>
      </c>
      <c r="CV18" s="445" t="str">
        <f>IF(SEMANA29[[#This Row],[TIPO]]="PREMIO",$O$3,"0,00")</f>
        <v>0,00</v>
      </c>
      <c r="CW18" s="515"/>
      <c r="CY18" s="388">
        <v>11</v>
      </c>
      <c r="CZ18" s="349">
        <f>BD$6</f>
        <v>0</v>
      </c>
      <c r="DB18" s="537" t="str">
        <f>SEMANA29[[#This Row],[COD]]</f>
        <v>COD 11</v>
      </c>
      <c r="DC18" s="390" t="str">
        <f t="array" ref="DC18">IFERROR(IF(AND(INDEX($E$8:$CE$57, MATCH($C18, $C$8:$C$57, 0), (COLUMNS($DC18:DC18)-1)*5 + 1) = INDEX($E$5:$CE$5, 1, (COLUMNS($DC18:DC18)-1)*5 + 1), INDEX($E$8:$CE$57, MATCH($C18, $C$8:$C$57, 0), (COLUMNS($DC18:DC18)-1)*5 + 4) = "F"), INDEX($CZ$8:$CZ$23, COLUMNS($DC18:DC18)), "0"), "")</f>
        <v>0</v>
      </c>
      <c r="DD18" s="390" t="str">
        <f t="array" ref="DD18">IFERROR(IF(AND(INDEX($E$8:$CE$57, MATCH($C18, $C$8:$C$57, 0), (COLUMNS($DC18:DD18)-1)*5 + 1) = INDEX($E$5:$CE$5, 1, (COLUMNS($DC18:DD18)-1)*5 + 1), INDEX($E$8:$CE$57, MATCH($C18, $C$8:$C$57, 0), (COLUMNS($DC18:DD18)-1)*5 + 4) = "F"), INDEX($CZ$8:$CZ$23, COLUMNS($DC18:DD18)), "0"), "")</f>
        <v>0</v>
      </c>
      <c r="DE18" s="390" t="str">
        <f t="array" ref="DE18">IFERROR(IF(AND(INDEX($E$8:$CE$57, MATCH($C18, $C$8:$C$57, 0), (COLUMNS($DC18:DE18)-1)*5 + 1) = INDEX($E$5:$CE$5, 1, (COLUMNS($DC18:DE18)-1)*5 + 1), INDEX($E$8:$CE$57, MATCH($C18, $C$8:$C$57, 0), (COLUMNS($DC18:DE18)-1)*5 + 4) = "F"), INDEX($CZ$8:$CZ$23, COLUMNS($DC18:DE18)), "0"), "")</f>
        <v>0</v>
      </c>
      <c r="DF18" s="390" t="str">
        <f t="array" ref="DF18">IFERROR(IF(AND(INDEX($E$8:$CE$57, MATCH($C18, $C$8:$C$57, 0), (COLUMNS($DC18:DF18)-1)*5 + 1) = INDEX($E$5:$CE$5, 1, (COLUMNS($DC18:DF18)-1)*5 + 1), INDEX($E$8:$CE$57, MATCH($C18, $C$8:$C$57, 0), (COLUMNS($DC18:DF18)-1)*5 + 4) = "F"), INDEX($CZ$8:$CZ$23, COLUMNS($DC18:DF18)), "0"), "")</f>
        <v>0</v>
      </c>
      <c r="DG18" s="390" t="str">
        <f t="array" ref="DG18">IFERROR(IF(AND(INDEX($E$8:$CE$57, MATCH($C18, $C$8:$C$57, 0), (COLUMNS($DC18:DG18)-1)*5 + 1) = INDEX($E$5:$CE$5, 1, (COLUMNS($DC18:DG18)-1)*5 + 1), INDEX($E$8:$CE$57, MATCH($C18, $C$8:$C$57, 0), (COLUMNS($DC18:DG18)-1)*5 + 4) = "F"), INDEX($CZ$8:$CZ$23, COLUMNS($DC18:DG18)), "0"), "")</f>
        <v>0</v>
      </c>
      <c r="DH18" s="390" t="str">
        <f t="array" ref="DH18">IFERROR(IF(AND(INDEX($E$8:$CE$57, MATCH($C18, $C$8:$C$57, 0), (COLUMNS($DC18:DH18)-1)*5 + 1) = INDEX($E$5:$CE$5, 1, (COLUMNS($DC18:DH18)-1)*5 + 1), INDEX($E$8:$CE$57, MATCH($C18, $C$8:$C$57, 0), (COLUMNS($DC18:DH18)-1)*5 + 4) = "F"), INDEX($CZ$8:$CZ$23, COLUMNS($DC18:DH18)), "0"), "")</f>
        <v>0</v>
      </c>
      <c r="DI18" s="390" t="str">
        <f t="array" ref="DI18">IFERROR(IF(AND(INDEX($E$8:$CE$57, MATCH($C18, $C$8:$C$57, 0), (COLUMNS($DC18:DI18)-1)*5 + 1) = INDEX($E$5:$CE$5, 1, (COLUMNS($DC18:DI18)-1)*5 + 1), INDEX($E$8:$CE$57, MATCH($C18, $C$8:$C$57, 0), (COLUMNS($DC18:DI18)-1)*5 + 4) = "F"), INDEX($CZ$8:$CZ$23, COLUMNS($DC18:DI18)), "0"), "")</f>
        <v>0</v>
      </c>
      <c r="DJ18" s="390" t="str">
        <f t="array" ref="DJ18">IFERROR(IF(AND(INDEX($E$8:$CE$57, MATCH($C18, $C$8:$C$57, 0), (COLUMNS($DC18:DJ18)-1)*5 + 1) = INDEX($E$5:$CE$5, 1, (COLUMNS($DC18:DJ18)-1)*5 + 1), INDEX($E$8:$CE$57, MATCH($C18, $C$8:$C$57, 0), (COLUMNS($DC18:DJ18)-1)*5 + 4) = "F"), INDEX($CZ$8:$CZ$23, COLUMNS($DC18:DJ18)), "0"), "")</f>
        <v>0</v>
      </c>
      <c r="DK18" s="390" t="str">
        <f t="array" ref="DK18">IFERROR(IF(AND(INDEX($E$8:$CE$57, MATCH($C18, $C$8:$C$57, 0), (COLUMNS($DC18:DK18)-1)*5 + 1) = INDEX($E$5:$CE$5, 1, (COLUMNS($DC18:DK18)-1)*5 + 1), INDEX($E$8:$CE$57, MATCH($C18, $C$8:$C$57, 0), (COLUMNS($DC18:DK18)-1)*5 + 4) = "F"), INDEX($CZ$8:$CZ$23, COLUMNS($DC18:DK18)), "0"), "")</f>
        <v>0</v>
      </c>
      <c r="DL18" s="390" t="str">
        <f t="array" ref="DL18">IFERROR(IF(AND(INDEX($E$8:$CE$57, MATCH($C18, $C$8:$C$57, 0), (COLUMNS($DC18:DL18)-1)*5 + 1) = INDEX($E$5:$CE$5, 1, (COLUMNS($DC18:DL18)-1)*5 + 1), INDEX($E$8:$CE$57, MATCH($C18, $C$8:$C$57, 0), (COLUMNS($DC18:DL18)-1)*5 + 4) = "F"), INDEX($CZ$8:$CZ$23, COLUMNS($DC18:DL18)), "0"), "")</f>
        <v>0</v>
      </c>
      <c r="DM18" s="390" t="str">
        <f t="array" ref="DM18">IFERROR(IF(AND(INDEX($E$8:$CE$57, MATCH($C18, $C$8:$C$57, 0), (COLUMNS($DC18:DM18)-1)*5 + 1) = INDEX($E$5:$CE$5, 1, (COLUMNS($DC18:DM18)-1)*5 + 1), INDEX($E$8:$CE$57, MATCH($C18, $C$8:$C$57, 0), (COLUMNS($DC18:DM18)-1)*5 + 4) = "F"), INDEX($CZ$8:$CZ$23, COLUMNS($DC18:DM18)), "0"), "")</f>
        <v>0</v>
      </c>
      <c r="DN18" s="390" t="str">
        <f t="array" ref="DN18">IFERROR(IF(AND(INDEX($E$8:$CE$57, MATCH($C18, $C$8:$C$57, 0), (COLUMNS($DC18:DN18)-1)*5 + 1) = INDEX($E$5:$CE$5, 1, (COLUMNS($DC18:DN18)-1)*5 + 1), INDEX($E$8:$CE$57, MATCH($C18, $C$8:$C$57, 0), (COLUMNS($DC18:DN18)-1)*5 + 4) = "F"), INDEX($CZ$8:$CZ$23, COLUMNS($DC18:DN18)), "0"), "")</f>
        <v>0</v>
      </c>
      <c r="DO18" s="390" t="str">
        <f t="array" ref="DO18">IFERROR(IF(AND(INDEX($E$8:$CE$57, MATCH($C18, $C$8:$C$57, 0), (COLUMNS($DC18:DO18)-1)*5 + 1) = INDEX($E$5:$CE$5, 1, (COLUMNS($DC18:DO18)-1)*5 + 1), INDEX($E$8:$CE$57, MATCH($C18, $C$8:$C$57, 0), (COLUMNS($DC18:DO18)-1)*5 + 4) = "F"), INDEX($CZ$8:$CZ$23, COLUMNS($DC18:DO18)), "0"), "")</f>
        <v>0</v>
      </c>
      <c r="DP18" s="390" t="str">
        <f t="array" ref="DP18">IFERROR(IF(AND(INDEX($E$8:$CE$57, MATCH($C18, $C$8:$C$57, 0), (COLUMNS($DC18:DP18)-1)*5 + 1) = INDEX($E$5:$CE$5, 1, (COLUMNS($DC18:DP18)-1)*5 + 1), INDEX($E$8:$CE$57, MATCH($C18, $C$8:$C$57, 0), (COLUMNS($DC18:DP18)-1)*5 + 4) = "F"), INDEX($CZ$8:$CZ$23, COLUMNS($DC18:DP18)), "0"), "")</f>
        <v>0</v>
      </c>
      <c r="DQ18" s="390" t="str">
        <f t="array" ref="DQ18">IFERROR(IF(AND(INDEX($E$8:$CE$57, MATCH($C18, $C$8:$C$57, 0), (COLUMNS($DC18:DQ18)-1)*5 + 1) = INDEX($E$5:$CE$5, 1, (COLUMNS($DC18:DQ18)-1)*5 + 1), INDEX($E$8:$CE$57, MATCH($C18, $C$8:$C$57, 0), (COLUMNS($DC18:DQ18)-1)*5 + 4) = "F"), INDEX($CZ$8:$CZ$23, COLUMNS($DC18:DQ18)), "0"), "")</f>
        <v>0</v>
      </c>
      <c r="DR18" s="390" t="str">
        <f t="array" ref="DR18">IFERROR(IF(AND(INDEX($E$8:$CE$57, MATCH($C18, $C$8:$C$57, 0), (COLUMNS($DC18:DR18)-1)*5 + 1) = INDEX($E$5:$CE$5, 1, (COLUMNS($DC18:DR18)-1)*5 + 1), INDEX($E$8:$CE$57, MATCH($C18, $C$8:$C$57, 0), (COLUMNS($DC18:DR18)-1)*5 + 4) = "F"), INDEX($CZ$8:$CZ$23, COLUMNS($DC18:DR18)), "0"), "")</f>
        <v>0</v>
      </c>
      <c r="DT18" s="537" t="str">
        <f>SEMANA29[[#This Row],[COD]]</f>
        <v>COD 11</v>
      </c>
      <c r="DU18" s="390" t="str">
        <f t="array" ref="DU18">IFERROR(IF(AND(INDEX($E$8:$CE$57, MATCH($C18, $C$8:$C$57, 0), (COLUMNS($DU18:DU18)-1)*5 + 1) = INDEX($E$5:$CE$5, 1, (COLUMNS($DU18:DU18)-1)*5 + 1), INDEX($E$8:$CE$57, MATCH($C18, $C$8:$C$57, 0), (COLUMNS($DU18:DU18)-1)*5 + 4) = "SF"), INDEX($CZ$8:$CZ$23, COLUMNS($DU18:DU18)), "0"), "")</f>
        <v>0</v>
      </c>
      <c r="DV18" s="390" t="str">
        <f t="array" ref="DV18">IFERROR(IF(AND(INDEX($E$8:$CE$57, MATCH($C18, $C$8:$C$57, 0), (COLUMNS($DU18:DV18)-1)*5 + 1) = INDEX($E$5:$CE$5, 1, (COLUMNS($DU18:DV18)-1)*5 + 1), INDEX($E$8:$CE$57, MATCH($C18, $C$8:$C$57, 0), (COLUMNS($DU18:DV18)-1)*5 + 4) = "SF"), INDEX($CZ$8:$CZ$23, COLUMNS($DU18:DV18)), "0"), "")</f>
        <v>0</v>
      </c>
      <c r="DW18" s="390" t="str">
        <f t="array" ref="DW18">IFERROR(IF(AND(INDEX($E$8:$CE$57, MATCH($C18, $C$8:$C$57, 0), (COLUMNS($DU18:DW18)-1)*5 + 1) = INDEX($E$5:$CE$5, 1, (COLUMNS($DU18:DW18)-1)*5 + 1), INDEX($E$8:$CE$57, MATCH($C18, $C$8:$C$57, 0), (COLUMNS($DU18:DW18)-1)*5 + 4) = "SF"), INDEX($CZ$8:$CZ$23, COLUMNS($DU18:DW18)), "0"), "")</f>
        <v>0</v>
      </c>
      <c r="DX18" s="390" t="str">
        <f t="array" ref="DX18">IFERROR(IF(AND(INDEX($E$8:$CE$57, MATCH($C18, $C$8:$C$57, 0), (COLUMNS($DU18:DX18)-1)*5 + 1) = INDEX($E$5:$CE$5, 1, (COLUMNS($DU18:DX18)-1)*5 + 1), INDEX($E$8:$CE$57, MATCH($C18, $C$8:$C$57, 0), (COLUMNS($DU18:DX18)-1)*5 + 4) = "SF"), INDEX($CZ$8:$CZ$23, COLUMNS($DU18:DX18)), "0"), "")</f>
        <v>0</v>
      </c>
      <c r="DY18" s="390" t="str">
        <f t="array" ref="DY18">IFERROR(IF(AND(INDEX($E$8:$CE$57, MATCH($C18, $C$8:$C$57, 0), (COLUMNS($DU18:DY18)-1)*5 + 1) = INDEX($E$5:$CE$5, 1, (COLUMNS($DU18:DY18)-1)*5 + 1), INDEX($E$8:$CE$57, MATCH($C18, $C$8:$C$57, 0), (COLUMNS($DU18:DY18)-1)*5 + 4) = "SF"), INDEX($CZ$8:$CZ$23, COLUMNS($DU18:DY18)), "0"), "")</f>
        <v>0</v>
      </c>
      <c r="DZ18" s="390" t="str">
        <f t="array" ref="DZ18">IFERROR(IF(AND(INDEX($E$8:$CE$57, MATCH($C18, $C$8:$C$57, 0), (COLUMNS($DU18:DZ18)-1)*5 + 1) = INDEX($E$5:$CE$5, 1, (COLUMNS($DU18:DZ18)-1)*5 + 1), INDEX($E$8:$CE$57, MATCH($C18, $C$8:$C$57, 0), (COLUMNS($DU18:DZ18)-1)*5 + 4) = "SF"), INDEX($CZ$8:$CZ$23, COLUMNS($DU18:DZ18)), "0"), "")</f>
        <v>0</v>
      </c>
      <c r="EA18" s="390" t="str">
        <f t="array" ref="EA18">IFERROR(IF(AND(INDEX($E$8:$CE$57, MATCH($C18, $C$8:$C$57, 0), (COLUMNS($DU18:EA18)-1)*5 + 1) = INDEX($E$5:$CE$5, 1, (COLUMNS($DU18:EA18)-1)*5 + 1), INDEX($E$8:$CE$57, MATCH($C18, $C$8:$C$57, 0), (COLUMNS($DU18:EA18)-1)*5 + 4) = "SF"), INDEX($CZ$8:$CZ$23, COLUMNS($DU18:EA18)), "0"), "")</f>
        <v>0</v>
      </c>
      <c r="EB18" s="390" t="str">
        <f t="array" ref="EB18">IFERROR(IF(AND(INDEX($E$8:$CE$57, MATCH($C18, $C$8:$C$57, 0), (COLUMNS($DU18:EB18)-1)*5 + 1) = INDEX($E$5:$CE$5, 1, (COLUMNS($DU18:EB18)-1)*5 + 1), INDEX($E$8:$CE$57, MATCH($C18, $C$8:$C$57, 0), (COLUMNS($DU18:EB18)-1)*5 + 4) = "SF"), INDEX($CZ$8:$CZ$23, COLUMNS($DU18:EB18)), "0"), "")</f>
        <v>0</v>
      </c>
      <c r="EC18" s="390" t="str">
        <f t="array" ref="EC18">IFERROR(IF(AND(INDEX($E$8:$CE$57, MATCH($C18, $C$8:$C$57, 0), (COLUMNS($DU18:EC18)-1)*5 + 1) = INDEX($E$5:$CE$5, 1, (COLUMNS($DU18:EC18)-1)*5 + 1), INDEX($E$8:$CE$57, MATCH($C18, $C$8:$C$57, 0), (COLUMNS($DU18:EC18)-1)*5 + 4) = "SF"), INDEX($CZ$8:$CZ$23, COLUMNS($DU18:EC18)), "0"), "")</f>
        <v>0</v>
      </c>
      <c r="ED18" s="390" t="str">
        <f t="array" ref="ED18">IFERROR(IF(AND(INDEX($E$8:$CE$57, MATCH($C18, $C$8:$C$57, 0), (COLUMNS($DU18:ED18)-1)*5 + 1) = INDEX($E$5:$CE$5, 1, (COLUMNS($DU18:ED18)-1)*5 + 1), INDEX($E$8:$CE$57, MATCH($C18, $C$8:$C$57, 0), (COLUMNS($DU18:ED18)-1)*5 + 4) = "SF"), INDEX($CZ$8:$CZ$23, COLUMNS($DU18:ED18)), "0"), "")</f>
        <v>0</v>
      </c>
      <c r="EE18" s="390" t="str">
        <f t="array" ref="EE18">IFERROR(IF(AND(INDEX($E$8:$CE$57, MATCH($C18, $C$8:$C$57, 0), (COLUMNS($DU18:EE18)-1)*5 + 1) = INDEX($E$5:$CE$5, 1, (COLUMNS($DU18:EE18)-1)*5 + 1), INDEX($E$8:$CE$57, MATCH($C18, $C$8:$C$57, 0), (COLUMNS($DU18:EE18)-1)*5 + 4) = "SF"), INDEX($CZ$8:$CZ$23, COLUMNS($DU18:EE18)), "0"), "")</f>
        <v>0</v>
      </c>
      <c r="EF18" s="390" t="str">
        <f t="array" ref="EF18">IFERROR(IF(AND(INDEX($E$8:$CE$57, MATCH($C18, $C$8:$C$57, 0), (COLUMNS($DU18:EF18)-1)*5 + 1) = INDEX($E$5:$CE$5, 1, (COLUMNS($DU18:EF18)-1)*5 + 1), INDEX($E$8:$CE$57, MATCH($C18, $C$8:$C$57, 0), (COLUMNS($DU18:EF18)-1)*5 + 4) = "SF"), INDEX($CZ$8:$CZ$23, COLUMNS($DU18:EF18)), "0"), "")</f>
        <v>0</v>
      </c>
      <c r="EG18" s="390" t="str">
        <f t="array" ref="EG18">IFERROR(IF(AND(INDEX($E$8:$CE$57, MATCH($C18, $C$8:$C$57, 0), (COLUMNS($DU18:EG18)-1)*5 + 1) = INDEX($E$5:$CE$5, 1, (COLUMNS($DU18:EG18)-1)*5 + 1), INDEX($E$8:$CE$57, MATCH($C18, $C$8:$C$57, 0), (COLUMNS($DU18:EG18)-1)*5 + 4) = "SF"), INDEX($CZ$8:$CZ$23, COLUMNS($DU18:EG18)), "0"), "")</f>
        <v>0</v>
      </c>
      <c r="EH18" s="390" t="str">
        <f t="array" ref="EH18">IFERROR(IF(AND(INDEX($E$8:$CE$57, MATCH($C18, $C$8:$C$57, 0), (COLUMNS($DU18:EH18)-1)*5 + 1) = INDEX($E$5:$CE$5, 1, (COLUMNS($DU18:EH18)-1)*5 + 1), INDEX($E$8:$CE$57, MATCH($C18, $C$8:$C$57, 0), (COLUMNS($DU18:EH18)-1)*5 + 4) = "SF"), INDEX($CZ$8:$CZ$23, COLUMNS($DU18:EH18)), "0"), "")</f>
        <v>0</v>
      </c>
      <c r="EI18" s="390" t="str">
        <f t="array" ref="EI18">IFERROR(IF(AND(INDEX($E$8:$CE$57, MATCH($C18, $C$8:$C$57, 0), (COLUMNS($DU18:EI18)-1)*5 + 1) = INDEX($E$5:$CE$5, 1, (COLUMNS($DU18:EI18)-1)*5 + 1), INDEX($E$8:$CE$57, MATCH($C18, $C$8:$C$57, 0), (COLUMNS($DU18:EI18)-1)*5 + 4) = "SF"), INDEX($CZ$8:$CZ$23, COLUMNS($DU18:EI18)), "0"), "")</f>
        <v>0</v>
      </c>
      <c r="EJ18" s="390" t="str">
        <f t="array" ref="EJ18">IFERROR(IF(AND(INDEX($E$8:$CE$57, MATCH($C18, $C$8:$C$57, 0), (COLUMNS($DU18:EJ18)-1)*5 + 1) = INDEX($E$5:$CE$5, 1, (COLUMNS($DU18:EJ18)-1)*5 + 1), INDEX($E$8:$CE$57, MATCH($C18, $C$8:$C$57, 0), (COLUMNS($DU18:EJ18)-1)*5 + 4) = "SF"), INDEX($CZ$8:$CZ$23, COLUMNS($DU18:EJ18)), "0"), "")</f>
        <v>0</v>
      </c>
    </row>
    <row r="19" spans="1:140" ht="20.100000000000001" customHeight="1" x14ac:dyDescent="0.35">
      <c r="A19" s="515"/>
      <c r="B19" s="444">
        <f>IF(SEMANA29[[#This Row],[COD]]&lt;&gt;"",B18+1,"")</f>
        <v>12</v>
      </c>
      <c r="C19" s="554" t="s">
        <v>55</v>
      </c>
      <c r="D19" s="410" t="str">
        <f t="array" ref="D19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19" s="411"/>
      <c r="F19" s="412"/>
      <c r="G19" s="412"/>
      <c r="H19" s="412"/>
      <c r="I19" s="534">
        <f t="shared" si="0"/>
        <v>0</v>
      </c>
      <c r="J19" s="411"/>
      <c r="K19" s="412"/>
      <c r="L19" s="412"/>
      <c r="M19" s="412"/>
      <c r="N19" s="534">
        <f t="shared" si="1"/>
        <v>0</v>
      </c>
      <c r="O19" s="411"/>
      <c r="P19" s="412"/>
      <c r="Q19" s="412"/>
      <c r="R19" s="412"/>
      <c r="S19" s="534">
        <f t="shared" si="2"/>
        <v>0</v>
      </c>
      <c r="T19" s="411"/>
      <c r="U19" s="412"/>
      <c r="V19" s="412"/>
      <c r="W19" s="412"/>
      <c r="X19" s="534">
        <f t="shared" si="3"/>
        <v>0</v>
      </c>
      <c r="Y19" s="411"/>
      <c r="Z19" s="412"/>
      <c r="AA19" s="412"/>
      <c r="AB19" s="412"/>
      <c r="AC19" s="534">
        <f t="shared" si="4"/>
        <v>0</v>
      </c>
      <c r="AD19" s="411"/>
      <c r="AE19" s="412"/>
      <c r="AF19" s="412"/>
      <c r="AG19" s="412"/>
      <c r="AH19" s="534">
        <f t="shared" si="5"/>
        <v>0</v>
      </c>
      <c r="AI19" s="411"/>
      <c r="AJ19" s="412"/>
      <c r="AK19" s="412"/>
      <c r="AL19" s="412"/>
      <c r="AM19" s="534">
        <f t="shared" si="6"/>
        <v>0</v>
      </c>
      <c r="AN19" s="411"/>
      <c r="AO19" s="412"/>
      <c r="AP19" s="412"/>
      <c r="AQ19" s="412"/>
      <c r="AR19" s="534">
        <f t="shared" si="7"/>
        <v>0</v>
      </c>
      <c r="AS19" s="411"/>
      <c r="AT19" s="412"/>
      <c r="AU19" s="412"/>
      <c r="AV19" s="412"/>
      <c r="AW19" s="534">
        <f t="shared" si="8"/>
        <v>0</v>
      </c>
      <c r="AX19" s="411"/>
      <c r="AY19" s="412"/>
      <c r="AZ19" s="412"/>
      <c r="BA19" s="412"/>
      <c r="BB19" s="534">
        <f t="shared" si="9"/>
        <v>0</v>
      </c>
      <c r="BC19" s="411"/>
      <c r="BD19" s="412"/>
      <c r="BE19" s="412"/>
      <c r="BF19" s="412"/>
      <c r="BG19" s="534">
        <f t="shared" si="10"/>
        <v>0</v>
      </c>
      <c r="BH19" s="411"/>
      <c r="BI19" s="412"/>
      <c r="BJ19" s="412"/>
      <c r="BK19" s="412"/>
      <c r="BL19" s="534">
        <f t="shared" si="11"/>
        <v>0</v>
      </c>
      <c r="BM19" s="411"/>
      <c r="BN19" s="412"/>
      <c r="BO19" s="412"/>
      <c r="BP19" s="412"/>
      <c r="BQ19" s="534">
        <f t="shared" si="12"/>
        <v>0</v>
      </c>
      <c r="BR19" s="411"/>
      <c r="BS19" s="412"/>
      <c r="BT19" s="412"/>
      <c r="BU19" s="412"/>
      <c r="BV19" s="534">
        <f t="shared" si="13"/>
        <v>0</v>
      </c>
      <c r="BW19" s="411"/>
      <c r="BX19" s="412"/>
      <c r="BY19" s="412"/>
      <c r="BZ19" s="412"/>
      <c r="CA19" s="534">
        <f t="shared" si="14"/>
        <v>0</v>
      </c>
      <c r="CB19" s="411"/>
      <c r="CC19" s="412"/>
      <c r="CD19" s="412"/>
      <c r="CE19" s="412"/>
      <c r="CF19" s="534">
        <f t="shared" si="15"/>
        <v>0</v>
      </c>
      <c r="CG19" s="162">
        <f>IF(SEMANA29[[#This Row],[1]]="",0,$B$4)</f>
        <v>0</v>
      </c>
      <c r="CH19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19" s="164">
        <f>IF(SEMANA29[[#This Row],[Columna14]]=0,0,(CH19/CG19))</f>
        <v>0</v>
      </c>
      <c r="CJ19" s="163">
        <f>IF(SEMANA29[[#This Row],[1]]="",0,$B$4)</f>
        <v>0</v>
      </c>
      <c r="CK19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19" s="164">
        <f>IF(SEMANA29[[#This Row],[Columna14]]=0,0,(CK19/CJ19))</f>
        <v>0</v>
      </c>
      <c r="CM19" s="162">
        <f>IF(SEMANA29[[#This Row],[1]]="",0,$B$4)</f>
        <v>0</v>
      </c>
      <c r="CN19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19" s="164">
        <f>IF(SEMANA29[[#This Row],[Columna14]]=0,0,(CN19/CM19))</f>
        <v>0</v>
      </c>
      <c r="CP19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19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Row],[Columna25]],$AX$5,BA19,"SF")+COUNTIFS(SEMANA29[[#This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19" s="164">
        <f>IFERROR(IF(SEMANA29[[#This Row],[Columna14]]=0,0,(CQ19/CP19)),0)</f>
        <v>0</v>
      </c>
      <c r="CS19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19" s="93">
        <f>_xlfn.XLOOKUP(SEMANA29[[#This Row],[COD]],SEMANA2[COD],SEMANA2[Columna33])</f>
        <v>57.5</v>
      </c>
      <c r="CU19" s="536">
        <f t="shared" si="16"/>
        <v>57.5</v>
      </c>
      <c r="CV19" s="445" t="str">
        <f>IF(SEMANA29[[#This Row],[TIPO]]="PREMIO",$O$3,"0,00")</f>
        <v>0,00</v>
      </c>
      <c r="CW19" s="515"/>
      <c r="CY19" s="388">
        <v>12</v>
      </c>
      <c r="CZ19" s="349">
        <f>BI$6</f>
        <v>0</v>
      </c>
      <c r="DB19" s="537" t="str">
        <f>SEMANA29[[#This Row],[COD]]</f>
        <v>COD 12</v>
      </c>
      <c r="DC19" s="390" t="str">
        <f t="array" ref="DC19">IFERROR(IF(AND(INDEX($E$8:$CE$57, MATCH($C19, $C$8:$C$57, 0), (COLUMNS($DC19:DC19)-1)*5 + 1) = INDEX($E$5:$CE$5, 1, (COLUMNS($DC19:DC19)-1)*5 + 1), INDEX($E$8:$CE$57, MATCH($C19, $C$8:$C$57, 0), (COLUMNS($DC19:DC19)-1)*5 + 4) = "F"), INDEX($CZ$8:$CZ$23, COLUMNS($DC19:DC19)), "0"), "")</f>
        <v>0</v>
      </c>
      <c r="DD19" s="390" t="str">
        <f t="array" ref="DD19">IFERROR(IF(AND(INDEX($E$8:$CE$57, MATCH($C19, $C$8:$C$57, 0), (COLUMNS($DC19:DD19)-1)*5 + 1) = INDEX($E$5:$CE$5, 1, (COLUMNS($DC19:DD19)-1)*5 + 1), INDEX($E$8:$CE$57, MATCH($C19, $C$8:$C$57, 0), (COLUMNS($DC19:DD19)-1)*5 + 4) = "F"), INDEX($CZ$8:$CZ$23, COLUMNS($DC19:DD19)), "0"), "")</f>
        <v>0</v>
      </c>
      <c r="DE19" s="390" t="str">
        <f t="array" ref="DE19">IFERROR(IF(AND(INDEX($E$8:$CE$57, MATCH($C19, $C$8:$C$57, 0), (COLUMNS($DC19:DE19)-1)*5 + 1) = INDEX($E$5:$CE$5, 1, (COLUMNS($DC19:DE19)-1)*5 + 1), INDEX($E$8:$CE$57, MATCH($C19, $C$8:$C$57, 0), (COLUMNS($DC19:DE19)-1)*5 + 4) = "F"), INDEX($CZ$8:$CZ$23, COLUMNS($DC19:DE19)), "0"), "")</f>
        <v>0</v>
      </c>
      <c r="DF19" s="390" t="str">
        <f t="array" ref="DF19">IFERROR(IF(AND(INDEX($E$8:$CE$57, MATCH($C19, $C$8:$C$57, 0), (COLUMNS($DC19:DF19)-1)*5 + 1) = INDEX($E$5:$CE$5, 1, (COLUMNS($DC19:DF19)-1)*5 + 1), INDEX($E$8:$CE$57, MATCH($C19, $C$8:$C$57, 0), (COLUMNS($DC19:DF19)-1)*5 + 4) = "F"), INDEX($CZ$8:$CZ$23, COLUMNS($DC19:DF19)), "0"), "")</f>
        <v>0</v>
      </c>
      <c r="DG19" s="390" t="str">
        <f t="array" ref="DG19">IFERROR(IF(AND(INDEX($E$8:$CE$57, MATCH($C19, $C$8:$C$57, 0), (COLUMNS($DC19:DG19)-1)*5 + 1) = INDEX($E$5:$CE$5, 1, (COLUMNS($DC19:DG19)-1)*5 + 1), INDEX($E$8:$CE$57, MATCH($C19, $C$8:$C$57, 0), (COLUMNS($DC19:DG19)-1)*5 + 4) = "F"), INDEX($CZ$8:$CZ$23, COLUMNS($DC19:DG19)), "0"), "")</f>
        <v>0</v>
      </c>
      <c r="DH19" s="390" t="str">
        <f t="array" ref="DH19">IFERROR(IF(AND(INDEX($E$8:$CE$57, MATCH($C19, $C$8:$C$57, 0), (COLUMNS($DC19:DH19)-1)*5 + 1) = INDEX($E$5:$CE$5, 1, (COLUMNS($DC19:DH19)-1)*5 + 1), INDEX($E$8:$CE$57, MATCH($C19, $C$8:$C$57, 0), (COLUMNS($DC19:DH19)-1)*5 + 4) = "F"), INDEX($CZ$8:$CZ$23, COLUMNS($DC19:DH19)), "0"), "")</f>
        <v>0</v>
      </c>
      <c r="DI19" s="390" t="str">
        <f t="array" ref="DI19">IFERROR(IF(AND(INDEX($E$8:$CE$57, MATCH($C19, $C$8:$C$57, 0), (COLUMNS($DC19:DI19)-1)*5 + 1) = INDEX($E$5:$CE$5, 1, (COLUMNS($DC19:DI19)-1)*5 + 1), INDEX($E$8:$CE$57, MATCH($C19, $C$8:$C$57, 0), (COLUMNS($DC19:DI19)-1)*5 + 4) = "F"), INDEX($CZ$8:$CZ$23, COLUMNS($DC19:DI19)), "0"), "")</f>
        <v>0</v>
      </c>
      <c r="DJ19" s="390" t="str">
        <f t="array" ref="DJ19">IFERROR(IF(AND(INDEX($E$8:$CE$57, MATCH($C19, $C$8:$C$57, 0), (COLUMNS($DC19:DJ19)-1)*5 + 1) = INDEX($E$5:$CE$5, 1, (COLUMNS($DC19:DJ19)-1)*5 + 1), INDEX($E$8:$CE$57, MATCH($C19, $C$8:$C$57, 0), (COLUMNS($DC19:DJ19)-1)*5 + 4) = "F"), INDEX($CZ$8:$CZ$23, COLUMNS($DC19:DJ19)), "0"), "")</f>
        <v>0</v>
      </c>
      <c r="DK19" s="390" t="str">
        <f t="array" ref="DK19">IFERROR(IF(AND(INDEX($E$8:$CE$57, MATCH($C19, $C$8:$C$57, 0), (COLUMNS($DC19:DK19)-1)*5 + 1) = INDEX($E$5:$CE$5, 1, (COLUMNS($DC19:DK19)-1)*5 + 1), INDEX($E$8:$CE$57, MATCH($C19, $C$8:$C$57, 0), (COLUMNS($DC19:DK19)-1)*5 + 4) = "F"), INDEX($CZ$8:$CZ$23, COLUMNS($DC19:DK19)), "0"), "")</f>
        <v>0</v>
      </c>
      <c r="DL19" s="390" t="str">
        <f t="array" ref="DL19">IFERROR(IF(AND(INDEX($E$8:$CE$57, MATCH($C19, $C$8:$C$57, 0), (COLUMNS($DC19:DL19)-1)*5 + 1) = INDEX($E$5:$CE$5, 1, (COLUMNS($DC19:DL19)-1)*5 + 1), INDEX($E$8:$CE$57, MATCH($C19, $C$8:$C$57, 0), (COLUMNS($DC19:DL19)-1)*5 + 4) = "F"), INDEX($CZ$8:$CZ$23, COLUMNS($DC19:DL19)), "0"), "")</f>
        <v>0</v>
      </c>
      <c r="DM19" s="390" t="str">
        <f t="array" ref="DM19">IFERROR(IF(AND(INDEX($E$8:$CE$57, MATCH($C19, $C$8:$C$57, 0), (COLUMNS($DC19:DM19)-1)*5 + 1) = INDEX($E$5:$CE$5, 1, (COLUMNS($DC19:DM19)-1)*5 + 1), INDEX($E$8:$CE$57, MATCH($C19, $C$8:$C$57, 0), (COLUMNS($DC19:DM19)-1)*5 + 4) = "F"), INDEX($CZ$8:$CZ$23, COLUMNS($DC19:DM19)), "0"), "")</f>
        <v>0</v>
      </c>
      <c r="DN19" s="390" t="str">
        <f t="array" ref="DN19">IFERROR(IF(AND(INDEX($E$8:$CE$57, MATCH($C19, $C$8:$C$57, 0), (COLUMNS($DC19:DN19)-1)*5 + 1) = INDEX($E$5:$CE$5, 1, (COLUMNS($DC19:DN19)-1)*5 + 1), INDEX($E$8:$CE$57, MATCH($C19, $C$8:$C$57, 0), (COLUMNS($DC19:DN19)-1)*5 + 4) = "F"), INDEX($CZ$8:$CZ$23, COLUMNS($DC19:DN19)), "0"), "")</f>
        <v>0</v>
      </c>
      <c r="DO19" s="390" t="str">
        <f t="array" ref="DO19">IFERROR(IF(AND(INDEX($E$8:$CE$57, MATCH($C19, $C$8:$C$57, 0), (COLUMNS($DC19:DO19)-1)*5 + 1) = INDEX($E$5:$CE$5, 1, (COLUMNS($DC19:DO19)-1)*5 + 1), INDEX($E$8:$CE$57, MATCH($C19, $C$8:$C$57, 0), (COLUMNS($DC19:DO19)-1)*5 + 4) = "F"), INDEX($CZ$8:$CZ$23, COLUMNS($DC19:DO19)), "0"), "")</f>
        <v>0</v>
      </c>
      <c r="DP19" s="390" t="str">
        <f t="array" ref="DP19">IFERROR(IF(AND(INDEX($E$8:$CE$57, MATCH($C19, $C$8:$C$57, 0), (COLUMNS($DC19:DP19)-1)*5 + 1) = INDEX($E$5:$CE$5, 1, (COLUMNS($DC19:DP19)-1)*5 + 1), INDEX($E$8:$CE$57, MATCH($C19, $C$8:$C$57, 0), (COLUMNS($DC19:DP19)-1)*5 + 4) = "F"), INDEX($CZ$8:$CZ$23, COLUMNS($DC19:DP19)), "0"), "")</f>
        <v>0</v>
      </c>
      <c r="DQ19" s="390" t="str">
        <f t="array" ref="DQ19">IFERROR(IF(AND(INDEX($E$8:$CE$57, MATCH($C19, $C$8:$C$57, 0), (COLUMNS($DC19:DQ19)-1)*5 + 1) = INDEX($E$5:$CE$5, 1, (COLUMNS($DC19:DQ19)-1)*5 + 1), INDEX($E$8:$CE$57, MATCH($C19, $C$8:$C$57, 0), (COLUMNS($DC19:DQ19)-1)*5 + 4) = "F"), INDEX($CZ$8:$CZ$23, COLUMNS($DC19:DQ19)), "0"), "")</f>
        <v>0</v>
      </c>
      <c r="DR19" s="390" t="str">
        <f t="array" ref="DR19">IFERROR(IF(AND(INDEX($E$8:$CE$57, MATCH($C19, $C$8:$C$57, 0), (COLUMNS($DC19:DR19)-1)*5 + 1) = INDEX($E$5:$CE$5, 1, (COLUMNS($DC19:DR19)-1)*5 + 1), INDEX($E$8:$CE$57, MATCH($C19, $C$8:$C$57, 0), (COLUMNS($DC19:DR19)-1)*5 + 4) = "F"), INDEX($CZ$8:$CZ$23, COLUMNS($DC19:DR19)), "0"), "")</f>
        <v>0</v>
      </c>
      <c r="DT19" s="537" t="str">
        <f>SEMANA29[[#This Row],[COD]]</f>
        <v>COD 12</v>
      </c>
      <c r="DU19" s="390" t="str">
        <f t="array" ref="DU19">IFERROR(IF(AND(INDEX($E$8:$CE$57, MATCH($C19, $C$8:$C$57, 0), (COLUMNS($DU19:DU19)-1)*5 + 1) = INDEX($E$5:$CE$5, 1, (COLUMNS($DU19:DU19)-1)*5 + 1), INDEX($E$8:$CE$57, MATCH($C19, $C$8:$C$57, 0), (COLUMNS($DU19:DU19)-1)*5 + 4) = "SF"), INDEX($CZ$8:$CZ$23, COLUMNS($DU19:DU19)), "0"), "")</f>
        <v>0</v>
      </c>
      <c r="DV19" s="390" t="str">
        <f t="array" ref="DV19">IFERROR(IF(AND(INDEX($E$8:$CE$57, MATCH($C19, $C$8:$C$57, 0), (COLUMNS($DU19:DV19)-1)*5 + 1) = INDEX($E$5:$CE$5, 1, (COLUMNS($DU19:DV19)-1)*5 + 1), INDEX($E$8:$CE$57, MATCH($C19, $C$8:$C$57, 0), (COLUMNS($DU19:DV19)-1)*5 + 4) = "SF"), INDEX($CZ$8:$CZ$23, COLUMNS($DU19:DV19)), "0"), "")</f>
        <v>0</v>
      </c>
      <c r="DW19" s="390" t="str">
        <f t="array" ref="DW19">IFERROR(IF(AND(INDEX($E$8:$CE$57, MATCH($C19, $C$8:$C$57, 0), (COLUMNS($DU19:DW19)-1)*5 + 1) = INDEX($E$5:$CE$5, 1, (COLUMNS($DU19:DW19)-1)*5 + 1), INDEX($E$8:$CE$57, MATCH($C19, $C$8:$C$57, 0), (COLUMNS($DU19:DW19)-1)*5 + 4) = "SF"), INDEX($CZ$8:$CZ$23, COLUMNS($DU19:DW19)), "0"), "")</f>
        <v>0</v>
      </c>
      <c r="DX19" s="390" t="str">
        <f t="array" ref="DX19">IFERROR(IF(AND(INDEX($E$8:$CE$57, MATCH($C19, $C$8:$C$57, 0), (COLUMNS($DU19:DX19)-1)*5 + 1) = INDEX($E$5:$CE$5, 1, (COLUMNS($DU19:DX19)-1)*5 + 1), INDEX($E$8:$CE$57, MATCH($C19, $C$8:$C$57, 0), (COLUMNS($DU19:DX19)-1)*5 + 4) = "SF"), INDEX($CZ$8:$CZ$23, COLUMNS($DU19:DX19)), "0"), "")</f>
        <v>0</v>
      </c>
      <c r="DY19" s="390" t="str">
        <f t="array" ref="DY19">IFERROR(IF(AND(INDEX($E$8:$CE$57, MATCH($C19, $C$8:$C$57, 0), (COLUMNS($DU19:DY19)-1)*5 + 1) = INDEX($E$5:$CE$5, 1, (COLUMNS($DU19:DY19)-1)*5 + 1), INDEX($E$8:$CE$57, MATCH($C19, $C$8:$C$57, 0), (COLUMNS($DU19:DY19)-1)*5 + 4) = "SF"), INDEX($CZ$8:$CZ$23, COLUMNS($DU19:DY19)), "0"), "")</f>
        <v>0</v>
      </c>
      <c r="DZ19" s="390" t="str">
        <f t="array" ref="DZ19">IFERROR(IF(AND(INDEX($E$8:$CE$57, MATCH($C19, $C$8:$C$57, 0), (COLUMNS($DU19:DZ19)-1)*5 + 1) = INDEX($E$5:$CE$5, 1, (COLUMNS($DU19:DZ19)-1)*5 + 1), INDEX($E$8:$CE$57, MATCH($C19, $C$8:$C$57, 0), (COLUMNS($DU19:DZ19)-1)*5 + 4) = "SF"), INDEX($CZ$8:$CZ$23, COLUMNS($DU19:DZ19)), "0"), "")</f>
        <v>0</v>
      </c>
      <c r="EA19" s="390" t="str">
        <f t="array" ref="EA19">IFERROR(IF(AND(INDEX($E$8:$CE$57, MATCH($C19, $C$8:$C$57, 0), (COLUMNS($DU19:EA19)-1)*5 + 1) = INDEX($E$5:$CE$5, 1, (COLUMNS($DU19:EA19)-1)*5 + 1), INDEX($E$8:$CE$57, MATCH($C19, $C$8:$C$57, 0), (COLUMNS($DU19:EA19)-1)*5 + 4) = "SF"), INDEX($CZ$8:$CZ$23, COLUMNS($DU19:EA19)), "0"), "")</f>
        <v>0</v>
      </c>
      <c r="EB19" s="390" t="str">
        <f t="array" ref="EB19">IFERROR(IF(AND(INDEX($E$8:$CE$57, MATCH($C19, $C$8:$C$57, 0), (COLUMNS($DU19:EB19)-1)*5 + 1) = INDEX($E$5:$CE$5, 1, (COLUMNS($DU19:EB19)-1)*5 + 1), INDEX($E$8:$CE$57, MATCH($C19, $C$8:$C$57, 0), (COLUMNS($DU19:EB19)-1)*5 + 4) = "SF"), INDEX($CZ$8:$CZ$23, COLUMNS($DU19:EB19)), "0"), "")</f>
        <v>0</v>
      </c>
      <c r="EC19" s="390" t="str">
        <f t="array" ref="EC19">IFERROR(IF(AND(INDEX($E$8:$CE$57, MATCH($C19, $C$8:$C$57, 0), (COLUMNS($DU19:EC19)-1)*5 + 1) = INDEX($E$5:$CE$5, 1, (COLUMNS($DU19:EC19)-1)*5 + 1), INDEX($E$8:$CE$57, MATCH($C19, $C$8:$C$57, 0), (COLUMNS($DU19:EC19)-1)*5 + 4) = "SF"), INDEX($CZ$8:$CZ$23, COLUMNS($DU19:EC19)), "0"), "")</f>
        <v>0</v>
      </c>
      <c r="ED19" s="390" t="str">
        <f t="array" ref="ED19">IFERROR(IF(AND(INDEX($E$8:$CE$57, MATCH($C19, $C$8:$C$57, 0), (COLUMNS($DU19:ED19)-1)*5 + 1) = INDEX($E$5:$CE$5, 1, (COLUMNS($DU19:ED19)-1)*5 + 1), INDEX($E$8:$CE$57, MATCH($C19, $C$8:$C$57, 0), (COLUMNS($DU19:ED19)-1)*5 + 4) = "SF"), INDEX($CZ$8:$CZ$23, COLUMNS($DU19:ED19)), "0"), "")</f>
        <v>0</v>
      </c>
      <c r="EE19" s="390" t="str">
        <f t="array" ref="EE19">IFERROR(IF(AND(INDEX($E$8:$CE$57, MATCH($C19, $C$8:$C$57, 0), (COLUMNS($DU19:EE19)-1)*5 + 1) = INDEX($E$5:$CE$5, 1, (COLUMNS($DU19:EE19)-1)*5 + 1), INDEX($E$8:$CE$57, MATCH($C19, $C$8:$C$57, 0), (COLUMNS($DU19:EE19)-1)*5 + 4) = "SF"), INDEX($CZ$8:$CZ$23, COLUMNS($DU19:EE19)), "0"), "")</f>
        <v>0</v>
      </c>
      <c r="EF19" s="390" t="str">
        <f t="array" ref="EF19">IFERROR(IF(AND(INDEX($E$8:$CE$57, MATCH($C19, $C$8:$C$57, 0), (COLUMNS($DU19:EF19)-1)*5 + 1) = INDEX($E$5:$CE$5, 1, (COLUMNS($DU19:EF19)-1)*5 + 1), INDEX($E$8:$CE$57, MATCH($C19, $C$8:$C$57, 0), (COLUMNS($DU19:EF19)-1)*5 + 4) = "SF"), INDEX($CZ$8:$CZ$23, COLUMNS($DU19:EF19)), "0"), "")</f>
        <v>0</v>
      </c>
      <c r="EG19" s="390" t="str">
        <f t="array" ref="EG19">IFERROR(IF(AND(INDEX($E$8:$CE$57, MATCH($C19, $C$8:$C$57, 0), (COLUMNS($DU19:EG19)-1)*5 + 1) = INDEX($E$5:$CE$5, 1, (COLUMNS($DU19:EG19)-1)*5 + 1), INDEX($E$8:$CE$57, MATCH($C19, $C$8:$C$57, 0), (COLUMNS($DU19:EG19)-1)*5 + 4) = "SF"), INDEX($CZ$8:$CZ$23, COLUMNS($DU19:EG19)), "0"), "")</f>
        <v>0</v>
      </c>
      <c r="EH19" s="390" t="str">
        <f t="array" ref="EH19">IFERROR(IF(AND(INDEX($E$8:$CE$57, MATCH($C19, $C$8:$C$57, 0), (COLUMNS($DU19:EH19)-1)*5 + 1) = INDEX($E$5:$CE$5, 1, (COLUMNS($DU19:EH19)-1)*5 + 1), INDEX($E$8:$CE$57, MATCH($C19, $C$8:$C$57, 0), (COLUMNS($DU19:EH19)-1)*5 + 4) = "SF"), INDEX($CZ$8:$CZ$23, COLUMNS($DU19:EH19)), "0"), "")</f>
        <v>0</v>
      </c>
      <c r="EI19" s="390" t="str">
        <f t="array" ref="EI19">IFERROR(IF(AND(INDEX($E$8:$CE$57, MATCH($C19, $C$8:$C$57, 0), (COLUMNS($DU19:EI19)-1)*5 + 1) = INDEX($E$5:$CE$5, 1, (COLUMNS($DU19:EI19)-1)*5 + 1), INDEX($E$8:$CE$57, MATCH($C19, $C$8:$C$57, 0), (COLUMNS($DU19:EI19)-1)*5 + 4) = "SF"), INDEX($CZ$8:$CZ$23, COLUMNS($DU19:EI19)), "0"), "")</f>
        <v>0</v>
      </c>
      <c r="EJ19" s="390" t="str">
        <f t="array" ref="EJ19">IFERROR(IF(AND(INDEX($E$8:$CE$57, MATCH($C19, $C$8:$C$57, 0), (COLUMNS($DU19:EJ19)-1)*5 + 1) = INDEX($E$5:$CE$5, 1, (COLUMNS($DU19:EJ19)-1)*5 + 1), INDEX($E$8:$CE$57, MATCH($C19, $C$8:$C$57, 0), (COLUMNS($DU19:EJ19)-1)*5 + 4) = "SF"), INDEX($CZ$8:$CZ$23, COLUMNS($DU19:EJ19)), "0"), "")</f>
        <v>0</v>
      </c>
    </row>
    <row r="20" spans="1:140" ht="20.100000000000001" customHeight="1" x14ac:dyDescent="0.35">
      <c r="A20" s="515"/>
      <c r="B20" s="444">
        <f>IF(SEMANA29[[#This Row],[COD]]&lt;&gt;"",B19+1,"")</f>
        <v>13</v>
      </c>
      <c r="C20" s="554" t="s">
        <v>56</v>
      </c>
      <c r="D20" s="410" t="str">
        <f t="array" ref="D20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MEETING</v>
      </c>
      <c r="E20" s="414"/>
      <c r="F20" s="414"/>
      <c r="G20" s="414"/>
      <c r="H20" s="414"/>
      <c r="I20" s="534">
        <f t="shared" si="0"/>
        <v>0</v>
      </c>
      <c r="J20" s="414"/>
      <c r="K20" s="414"/>
      <c r="L20" s="414"/>
      <c r="M20" s="414"/>
      <c r="N20" s="534">
        <f t="shared" si="1"/>
        <v>0</v>
      </c>
      <c r="O20" s="414"/>
      <c r="P20" s="414"/>
      <c r="Q20" s="414"/>
      <c r="R20" s="414"/>
      <c r="S20" s="534">
        <f t="shared" si="2"/>
        <v>0</v>
      </c>
      <c r="T20" s="414"/>
      <c r="U20" s="414"/>
      <c r="V20" s="414"/>
      <c r="W20" s="414"/>
      <c r="X20" s="534">
        <f t="shared" si="3"/>
        <v>0</v>
      </c>
      <c r="Y20" s="414"/>
      <c r="Z20" s="414"/>
      <c r="AA20" s="414"/>
      <c r="AB20" s="414"/>
      <c r="AC20" s="534">
        <f t="shared" si="4"/>
        <v>0</v>
      </c>
      <c r="AD20" s="414"/>
      <c r="AE20" s="414"/>
      <c r="AF20" s="414"/>
      <c r="AG20" s="414"/>
      <c r="AH20" s="534">
        <f t="shared" si="5"/>
        <v>0</v>
      </c>
      <c r="AI20" s="414"/>
      <c r="AJ20" s="414"/>
      <c r="AK20" s="414"/>
      <c r="AL20" s="414"/>
      <c r="AM20" s="534">
        <f t="shared" si="6"/>
        <v>0</v>
      </c>
      <c r="AN20" s="414"/>
      <c r="AO20" s="414"/>
      <c r="AP20" s="414"/>
      <c r="AQ20" s="414"/>
      <c r="AR20" s="534">
        <f t="shared" si="7"/>
        <v>0</v>
      </c>
      <c r="AS20" s="414"/>
      <c r="AT20" s="414"/>
      <c r="AU20" s="414"/>
      <c r="AV20" s="414"/>
      <c r="AW20" s="534">
        <f t="shared" si="8"/>
        <v>0</v>
      </c>
      <c r="AX20" s="414"/>
      <c r="AY20" s="414"/>
      <c r="AZ20" s="414"/>
      <c r="BA20" s="414"/>
      <c r="BB20" s="534">
        <f t="shared" si="9"/>
        <v>0</v>
      </c>
      <c r="BC20" s="414"/>
      <c r="BD20" s="414"/>
      <c r="BE20" s="414"/>
      <c r="BF20" s="414"/>
      <c r="BG20" s="534">
        <f t="shared" si="10"/>
        <v>0</v>
      </c>
      <c r="BH20" s="414"/>
      <c r="BI20" s="414"/>
      <c r="BJ20" s="414"/>
      <c r="BK20" s="414"/>
      <c r="BL20" s="534">
        <f t="shared" si="11"/>
        <v>0</v>
      </c>
      <c r="BM20" s="414"/>
      <c r="BN20" s="414"/>
      <c r="BO20" s="414"/>
      <c r="BP20" s="414"/>
      <c r="BQ20" s="534">
        <f t="shared" si="12"/>
        <v>0</v>
      </c>
      <c r="BR20" s="414"/>
      <c r="BS20" s="414"/>
      <c r="BT20" s="414"/>
      <c r="BU20" s="414"/>
      <c r="BV20" s="534">
        <f t="shared" si="13"/>
        <v>0</v>
      </c>
      <c r="BW20" s="414"/>
      <c r="BX20" s="414"/>
      <c r="BY20" s="414"/>
      <c r="BZ20" s="414"/>
      <c r="CA20" s="534">
        <f t="shared" si="14"/>
        <v>0</v>
      </c>
      <c r="CB20" s="414"/>
      <c r="CC20" s="414"/>
      <c r="CD20" s="414"/>
      <c r="CE20" s="414"/>
      <c r="CF20" s="534">
        <f t="shared" si="15"/>
        <v>0</v>
      </c>
      <c r="CG20" s="162">
        <f>IF(SEMANA29[[#This Row],[1]]="",0,$B$4)</f>
        <v>0</v>
      </c>
      <c r="CH20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20" s="164">
        <f>IF(SEMANA29[[#This Row],[Columna14]]=0,0,(CH20/CG20))</f>
        <v>0</v>
      </c>
      <c r="CJ20" s="163">
        <f>IF(SEMANA29[[#This Row],[1]]="",0,$B$4)</f>
        <v>0</v>
      </c>
      <c r="CK20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20" s="164">
        <f>IF(SEMANA29[[#This Row],[Columna14]]=0,0,(CK20/CJ20))</f>
        <v>0</v>
      </c>
      <c r="CM20" s="162">
        <f>IF(SEMANA29[[#This Row],[1]]="",0,$B$4)</f>
        <v>0</v>
      </c>
      <c r="CN20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20" s="164">
        <f>IF(SEMANA29[[#This Row],[Columna14]]=0,0,(CN20/CM20))</f>
        <v>0</v>
      </c>
      <c r="CP20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20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Row],[Columna25]],$AX$5,BA20,"SF")+COUNTIFS(SEMANA29[[#This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20" s="164">
        <f>IFERROR(IF(SEMANA29[[#This Row],[Columna14]]=0,0,(CQ20/CP20)),0)</f>
        <v>0</v>
      </c>
      <c r="CS20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20" s="93">
        <f>_xlfn.XLOOKUP(SEMANA29[[#This Row],[COD]],SEMANA2[COD],SEMANA2[Columna33])</f>
        <v>58.5</v>
      </c>
      <c r="CU20" s="536">
        <f t="shared" si="16"/>
        <v>58.5</v>
      </c>
      <c r="CV20" s="445" t="str">
        <f>IF(SEMANA29[[#This Row],[TIPO]]="PREMIO",$O$3,"0,00")</f>
        <v>0,00</v>
      </c>
      <c r="CW20" s="515"/>
      <c r="CY20" s="388">
        <v>13</v>
      </c>
      <c r="CZ20" s="349">
        <f>BN$6</f>
        <v>0</v>
      </c>
      <c r="DB20" s="537" t="str">
        <f>SEMANA29[[#This Row],[COD]]</f>
        <v>COD 13</v>
      </c>
      <c r="DC20" s="390" t="str">
        <f t="array" ref="DC20">IFERROR(IF(AND(INDEX($E$8:$CE$57, MATCH($C20, $C$8:$C$57, 0), (COLUMNS($DC20:DC20)-1)*5 + 1) = INDEX($E$5:$CE$5, 1, (COLUMNS($DC20:DC20)-1)*5 + 1), INDEX($E$8:$CE$57, MATCH($C20, $C$8:$C$57, 0), (COLUMNS($DC20:DC20)-1)*5 + 4) = "F"), INDEX($CZ$8:$CZ$23, COLUMNS($DC20:DC20)), "0"), "")</f>
        <v>0</v>
      </c>
      <c r="DD20" s="390" t="str">
        <f t="array" ref="DD20">IFERROR(IF(AND(INDEX($E$8:$CE$57, MATCH($C20, $C$8:$C$57, 0), (COLUMNS($DC20:DD20)-1)*5 + 1) = INDEX($E$5:$CE$5, 1, (COLUMNS($DC20:DD20)-1)*5 + 1), INDEX($E$8:$CE$57, MATCH($C20, $C$8:$C$57, 0), (COLUMNS($DC20:DD20)-1)*5 + 4) = "F"), INDEX($CZ$8:$CZ$23, COLUMNS($DC20:DD20)), "0"), "")</f>
        <v>0</v>
      </c>
      <c r="DE20" s="390" t="str">
        <f t="array" ref="DE20">IFERROR(IF(AND(INDEX($E$8:$CE$57, MATCH($C20, $C$8:$C$57, 0), (COLUMNS($DC20:DE20)-1)*5 + 1) = INDEX($E$5:$CE$5, 1, (COLUMNS($DC20:DE20)-1)*5 + 1), INDEX($E$8:$CE$57, MATCH($C20, $C$8:$C$57, 0), (COLUMNS($DC20:DE20)-1)*5 + 4) = "F"), INDEX($CZ$8:$CZ$23, COLUMNS($DC20:DE20)), "0"), "")</f>
        <v>0</v>
      </c>
      <c r="DF20" s="390" t="str">
        <f t="array" ref="DF20">IFERROR(IF(AND(INDEX($E$8:$CE$57, MATCH($C20, $C$8:$C$57, 0), (COLUMNS($DC20:DF20)-1)*5 + 1) = INDEX($E$5:$CE$5, 1, (COLUMNS($DC20:DF20)-1)*5 + 1), INDEX($E$8:$CE$57, MATCH($C20, $C$8:$C$57, 0), (COLUMNS($DC20:DF20)-1)*5 + 4) = "F"), INDEX($CZ$8:$CZ$23, COLUMNS($DC20:DF20)), "0"), "")</f>
        <v>0</v>
      </c>
      <c r="DG20" s="390" t="str">
        <f t="array" ref="DG20">IFERROR(IF(AND(INDEX($E$8:$CE$57, MATCH($C20, $C$8:$C$57, 0), (COLUMNS($DC20:DG20)-1)*5 + 1) = INDEX($E$5:$CE$5, 1, (COLUMNS($DC20:DG20)-1)*5 + 1), INDEX($E$8:$CE$57, MATCH($C20, $C$8:$C$57, 0), (COLUMNS($DC20:DG20)-1)*5 + 4) = "F"), INDEX($CZ$8:$CZ$23, COLUMNS($DC20:DG20)), "0"), "")</f>
        <v>0</v>
      </c>
      <c r="DH20" s="390" t="str">
        <f t="array" ref="DH20">IFERROR(IF(AND(INDEX($E$8:$CE$57, MATCH($C20, $C$8:$C$57, 0), (COLUMNS($DC20:DH20)-1)*5 + 1) = INDEX($E$5:$CE$5, 1, (COLUMNS($DC20:DH20)-1)*5 + 1), INDEX($E$8:$CE$57, MATCH($C20, $C$8:$C$57, 0), (COLUMNS($DC20:DH20)-1)*5 + 4) = "F"), INDEX($CZ$8:$CZ$23, COLUMNS($DC20:DH20)), "0"), "")</f>
        <v>0</v>
      </c>
      <c r="DI20" s="390" t="str">
        <f t="array" ref="DI20">IFERROR(IF(AND(INDEX($E$8:$CE$57, MATCH($C20, $C$8:$C$57, 0), (COLUMNS($DC20:DI20)-1)*5 + 1) = INDEX($E$5:$CE$5, 1, (COLUMNS($DC20:DI20)-1)*5 + 1), INDEX($E$8:$CE$57, MATCH($C20, $C$8:$C$57, 0), (COLUMNS($DC20:DI20)-1)*5 + 4) = "F"), INDEX($CZ$8:$CZ$23, COLUMNS($DC20:DI20)), "0"), "")</f>
        <v>0</v>
      </c>
      <c r="DJ20" s="390" t="str">
        <f t="array" ref="DJ20">IFERROR(IF(AND(INDEX($E$8:$CE$57, MATCH($C20, $C$8:$C$57, 0), (COLUMNS($DC20:DJ20)-1)*5 + 1) = INDEX($E$5:$CE$5, 1, (COLUMNS($DC20:DJ20)-1)*5 + 1), INDEX($E$8:$CE$57, MATCH($C20, $C$8:$C$57, 0), (COLUMNS($DC20:DJ20)-1)*5 + 4) = "F"), INDEX($CZ$8:$CZ$23, COLUMNS($DC20:DJ20)), "0"), "")</f>
        <v>0</v>
      </c>
      <c r="DK20" s="390" t="str">
        <f t="array" ref="DK20">IFERROR(IF(AND(INDEX($E$8:$CE$57, MATCH($C20, $C$8:$C$57, 0), (COLUMNS($DC20:DK20)-1)*5 + 1) = INDEX($E$5:$CE$5, 1, (COLUMNS($DC20:DK20)-1)*5 + 1), INDEX($E$8:$CE$57, MATCH($C20, $C$8:$C$57, 0), (COLUMNS($DC20:DK20)-1)*5 + 4) = "F"), INDEX($CZ$8:$CZ$23, COLUMNS($DC20:DK20)), "0"), "")</f>
        <v>0</v>
      </c>
      <c r="DL20" s="390" t="str">
        <f t="array" ref="DL20">IFERROR(IF(AND(INDEX($E$8:$CE$57, MATCH($C20, $C$8:$C$57, 0), (COLUMNS($DC20:DL20)-1)*5 + 1) = INDEX($E$5:$CE$5, 1, (COLUMNS($DC20:DL20)-1)*5 + 1), INDEX($E$8:$CE$57, MATCH($C20, $C$8:$C$57, 0), (COLUMNS($DC20:DL20)-1)*5 + 4) = "F"), INDEX($CZ$8:$CZ$23, COLUMNS($DC20:DL20)), "0"), "")</f>
        <v>0</v>
      </c>
      <c r="DM20" s="390" t="str">
        <f t="array" ref="DM20">IFERROR(IF(AND(INDEX($E$8:$CE$57, MATCH($C20, $C$8:$C$57, 0), (COLUMNS($DC20:DM20)-1)*5 + 1) = INDEX($E$5:$CE$5, 1, (COLUMNS($DC20:DM20)-1)*5 + 1), INDEX($E$8:$CE$57, MATCH($C20, $C$8:$C$57, 0), (COLUMNS($DC20:DM20)-1)*5 + 4) = "F"), INDEX($CZ$8:$CZ$23, COLUMNS($DC20:DM20)), "0"), "")</f>
        <v>0</v>
      </c>
      <c r="DN20" s="390" t="str">
        <f t="array" ref="DN20">IFERROR(IF(AND(INDEX($E$8:$CE$57, MATCH($C20, $C$8:$C$57, 0), (COLUMNS($DC20:DN20)-1)*5 + 1) = INDEX($E$5:$CE$5, 1, (COLUMNS($DC20:DN20)-1)*5 + 1), INDEX($E$8:$CE$57, MATCH($C20, $C$8:$C$57, 0), (COLUMNS($DC20:DN20)-1)*5 + 4) = "F"), INDEX($CZ$8:$CZ$23, COLUMNS($DC20:DN20)), "0"), "")</f>
        <v>0</v>
      </c>
      <c r="DO20" s="390" t="str">
        <f t="array" ref="DO20">IFERROR(IF(AND(INDEX($E$8:$CE$57, MATCH($C20, $C$8:$C$57, 0), (COLUMNS($DC20:DO20)-1)*5 + 1) = INDEX($E$5:$CE$5, 1, (COLUMNS($DC20:DO20)-1)*5 + 1), INDEX($E$8:$CE$57, MATCH($C20, $C$8:$C$57, 0), (COLUMNS($DC20:DO20)-1)*5 + 4) = "F"), INDEX($CZ$8:$CZ$23, COLUMNS($DC20:DO20)), "0"), "")</f>
        <v>0</v>
      </c>
      <c r="DP20" s="390" t="str">
        <f t="array" ref="DP20">IFERROR(IF(AND(INDEX($E$8:$CE$57, MATCH($C20, $C$8:$C$57, 0), (COLUMNS($DC20:DP20)-1)*5 + 1) = INDEX($E$5:$CE$5, 1, (COLUMNS($DC20:DP20)-1)*5 + 1), INDEX($E$8:$CE$57, MATCH($C20, $C$8:$C$57, 0), (COLUMNS($DC20:DP20)-1)*5 + 4) = "F"), INDEX($CZ$8:$CZ$23, COLUMNS($DC20:DP20)), "0"), "")</f>
        <v>0</v>
      </c>
      <c r="DQ20" s="390" t="str">
        <f t="array" ref="DQ20">IFERROR(IF(AND(INDEX($E$8:$CE$57, MATCH($C20, $C$8:$C$57, 0), (COLUMNS($DC20:DQ20)-1)*5 + 1) = INDEX($E$5:$CE$5, 1, (COLUMNS($DC20:DQ20)-1)*5 + 1), INDEX($E$8:$CE$57, MATCH($C20, $C$8:$C$57, 0), (COLUMNS($DC20:DQ20)-1)*5 + 4) = "F"), INDEX($CZ$8:$CZ$23, COLUMNS($DC20:DQ20)), "0"), "")</f>
        <v>0</v>
      </c>
      <c r="DR20" s="390" t="str">
        <f t="array" ref="DR20">IFERROR(IF(AND(INDEX($E$8:$CE$57, MATCH($C20, $C$8:$C$57, 0), (COLUMNS($DC20:DR20)-1)*5 + 1) = INDEX($E$5:$CE$5, 1, (COLUMNS($DC20:DR20)-1)*5 + 1), INDEX($E$8:$CE$57, MATCH($C20, $C$8:$C$57, 0), (COLUMNS($DC20:DR20)-1)*5 + 4) = "F"), INDEX($CZ$8:$CZ$23, COLUMNS($DC20:DR20)), "0"), "")</f>
        <v>0</v>
      </c>
      <c r="DT20" s="537" t="str">
        <f>SEMANA29[[#This Row],[COD]]</f>
        <v>COD 13</v>
      </c>
      <c r="DU20" s="390" t="str">
        <f t="array" ref="DU20">IFERROR(IF(AND(INDEX($E$8:$CE$57, MATCH($C20, $C$8:$C$57, 0), (COLUMNS($DU20:DU20)-1)*5 + 1) = INDEX($E$5:$CE$5, 1, (COLUMNS($DU20:DU20)-1)*5 + 1), INDEX($E$8:$CE$57, MATCH($C20, $C$8:$C$57, 0), (COLUMNS($DU20:DU20)-1)*5 + 4) = "SF"), INDEX($CZ$8:$CZ$23, COLUMNS($DU20:DU20)), "0"), "")</f>
        <v>0</v>
      </c>
      <c r="DV20" s="390" t="str">
        <f t="array" ref="DV20">IFERROR(IF(AND(INDEX($E$8:$CE$57, MATCH($C20, $C$8:$C$57, 0), (COLUMNS($DU20:DV20)-1)*5 + 1) = INDEX($E$5:$CE$5, 1, (COLUMNS($DU20:DV20)-1)*5 + 1), INDEX($E$8:$CE$57, MATCH($C20, $C$8:$C$57, 0), (COLUMNS($DU20:DV20)-1)*5 + 4) = "SF"), INDEX($CZ$8:$CZ$23, COLUMNS($DU20:DV20)), "0"), "")</f>
        <v>0</v>
      </c>
      <c r="DW20" s="390" t="str">
        <f t="array" ref="DW20">IFERROR(IF(AND(INDEX($E$8:$CE$57, MATCH($C20, $C$8:$C$57, 0), (COLUMNS($DU20:DW20)-1)*5 + 1) = INDEX($E$5:$CE$5, 1, (COLUMNS($DU20:DW20)-1)*5 + 1), INDEX($E$8:$CE$57, MATCH($C20, $C$8:$C$57, 0), (COLUMNS($DU20:DW20)-1)*5 + 4) = "SF"), INDEX($CZ$8:$CZ$23, COLUMNS($DU20:DW20)), "0"), "")</f>
        <v>0</v>
      </c>
      <c r="DX20" s="390" t="str">
        <f t="array" ref="DX20">IFERROR(IF(AND(INDEX($E$8:$CE$57, MATCH($C20, $C$8:$C$57, 0), (COLUMNS($DU20:DX20)-1)*5 + 1) = INDEX($E$5:$CE$5, 1, (COLUMNS($DU20:DX20)-1)*5 + 1), INDEX($E$8:$CE$57, MATCH($C20, $C$8:$C$57, 0), (COLUMNS($DU20:DX20)-1)*5 + 4) = "SF"), INDEX($CZ$8:$CZ$23, COLUMNS($DU20:DX20)), "0"), "")</f>
        <v>0</v>
      </c>
      <c r="DY20" s="390" t="str">
        <f t="array" ref="DY20">IFERROR(IF(AND(INDEX($E$8:$CE$57, MATCH($C20, $C$8:$C$57, 0), (COLUMNS($DU20:DY20)-1)*5 + 1) = INDEX($E$5:$CE$5, 1, (COLUMNS($DU20:DY20)-1)*5 + 1), INDEX($E$8:$CE$57, MATCH($C20, $C$8:$C$57, 0), (COLUMNS($DU20:DY20)-1)*5 + 4) = "SF"), INDEX($CZ$8:$CZ$23, COLUMNS($DU20:DY20)), "0"), "")</f>
        <v>0</v>
      </c>
      <c r="DZ20" s="390" t="str">
        <f t="array" ref="DZ20">IFERROR(IF(AND(INDEX($E$8:$CE$57, MATCH($C20, $C$8:$C$57, 0), (COLUMNS($DU20:DZ20)-1)*5 + 1) = INDEX($E$5:$CE$5, 1, (COLUMNS($DU20:DZ20)-1)*5 + 1), INDEX($E$8:$CE$57, MATCH($C20, $C$8:$C$57, 0), (COLUMNS($DU20:DZ20)-1)*5 + 4) = "SF"), INDEX($CZ$8:$CZ$23, COLUMNS($DU20:DZ20)), "0"), "")</f>
        <v>0</v>
      </c>
      <c r="EA20" s="390" t="str">
        <f t="array" ref="EA20">IFERROR(IF(AND(INDEX($E$8:$CE$57, MATCH($C20, $C$8:$C$57, 0), (COLUMNS($DU20:EA20)-1)*5 + 1) = INDEX($E$5:$CE$5, 1, (COLUMNS($DU20:EA20)-1)*5 + 1), INDEX($E$8:$CE$57, MATCH($C20, $C$8:$C$57, 0), (COLUMNS($DU20:EA20)-1)*5 + 4) = "SF"), INDEX($CZ$8:$CZ$23, COLUMNS($DU20:EA20)), "0"), "")</f>
        <v>0</v>
      </c>
      <c r="EB20" s="390" t="str">
        <f t="array" ref="EB20">IFERROR(IF(AND(INDEX($E$8:$CE$57, MATCH($C20, $C$8:$C$57, 0), (COLUMNS($DU20:EB20)-1)*5 + 1) = INDEX($E$5:$CE$5, 1, (COLUMNS($DU20:EB20)-1)*5 + 1), INDEX($E$8:$CE$57, MATCH($C20, $C$8:$C$57, 0), (COLUMNS($DU20:EB20)-1)*5 + 4) = "SF"), INDEX($CZ$8:$CZ$23, COLUMNS($DU20:EB20)), "0"), "")</f>
        <v>0</v>
      </c>
      <c r="EC20" s="390" t="str">
        <f t="array" ref="EC20">IFERROR(IF(AND(INDEX($E$8:$CE$57, MATCH($C20, $C$8:$C$57, 0), (COLUMNS($DU20:EC20)-1)*5 + 1) = INDEX($E$5:$CE$5, 1, (COLUMNS($DU20:EC20)-1)*5 + 1), INDEX($E$8:$CE$57, MATCH($C20, $C$8:$C$57, 0), (COLUMNS($DU20:EC20)-1)*5 + 4) = "SF"), INDEX($CZ$8:$CZ$23, COLUMNS($DU20:EC20)), "0"), "")</f>
        <v>0</v>
      </c>
      <c r="ED20" s="390" t="str">
        <f t="array" ref="ED20">IFERROR(IF(AND(INDEX($E$8:$CE$57, MATCH($C20, $C$8:$C$57, 0), (COLUMNS($DU20:ED20)-1)*5 + 1) = INDEX($E$5:$CE$5, 1, (COLUMNS($DU20:ED20)-1)*5 + 1), INDEX($E$8:$CE$57, MATCH($C20, $C$8:$C$57, 0), (COLUMNS($DU20:ED20)-1)*5 + 4) = "SF"), INDEX($CZ$8:$CZ$23, COLUMNS($DU20:ED20)), "0"), "")</f>
        <v>0</v>
      </c>
      <c r="EE20" s="390" t="str">
        <f t="array" ref="EE20">IFERROR(IF(AND(INDEX($E$8:$CE$57, MATCH($C20, $C$8:$C$57, 0), (COLUMNS($DU20:EE20)-1)*5 + 1) = INDEX($E$5:$CE$5, 1, (COLUMNS($DU20:EE20)-1)*5 + 1), INDEX($E$8:$CE$57, MATCH($C20, $C$8:$C$57, 0), (COLUMNS($DU20:EE20)-1)*5 + 4) = "SF"), INDEX($CZ$8:$CZ$23, COLUMNS($DU20:EE20)), "0"), "")</f>
        <v>0</v>
      </c>
      <c r="EF20" s="390" t="str">
        <f t="array" ref="EF20">IFERROR(IF(AND(INDEX($E$8:$CE$57, MATCH($C20, $C$8:$C$57, 0), (COLUMNS($DU20:EF20)-1)*5 + 1) = INDEX($E$5:$CE$5, 1, (COLUMNS($DU20:EF20)-1)*5 + 1), INDEX($E$8:$CE$57, MATCH($C20, $C$8:$C$57, 0), (COLUMNS($DU20:EF20)-1)*5 + 4) = "SF"), INDEX($CZ$8:$CZ$23, COLUMNS($DU20:EF20)), "0"), "")</f>
        <v>0</v>
      </c>
      <c r="EG20" s="390" t="str">
        <f t="array" ref="EG20">IFERROR(IF(AND(INDEX($E$8:$CE$57, MATCH($C20, $C$8:$C$57, 0), (COLUMNS($DU20:EG20)-1)*5 + 1) = INDEX($E$5:$CE$5, 1, (COLUMNS($DU20:EG20)-1)*5 + 1), INDEX($E$8:$CE$57, MATCH($C20, $C$8:$C$57, 0), (COLUMNS($DU20:EG20)-1)*5 + 4) = "SF"), INDEX($CZ$8:$CZ$23, COLUMNS($DU20:EG20)), "0"), "")</f>
        <v>0</v>
      </c>
      <c r="EH20" s="390" t="str">
        <f t="array" ref="EH20">IFERROR(IF(AND(INDEX($E$8:$CE$57, MATCH($C20, $C$8:$C$57, 0), (COLUMNS($DU20:EH20)-1)*5 + 1) = INDEX($E$5:$CE$5, 1, (COLUMNS($DU20:EH20)-1)*5 + 1), INDEX($E$8:$CE$57, MATCH($C20, $C$8:$C$57, 0), (COLUMNS($DU20:EH20)-1)*5 + 4) = "SF"), INDEX($CZ$8:$CZ$23, COLUMNS($DU20:EH20)), "0"), "")</f>
        <v>0</v>
      </c>
      <c r="EI20" s="390" t="str">
        <f t="array" ref="EI20">IFERROR(IF(AND(INDEX($E$8:$CE$57, MATCH($C20, $C$8:$C$57, 0), (COLUMNS($DU20:EI20)-1)*5 + 1) = INDEX($E$5:$CE$5, 1, (COLUMNS($DU20:EI20)-1)*5 + 1), INDEX($E$8:$CE$57, MATCH($C20, $C$8:$C$57, 0), (COLUMNS($DU20:EI20)-1)*5 + 4) = "SF"), INDEX($CZ$8:$CZ$23, COLUMNS($DU20:EI20)), "0"), "")</f>
        <v>0</v>
      </c>
      <c r="EJ20" s="390" t="str">
        <f t="array" ref="EJ20">IFERROR(IF(AND(INDEX($E$8:$CE$57, MATCH($C20, $C$8:$C$57, 0), (COLUMNS($DU20:EJ20)-1)*5 + 1) = INDEX($E$5:$CE$5, 1, (COLUMNS($DU20:EJ20)-1)*5 + 1), INDEX($E$8:$CE$57, MATCH($C20, $C$8:$C$57, 0), (COLUMNS($DU20:EJ20)-1)*5 + 4) = "SF"), INDEX($CZ$8:$CZ$23, COLUMNS($DU20:EJ20)), "0"), "")</f>
        <v>0</v>
      </c>
    </row>
    <row r="21" spans="1:140" ht="20.100000000000001" customHeight="1" x14ac:dyDescent="0.35">
      <c r="A21" s="515"/>
      <c r="B21" s="444">
        <f>IF(SEMANA29[[#This Row],[COD]]&lt;&gt;"",B20+1,"")</f>
        <v>14</v>
      </c>
      <c r="C21" s="554" t="s">
        <v>58</v>
      </c>
      <c r="D21" s="410" t="str">
        <f t="array" ref="D21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21" s="411"/>
      <c r="F21" s="413"/>
      <c r="G21" s="413"/>
      <c r="H21" s="413"/>
      <c r="I21" s="534">
        <f t="shared" si="0"/>
        <v>0</v>
      </c>
      <c r="J21" s="411"/>
      <c r="K21" s="413"/>
      <c r="L21" s="413"/>
      <c r="M21" s="413"/>
      <c r="N21" s="534">
        <f t="shared" si="1"/>
        <v>0</v>
      </c>
      <c r="O21" s="411"/>
      <c r="P21" s="413"/>
      <c r="Q21" s="413"/>
      <c r="R21" s="413"/>
      <c r="S21" s="534">
        <f t="shared" si="2"/>
        <v>0</v>
      </c>
      <c r="T21" s="411"/>
      <c r="U21" s="413"/>
      <c r="V21" s="413"/>
      <c r="W21" s="413"/>
      <c r="X21" s="534">
        <f t="shared" si="3"/>
        <v>0</v>
      </c>
      <c r="Y21" s="411"/>
      <c r="Z21" s="413"/>
      <c r="AA21" s="413"/>
      <c r="AB21" s="413"/>
      <c r="AC21" s="534">
        <f t="shared" si="4"/>
        <v>0</v>
      </c>
      <c r="AD21" s="411"/>
      <c r="AE21" s="413"/>
      <c r="AF21" s="413"/>
      <c r="AG21" s="413"/>
      <c r="AH21" s="534">
        <f t="shared" si="5"/>
        <v>0</v>
      </c>
      <c r="AI21" s="411"/>
      <c r="AJ21" s="413"/>
      <c r="AK21" s="413"/>
      <c r="AL21" s="413"/>
      <c r="AM21" s="534">
        <f t="shared" si="6"/>
        <v>0</v>
      </c>
      <c r="AN21" s="411"/>
      <c r="AO21" s="413"/>
      <c r="AP21" s="413"/>
      <c r="AQ21" s="413"/>
      <c r="AR21" s="534">
        <f t="shared" si="7"/>
        <v>0</v>
      </c>
      <c r="AS21" s="411"/>
      <c r="AT21" s="413"/>
      <c r="AU21" s="413"/>
      <c r="AV21" s="413"/>
      <c r="AW21" s="534">
        <f t="shared" si="8"/>
        <v>0</v>
      </c>
      <c r="AX21" s="411"/>
      <c r="AY21" s="413"/>
      <c r="AZ21" s="413"/>
      <c r="BA21" s="413"/>
      <c r="BB21" s="534">
        <f t="shared" si="9"/>
        <v>0</v>
      </c>
      <c r="BC21" s="411"/>
      <c r="BD21" s="413"/>
      <c r="BE21" s="413"/>
      <c r="BF21" s="413"/>
      <c r="BG21" s="534">
        <f t="shared" si="10"/>
        <v>0</v>
      </c>
      <c r="BH21" s="411"/>
      <c r="BI21" s="413"/>
      <c r="BJ21" s="413"/>
      <c r="BK21" s="413"/>
      <c r="BL21" s="534">
        <f t="shared" si="11"/>
        <v>0</v>
      </c>
      <c r="BM21" s="411"/>
      <c r="BN21" s="413"/>
      <c r="BO21" s="413"/>
      <c r="BP21" s="413"/>
      <c r="BQ21" s="534">
        <f t="shared" si="12"/>
        <v>0</v>
      </c>
      <c r="BR21" s="411"/>
      <c r="BS21" s="413"/>
      <c r="BT21" s="413"/>
      <c r="BU21" s="413"/>
      <c r="BV21" s="534">
        <f t="shared" si="13"/>
        <v>0</v>
      </c>
      <c r="BW21" s="411"/>
      <c r="BX21" s="413"/>
      <c r="BY21" s="413"/>
      <c r="BZ21" s="413"/>
      <c r="CA21" s="534">
        <f t="shared" si="14"/>
        <v>0</v>
      </c>
      <c r="CB21" s="411"/>
      <c r="CC21" s="413"/>
      <c r="CD21" s="413"/>
      <c r="CE21" s="413"/>
      <c r="CF21" s="534">
        <f t="shared" si="15"/>
        <v>0</v>
      </c>
      <c r="CG21" s="162">
        <f>IF(SEMANA29[[#This Row],[1]]="",0,$B$4)</f>
        <v>0</v>
      </c>
      <c r="CH21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21" s="164">
        <f>IF(SEMANA29[[#This Row],[Columna14]]=0,0,(CH21/CG21))</f>
        <v>0</v>
      </c>
      <c r="CJ21" s="163">
        <f>IF(SEMANA29[[#This Row],[1]]="",0,$B$4)</f>
        <v>0</v>
      </c>
      <c r="CK21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21" s="164">
        <f>IF(SEMANA29[[#This Row],[Columna14]]=0,0,(CK21/CJ21))</f>
        <v>0</v>
      </c>
      <c r="CM21" s="162">
        <f>IF(SEMANA29[[#This Row],[1]]="",0,$B$4)</f>
        <v>0</v>
      </c>
      <c r="CN21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21" s="164">
        <f>IF(SEMANA29[[#This Row],[Columna14]]=0,0,(CN21/CM21))</f>
        <v>0</v>
      </c>
      <c r="CP21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21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Row],[Columna25]],$AX$5,BA21,"SF")+COUNTIFS(SEMANA29[[#This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21" s="164">
        <f>IFERROR(IF(SEMANA29[[#This Row],[Columna14]]=0,0,(CQ21/CP21)),0)</f>
        <v>0</v>
      </c>
      <c r="CS21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21" s="93">
        <f>_xlfn.XLOOKUP(SEMANA29[[#This Row],[COD]],SEMANA2[COD],SEMANA2[Columna33])</f>
        <v>58.5</v>
      </c>
      <c r="CU21" s="536">
        <f t="shared" si="16"/>
        <v>58.5</v>
      </c>
      <c r="CV21" s="445" t="str">
        <f>IF(SEMANA29[[#This Row],[TIPO]]="PREMIO",$O$3,"0,00")</f>
        <v>0,00</v>
      </c>
      <c r="CW21" s="515"/>
      <c r="CY21" s="388">
        <v>14</v>
      </c>
      <c r="CZ21" s="349">
        <f>BS$6</f>
        <v>0</v>
      </c>
      <c r="DB21" s="537" t="str">
        <f>SEMANA29[[#This Row],[COD]]</f>
        <v>COD 14</v>
      </c>
      <c r="DC21" s="390" t="str">
        <f t="array" ref="DC21">IFERROR(IF(AND(INDEX($E$8:$CE$57, MATCH($C21, $C$8:$C$57, 0), (COLUMNS($DC21:DC21)-1)*5 + 1) = INDEX($E$5:$CE$5, 1, (COLUMNS($DC21:DC21)-1)*5 + 1), INDEX($E$8:$CE$57, MATCH($C21, $C$8:$C$57, 0), (COLUMNS($DC21:DC21)-1)*5 + 4) = "F"), INDEX($CZ$8:$CZ$23, COLUMNS($DC21:DC21)), "0"), "")</f>
        <v>0</v>
      </c>
      <c r="DD21" s="390" t="str">
        <f t="array" ref="DD21">IFERROR(IF(AND(INDEX($E$8:$CE$57, MATCH($C21, $C$8:$C$57, 0), (COLUMNS($DC21:DD21)-1)*5 + 1) = INDEX($E$5:$CE$5, 1, (COLUMNS($DC21:DD21)-1)*5 + 1), INDEX($E$8:$CE$57, MATCH($C21, $C$8:$C$57, 0), (COLUMNS($DC21:DD21)-1)*5 + 4) = "F"), INDEX($CZ$8:$CZ$23, COLUMNS($DC21:DD21)), "0"), "")</f>
        <v>0</v>
      </c>
      <c r="DE21" s="390" t="str">
        <f t="array" ref="DE21">IFERROR(IF(AND(INDEX($E$8:$CE$57, MATCH($C21, $C$8:$C$57, 0), (COLUMNS($DC21:DE21)-1)*5 + 1) = INDEX($E$5:$CE$5, 1, (COLUMNS($DC21:DE21)-1)*5 + 1), INDEX($E$8:$CE$57, MATCH($C21, $C$8:$C$57, 0), (COLUMNS($DC21:DE21)-1)*5 + 4) = "F"), INDEX($CZ$8:$CZ$23, COLUMNS($DC21:DE21)), "0"), "")</f>
        <v>0</v>
      </c>
      <c r="DF21" s="390" t="str">
        <f t="array" ref="DF21">IFERROR(IF(AND(INDEX($E$8:$CE$57, MATCH($C21, $C$8:$C$57, 0), (COLUMNS($DC21:DF21)-1)*5 + 1) = INDEX($E$5:$CE$5, 1, (COLUMNS($DC21:DF21)-1)*5 + 1), INDEX($E$8:$CE$57, MATCH($C21, $C$8:$C$57, 0), (COLUMNS($DC21:DF21)-1)*5 + 4) = "F"), INDEX($CZ$8:$CZ$23, COLUMNS($DC21:DF21)), "0"), "")</f>
        <v>0</v>
      </c>
      <c r="DG21" s="390" t="str">
        <f t="array" ref="DG21">IFERROR(IF(AND(INDEX($E$8:$CE$57, MATCH($C21, $C$8:$C$57, 0), (COLUMNS($DC21:DG21)-1)*5 + 1) = INDEX($E$5:$CE$5, 1, (COLUMNS($DC21:DG21)-1)*5 + 1), INDEX($E$8:$CE$57, MATCH($C21, $C$8:$C$57, 0), (COLUMNS($DC21:DG21)-1)*5 + 4) = "F"), INDEX($CZ$8:$CZ$23, COLUMNS($DC21:DG21)), "0"), "")</f>
        <v>0</v>
      </c>
      <c r="DH21" s="390" t="str">
        <f t="array" ref="DH21">IFERROR(IF(AND(INDEX($E$8:$CE$57, MATCH($C21, $C$8:$C$57, 0), (COLUMNS($DC21:DH21)-1)*5 + 1) = INDEX($E$5:$CE$5, 1, (COLUMNS($DC21:DH21)-1)*5 + 1), INDEX($E$8:$CE$57, MATCH($C21, $C$8:$C$57, 0), (COLUMNS($DC21:DH21)-1)*5 + 4) = "F"), INDEX($CZ$8:$CZ$23, COLUMNS($DC21:DH21)), "0"), "")</f>
        <v>0</v>
      </c>
      <c r="DI21" s="390" t="str">
        <f t="array" ref="DI21">IFERROR(IF(AND(INDEX($E$8:$CE$57, MATCH($C21, $C$8:$C$57, 0), (COLUMNS($DC21:DI21)-1)*5 + 1) = INDEX($E$5:$CE$5, 1, (COLUMNS($DC21:DI21)-1)*5 + 1), INDEX($E$8:$CE$57, MATCH($C21, $C$8:$C$57, 0), (COLUMNS($DC21:DI21)-1)*5 + 4) = "F"), INDEX($CZ$8:$CZ$23, COLUMNS($DC21:DI21)), "0"), "")</f>
        <v>0</v>
      </c>
      <c r="DJ21" s="390" t="str">
        <f t="array" ref="DJ21">IFERROR(IF(AND(INDEX($E$8:$CE$57, MATCH($C21, $C$8:$C$57, 0), (COLUMNS($DC21:DJ21)-1)*5 + 1) = INDEX($E$5:$CE$5, 1, (COLUMNS($DC21:DJ21)-1)*5 + 1), INDEX($E$8:$CE$57, MATCH($C21, $C$8:$C$57, 0), (COLUMNS($DC21:DJ21)-1)*5 + 4) = "F"), INDEX($CZ$8:$CZ$23, COLUMNS($DC21:DJ21)), "0"), "")</f>
        <v>0</v>
      </c>
      <c r="DK21" s="390" t="str">
        <f t="array" ref="DK21">IFERROR(IF(AND(INDEX($E$8:$CE$57, MATCH($C21, $C$8:$C$57, 0), (COLUMNS($DC21:DK21)-1)*5 + 1) = INDEX($E$5:$CE$5, 1, (COLUMNS($DC21:DK21)-1)*5 + 1), INDEX($E$8:$CE$57, MATCH($C21, $C$8:$C$57, 0), (COLUMNS($DC21:DK21)-1)*5 + 4) = "F"), INDEX($CZ$8:$CZ$23, COLUMNS($DC21:DK21)), "0"), "")</f>
        <v>0</v>
      </c>
      <c r="DL21" s="390" t="str">
        <f t="array" ref="DL21">IFERROR(IF(AND(INDEX($E$8:$CE$57, MATCH($C21, $C$8:$C$57, 0), (COLUMNS($DC21:DL21)-1)*5 + 1) = INDEX($E$5:$CE$5, 1, (COLUMNS($DC21:DL21)-1)*5 + 1), INDEX($E$8:$CE$57, MATCH($C21, $C$8:$C$57, 0), (COLUMNS($DC21:DL21)-1)*5 + 4) = "F"), INDEX($CZ$8:$CZ$23, COLUMNS($DC21:DL21)), "0"), "")</f>
        <v>0</v>
      </c>
      <c r="DM21" s="390" t="str">
        <f t="array" ref="DM21">IFERROR(IF(AND(INDEX($E$8:$CE$57, MATCH($C21, $C$8:$C$57, 0), (COLUMNS($DC21:DM21)-1)*5 + 1) = INDEX($E$5:$CE$5, 1, (COLUMNS($DC21:DM21)-1)*5 + 1), INDEX($E$8:$CE$57, MATCH($C21, $C$8:$C$57, 0), (COLUMNS($DC21:DM21)-1)*5 + 4) = "F"), INDEX($CZ$8:$CZ$23, COLUMNS($DC21:DM21)), "0"), "")</f>
        <v>0</v>
      </c>
      <c r="DN21" s="390" t="str">
        <f t="array" ref="DN21">IFERROR(IF(AND(INDEX($E$8:$CE$57, MATCH($C21, $C$8:$C$57, 0), (COLUMNS($DC21:DN21)-1)*5 + 1) = INDEX($E$5:$CE$5, 1, (COLUMNS($DC21:DN21)-1)*5 + 1), INDEX($E$8:$CE$57, MATCH($C21, $C$8:$C$57, 0), (COLUMNS($DC21:DN21)-1)*5 + 4) = "F"), INDEX($CZ$8:$CZ$23, COLUMNS($DC21:DN21)), "0"), "")</f>
        <v>0</v>
      </c>
      <c r="DO21" s="390" t="str">
        <f t="array" ref="DO21">IFERROR(IF(AND(INDEX($E$8:$CE$57, MATCH($C21, $C$8:$C$57, 0), (COLUMNS($DC21:DO21)-1)*5 + 1) = INDEX($E$5:$CE$5, 1, (COLUMNS($DC21:DO21)-1)*5 + 1), INDEX($E$8:$CE$57, MATCH($C21, $C$8:$C$57, 0), (COLUMNS($DC21:DO21)-1)*5 + 4) = "F"), INDEX($CZ$8:$CZ$23, COLUMNS($DC21:DO21)), "0"), "")</f>
        <v>0</v>
      </c>
      <c r="DP21" s="390" t="str">
        <f t="array" ref="DP21">IFERROR(IF(AND(INDEX($E$8:$CE$57, MATCH($C21, $C$8:$C$57, 0), (COLUMNS($DC21:DP21)-1)*5 + 1) = INDEX($E$5:$CE$5, 1, (COLUMNS($DC21:DP21)-1)*5 + 1), INDEX($E$8:$CE$57, MATCH($C21, $C$8:$C$57, 0), (COLUMNS($DC21:DP21)-1)*5 + 4) = "F"), INDEX($CZ$8:$CZ$23, COLUMNS($DC21:DP21)), "0"), "")</f>
        <v>0</v>
      </c>
      <c r="DQ21" s="390" t="str">
        <f t="array" ref="DQ21">IFERROR(IF(AND(INDEX($E$8:$CE$57, MATCH($C21, $C$8:$C$57, 0), (COLUMNS($DC21:DQ21)-1)*5 + 1) = INDEX($E$5:$CE$5, 1, (COLUMNS($DC21:DQ21)-1)*5 + 1), INDEX($E$8:$CE$57, MATCH($C21, $C$8:$C$57, 0), (COLUMNS($DC21:DQ21)-1)*5 + 4) = "F"), INDEX($CZ$8:$CZ$23, COLUMNS($DC21:DQ21)), "0"), "")</f>
        <v>0</v>
      </c>
      <c r="DR21" s="390" t="str">
        <f t="array" ref="DR21">IFERROR(IF(AND(INDEX($E$8:$CE$57, MATCH($C21, $C$8:$C$57, 0), (COLUMNS($DC21:DR21)-1)*5 + 1) = INDEX($E$5:$CE$5, 1, (COLUMNS($DC21:DR21)-1)*5 + 1), INDEX($E$8:$CE$57, MATCH($C21, $C$8:$C$57, 0), (COLUMNS($DC21:DR21)-1)*5 + 4) = "F"), INDEX($CZ$8:$CZ$23, COLUMNS($DC21:DR21)), "0"), "")</f>
        <v>0</v>
      </c>
      <c r="DT21" s="537" t="str">
        <f>SEMANA29[[#This Row],[COD]]</f>
        <v>COD 14</v>
      </c>
      <c r="DU21" s="390" t="str">
        <f t="array" ref="DU21">IFERROR(IF(AND(INDEX($E$8:$CE$57, MATCH($C21, $C$8:$C$57, 0), (COLUMNS($DU21:DU21)-1)*5 + 1) = INDEX($E$5:$CE$5, 1, (COLUMNS($DU21:DU21)-1)*5 + 1), INDEX($E$8:$CE$57, MATCH($C21, $C$8:$C$57, 0), (COLUMNS($DU21:DU21)-1)*5 + 4) = "SF"), INDEX($CZ$8:$CZ$23, COLUMNS($DU21:DU21)), "0"), "")</f>
        <v>0</v>
      </c>
      <c r="DV21" s="390" t="str">
        <f t="array" ref="DV21">IFERROR(IF(AND(INDEX($E$8:$CE$57, MATCH($C21, $C$8:$C$57, 0), (COLUMNS($DU21:DV21)-1)*5 + 1) = INDEX($E$5:$CE$5, 1, (COLUMNS($DU21:DV21)-1)*5 + 1), INDEX($E$8:$CE$57, MATCH($C21, $C$8:$C$57, 0), (COLUMNS($DU21:DV21)-1)*5 + 4) = "SF"), INDEX($CZ$8:$CZ$23, COLUMNS($DU21:DV21)), "0"), "")</f>
        <v>0</v>
      </c>
      <c r="DW21" s="390" t="str">
        <f t="array" ref="DW21">IFERROR(IF(AND(INDEX($E$8:$CE$57, MATCH($C21, $C$8:$C$57, 0), (COLUMNS($DU21:DW21)-1)*5 + 1) = INDEX($E$5:$CE$5, 1, (COLUMNS($DU21:DW21)-1)*5 + 1), INDEX($E$8:$CE$57, MATCH($C21, $C$8:$C$57, 0), (COLUMNS($DU21:DW21)-1)*5 + 4) = "SF"), INDEX($CZ$8:$CZ$23, COLUMNS($DU21:DW21)), "0"), "")</f>
        <v>0</v>
      </c>
      <c r="DX21" s="390" t="str">
        <f t="array" ref="DX21">IFERROR(IF(AND(INDEX($E$8:$CE$57, MATCH($C21, $C$8:$C$57, 0), (COLUMNS($DU21:DX21)-1)*5 + 1) = INDEX($E$5:$CE$5, 1, (COLUMNS($DU21:DX21)-1)*5 + 1), INDEX($E$8:$CE$57, MATCH($C21, $C$8:$C$57, 0), (COLUMNS($DU21:DX21)-1)*5 + 4) = "SF"), INDEX($CZ$8:$CZ$23, COLUMNS($DU21:DX21)), "0"), "")</f>
        <v>0</v>
      </c>
      <c r="DY21" s="390" t="str">
        <f t="array" ref="DY21">IFERROR(IF(AND(INDEX($E$8:$CE$57, MATCH($C21, $C$8:$C$57, 0), (COLUMNS($DU21:DY21)-1)*5 + 1) = INDEX($E$5:$CE$5, 1, (COLUMNS($DU21:DY21)-1)*5 + 1), INDEX($E$8:$CE$57, MATCH($C21, $C$8:$C$57, 0), (COLUMNS($DU21:DY21)-1)*5 + 4) = "SF"), INDEX($CZ$8:$CZ$23, COLUMNS($DU21:DY21)), "0"), "")</f>
        <v>0</v>
      </c>
      <c r="DZ21" s="390" t="str">
        <f t="array" ref="DZ21">IFERROR(IF(AND(INDEX($E$8:$CE$57, MATCH($C21, $C$8:$C$57, 0), (COLUMNS($DU21:DZ21)-1)*5 + 1) = INDEX($E$5:$CE$5, 1, (COLUMNS($DU21:DZ21)-1)*5 + 1), INDEX($E$8:$CE$57, MATCH($C21, $C$8:$C$57, 0), (COLUMNS($DU21:DZ21)-1)*5 + 4) = "SF"), INDEX($CZ$8:$CZ$23, COLUMNS($DU21:DZ21)), "0"), "")</f>
        <v>0</v>
      </c>
      <c r="EA21" s="390" t="str">
        <f t="array" ref="EA21">IFERROR(IF(AND(INDEX($E$8:$CE$57, MATCH($C21, $C$8:$C$57, 0), (COLUMNS($DU21:EA21)-1)*5 + 1) = INDEX($E$5:$CE$5, 1, (COLUMNS($DU21:EA21)-1)*5 + 1), INDEX($E$8:$CE$57, MATCH($C21, $C$8:$C$57, 0), (COLUMNS($DU21:EA21)-1)*5 + 4) = "SF"), INDEX($CZ$8:$CZ$23, COLUMNS($DU21:EA21)), "0"), "")</f>
        <v>0</v>
      </c>
      <c r="EB21" s="390" t="str">
        <f t="array" ref="EB21">IFERROR(IF(AND(INDEX($E$8:$CE$57, MATCH($C21, $C$8:$C$57, 0), (COLUMNS($DU21:EB21)-1)*5 + 1) = INDEX($E$5:$CE$5, 1, (COLUMNS($DU21:EB21)-1)*5 + 1), INDEX($E$8:$CE$57, MATCH($C21, $C$8:$C$57, 0), (COLUMNS($DU21:EB21)-1)*5 + 4) = "SF"), INDEX($CZ$8:$CZ$23, COLUMNS($DU21:EB21)), "0"), "")</f>
        <v>0</v>
      </c>
      <c r="EC21" s="390" t="str">
        <f t="array" ref="EC21">IFERROR(IF(AND(INDEX($E$8:$CE$57, MATCH($C21, $C$8:$C$57, 0), (COLUMNS($DU21:EC21)-1)*5 + 1) = INDEX($E$5:$CE$5, 1, (COLUMNS($DU21:EC21)-1)*5 + 1), INDEX($E$8:$CE$57, MATCH($C21, $C$8:$C$57, 0), (COLUMNS($DU21:EC21)-1)*5 + 4) = "SF"), INDEX($CZ$8:$CZ$23, COLUMNS($DU21:EC21)), "0"), "")</f>
        <v>0</v>
      </c>
      <c r="ED21" s="390" t="str">
        <f t="array" ref="ED21">IFERROR(IF(AND(INDEX($E$8:$CE$57, MATCH($C21, $C$8:$C$57, 0), (COLUMNS($DU21:ED21)-1)*5 + 1) = INDEX($E$5:$CE$5, 1, (COLUMNS($DU21:ED21)-1)*5 + 1), INDEX($E$8:$CE$57, MATCH($C21, $C$8:$C$57, 0), (COLUMNS($DU21:ED21)-1)*5 + 4) = "SF"), INDEX($CZ$8:$CZ$23, COLUMNS($DU21:ED21)), "0"), "")</f>
        <v>0</v>
      </c>
      <c r="EE21" s="390" t="str">
        <f t="array" ref="EE21">IFERROR(IF(AND(INDEX($E$8:$CE$57, MATCH($C21, $C$8:$C$57, 0), (COLUMNS($DU21:EE21)-1)*5 + 1) = INDEX($E$5:$CE$5, 1, (COLUMNS($DU21:EE21)-1)*5 + 1), INDEX($E$8:$CE$57, MATCH($C21, $C$8:$C$57, 0), (COLUMNS($DU21:EE21)-1)*5 + 4) = "SF"), INDEX($CZ$8:$CZ$23, COLUMNS($DU21:EE21)), "0"), "")</f>
        <v>0</v>
      </c>
      <c r="EF21" s="390" t="str">
        <f t="array" ref="EF21">IFERROR(IF(AND(INDEX($E$8:$CE$57, MATCH($C21, $C$8:$C$57, 0), (COLUMNS($DU21:EF21)-1)*5 + 1) = INDEX($E$5:$CE$5, 1, (COLUMNS($DU21:EF21)-1)*5 + 1), INDEX($E$8:$CE$57, MATCH($C21, $C$8:$C$57, 0), (COLUMNS($DU21:EF21)-1)*5 + 4) = "SF"), INDEX($CZ$8:$CZ$23, COLUMNS($DU21:EF21)), "0"), "")</f>
        <v>0</v>
      </c>
      <c r="EG21" s="390" t="str">
        <f t="array" ref="EG21">IFERROR(IF(AND(INDEX($E$8:$CE$57, MATCH($C21, $C$8:$C$57, 0), (COLUMNS($DU21:EG21)-1)*5 + 1) = INDEX($E$5:$CE$5, 1, (COLUMNS($DU21:EG21)-1)*5 + 1), INDEX($E$8:$CE$57, MATCH($C21, $C$8:$C$57, 0), (COLUMNS($DU21:EG21)-1)*5 + 4) = "SF"), INDEX($CZ$8:$CZ$23, COLUMNS($DU21:EG21)), "0"), "")</f>
        <v>0</v>
      </c>
      <c r="EH21" s="390" t="str">
        <f t="array" ref="EH21">IFERROR(IF(AND(INDEX($E$8:$CE$57, MATCH($C21, $C$8:$C$57, 0), (COLUMNS($DU21:EH21)-1)*5 + 1) = INDEX($E$5:$CE$5, 1, (COLUMNS($DU21:EH21)-1)*5 + 1), INDEX($E$8:$CE$57, MATCH($C21, $C$8:$C$57, 0), (COLUMNS($DU21:EH21)-1)*5 + 4) = "SF"), INDEX($CZ$8:$CZ$23, COLUMNS($DU21:EH21)), "0"), "")</f>
        <v>0</v>
      </c>
      <c r="EI21" s="390" t="str">
        <f t="array" ref="EI21">IFERROR(IF(AND(INDEX($E$8:$CE$57, MATCH($C21, $C$8:$C$57, 0), (COLUMNS($DU21:EI21)-1)*5 + 1) = INDEX($E$5:$CE$5, 1, (COLUMNS($DU21:EI21)-1)*5 + 1), INDEX($E$8:$CE$57, MATCH($C21, $C$8:$C$57, 0), (COLUMNS($DU21:EI21)-1)*5 + 4) = "SF"), INDEX($CZ$8:$CZ$23, COLUMNS($DU21:EI21)), "0"), "")</f>
        <v>0</v>
      </c>
      <c r="EJ21" s="390" t="str">
        <f t="array" ref="EJ21">IFERROR(IF(AND(INDEX($E$8:$CE$57, MATCH($C21, $C$8:$C$57, 0), (COLUMNS($DU21:EJ21)-1)*5 + 1) = INDEX($E$5:$CE$5, 1, (COLUMNS($DU21:EJ21)-1)*5 + 1), INDEX($E$8:$CE$57, MATCH($C21, $C$8:$C$57, 0), (COLUMNS($DU21:EJ21)-1)*5 + 4) = "SF"), INDEX($CZ$8:$CZ$23, COLUMNS($DU21:EJ21)), "0"), "")</f>
        <v>0</v>
      </c>
    </row>
    <row r="22" spans="1:140" ht="20.100000000000001" customHeight="1" x14ac:dyDescent="0.35">
      <c r="A22" s="515"/>
      <c r="B22" s="444">
        <f>IF(SEMANA29[[#This Row],[COD]]&lt;&gt;"",B21+1,"")</f>
        <v>15</v>
      </c>
      <c r="C22" s="554" t="s">
        <v>60</v>
      </c>
      <c r="D22" s="410" t="str">
        <f t="array" ref="D22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22" s="411"/>
      <c r="F22" s="413"/>
      <c r="G22" s="413"/>
      <c r="H22" s="413"/>
      <c r="I22" s="534">
        <f t="shared" si="0"/>
        <v>0</v>
      </c>
      <c r="J22" s="411"/>
      <c r="K22" s="413"/>
      <c r="L22" s="413"/>
      <c r="M22" s="413"/>
      <c r="N22" s="534">
        <f t="shared" si="1"/>
        <v>0</v>
      </c>
      <c r="O22" s="411"/>
      <c r="P22" s="413"/>
      <c r="Q22" s="413"/>
      <c r="R22" s="413"/>
      <c r="S22" s="534">
        <f t="shared" si="2"/>
        <v>0</v>
      </c>
      <c r="T22" s="411"/>
      <c r="U22" s="413"/>
      <c r="V22" s="413"/>
      <c r="W22" s="413"/>
      <c r="X22" s="534">
        <f t="shared" si="3"/>
        <v>0</v>
      </c>
      <c r="Y22" s="411"/>
      <c r="Z22" s="413"/>
      <c r="AA22" s="413"/>
      <c r="AB22" s="413"/>
      <c r="AC22" s="534">
        <f t="shared" si="4"/>
        <v>0</v>
      </c>
      <c r="AD22" s="411"/>
      <c r="AE22" s="413"/>
      <c r="AF22" s="413"/>
      <c r="AG22" s="413"/>
      <c r="AH22" s="534">
        <f t="shared" si="5"/>
        <v>0</v>
      </c>
      <c r="AI22" s="411"/>
      <c r="AJ22" s="413"/>
      <c r="AK22" s="413"/>
      <c r="AL22" s="413"/>
      <c r="AM22" s="534">
        <f t="shared" si="6"/>
        <v>0</v>
      </c>
      <c r="AN22" s="411"/>
      <c r="AO22" s="413"/>
      <c r="AP22" s="413"/>
      <c r="AQ22" s="413"/>
      <c r="AR22" s="534">
        <f t="shared" si="7"/>
        <v>0</v>
      </c>
      <c r="AS22" s="411"/>
      <c r="AT22" s="413"/>
      <c r="AU22" s="413"/>
      <c r="AV22" s="413"/>
      <c r="AW22" s="534">
        <f t="shared" si="8"/>
        <v>0</v>
      </c>
      <c r="AX22" s="411"/>
      <c r="AY22" s="413"/>
      <c r="AZ22" s="413"/>
      <c r="BA22" s="413"/>
      <c r="BB22" s="534">
        <f t="shared" si="9"/>
        <v>0</v>
      </c>
      <c r="BC22" s="411"/>
      <c r="BD22" s="413"/>
      <c r="BE22" s="413"/>
      <c r="BF22" s="413"/>
      <c r="BG22" s="534">
        <f t="shared" si="10"/>
        <v>0</v>
      </c>
      <c r="BH22" s="411"/>
      <c r="BI22" s="413"/>
      <c r="BJ22" s="413"/>
      <c r="BK22" s="413"/>
      <c r="BL22" s="534">
        <f t="shared" si="11"/>
        <v>0</v>
      </c>
      <c r="BM22" s="411"/>
      <c r="BN22" s="413"/>
      <c r="BO22" s="413"/>
      <c r="BP22" s="413"/>
      <c r="BQ22" s="534">
        <f t="shared" si="12"/>
        <v>0</v>
      </c>
      <c r="BR22" s="411"/>
      <c r="BS22" s="413"/>
      <c r="BT22" s="413"/>
      <c r="BU22" s="413"/>
      <c r="BV22" s="534">
        <f t="shared" si="13"/>
        <v>0</v>
      </c>
      <c r="BW22" s="411"/>
      <c r="BX22" s="413"/>
      <c r="BY22" s="413"/>
      <c r="BZ22" s="413"/>
      <c r="CA22" s="534">
        <f t="shared" si="14"/>
        <v>0</v>
      </c>
      <c r="CB22" s="411"/>
      <c r="CC22" s="413"/>
      <c r="CD22" s="413"/>
      <c r="CE22" s="413"/>
      <c r="CF22" s="534">
        <f t="shared" si="15"/>
        <v>0</v>
      </c>
      <c r="CG22" s="162">
        <f>IF(SEMANA29[[#This Row],[1]]="",0,$B$4)</f>
        <v>0</v>
      </c>
      <c r="CH22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22" s="164">
        <f>IF(SEMANA29[[#This Row],[Columna14]]=0,0,(CH22/CG22))</f>
        <v>0</v>
      </c>
      <c r="CJ22" s="163">
        <f>IF(SEMANA29[[#This Row],[1]]="",0,$B$4)</f>
        <v>0</v>
      </c>
      <c r="CK22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22" s="164">
        <f>IF(SEMANA29[[#This Row],[Columna14]]=0,0,(CK22/CJ22))</f>
        <v>0</v>
      </c>
      <c r="CM22" s="162">
        <f>IF(SEMANA29[[#This Row],[1]]="",0,$B$4)</f>
        <v>0</v>
      </c>
      <c r="CN22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22" s="164">
        <f>IF(SEMANA29[[#This Row],[Columna14]]=0,0,(CN22/CM22))</f>
        <v>0</v>
      </c>
      <c r="CP22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22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Row],[Columna25]],$AX$5,BA22,"SF")+COUNTIFS(SEMANA29[[#This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22" s="164">
        <f>IFERROR(IF(SEMANA29[[#This Row],[Columna14]]=0,0,(CQ22/CP22)),0)</f>
        <v>0</v>
      </c>
      <c r="CS22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22" s="93">
        <f>_xlfn.XLOOKUP(SEMANA29[[#This Row],[COD]],SEMANA2[COD],SEMANA2[Columna33])</f>
        <v>64.5</v>
      </c>
      <c r="CU22" s="536">
        <f t="shared" si="16"/>
        <v>64.5</v>
      </c>
      <c r="CV22" s="445" t="str">
        <f>IF(SEMANA29[[#This Row],[TIPO]]="PREMIO",$O$3,"0,00")</f>
        <v>0,00</v>
      </c>
      <c r="CW22" s="515"/>
      <c r="CY22" s="388">
        <v>15</v>
      </c>
      <c r="CZ22" s="349">
        <f>BX$6</f>
        <v>0</v>
      </c>
      <c r="DB22" s="537" t="str">
        <f>SEMANA29[[#This Row],[COD]]</f>
        <v>COD 15</v>
      </c>
      <c r="DC22" s="390" t="str">
        <f t="array" ref="DC22">IFERROR(IF(AND(INDEX($E$8:$CE$57, MATCH($C22, $C$8:$C$57, 0), (COLUMNS($DC22:DC22)-1)*5 + 1) = INDEX($E$5:$CE$5, 1, (COLUMNS($DC22:DC22)-1)*5 + 1), INDEX($E$8:$CE$57, MATCH($C22, $C$8:$C$57, 0), (COLUMNS($DC22:DC22)-1)*5 + 4) = "F"), INDEX($CZ$8:$CZ$23, COLUMNS($DC22:DC22)), "0"), "")</f>
        <v>0</v>
      </c>
      <c r="DD22" s="390" t="str">
        <f t="array" ref="DD22">IFERROR(IF(AND(INDEX($E$8:$CE$57, MATCH($C22, $C$8:$C$57, 0), (COLUMNS($DC22:DD22)-1)*5 + 1) = INDEX($E$5:$CE$5, 1, (COLUMNS($DC22:DD22)-1)*5 + 1), INDEX($E$8:$CE$57, MATCH($C22, $C$8:$C$57, 0), (COLUMNS($DC22:DD22)-1)*5 + 4) = "F"), INDEX($CZ$8:$CZ$23, COLUMNS($DC22:DD22)), "0"), "")</f>
        <v>0</v>
      </c>
      <c r="DE22" s="390" t="str">
        <f t="array" ref="DE22">IFERROR(IF(AND(INDEX($E$8:$CE$57, MATCH($C22, $C$8:$C$57, 0), (COLUMNS($DC22:DE22)-1)*5 + 1) = INDEX($E$5:$CE$5, 1, (COLUMNS($DC22:DE22)-1)*5 + 1), INDEX($E$8:$CE$57, MATCH($C22, $C$8:$C$57, 0), (COLUMNS($DC22:DE22)-1)*5 + 4) = "F"), INDEX($CZ$8:$CZ$23, COLUMNS($DC22:DE22)), "0"), "")</f>
        <v>0</v>
      </c>
      <c r="DF22" s="390" t="str">
        <f t="array" ref="DF22">IFERROR(IF(AND(INDEX($E$8:$CE$57, MATCH($C22, $C$8:$C$57, 0), (COLUMNS($DC22:DF22)-1)*5 + 1) = INDEX($E$5:$CE$5, 1, (COLUMNS($DC22:DF22)-1)*5 + 1), INDEX($E$8:$CE$57, MATCH($C22, $C$8:$C$57, 0), (COLUMNS($DC22:DF22)-1)*5 + 4) = "F"), INDEX($CZ$8:$CZ$23, COLUMNS($DC22:DF22)), "0"), "")</f>
        <v>0</v>
      </c>
      <c r="DG22" s="390" t="str">
        <f t="array" ref="DG22">IFERROR(IF(AND(INDEX($E$8:$CE$57, MATCH($C22, $C$8:$C$57, 0), (COLUMNS($DC22:DG22)-1)*5 + 1) = INDEX($E$5:$CE$5, 1, (COLUMNS($DC22:DG22)-1)*5 + 1), INDEX($E$8:$CE$57, MATCH($C22, $C$8:$C$57, 0), (COLUMNS($DC22:DG22)-1)*5 + 4) = "F"), INDEX($CZ$8:$CZ$23, COLUMNS($DC22:DG22)), "0"), "")</f>
        <v>0</v>
      </c>
      <c r="DH22" s="390" t="str">
        <f t="array" ref="DH22">IFERROR(IF(AND(INDEX($E$8:$CE$57, MATCH($C22, $C$8:$C$57, 0), (COLUMNS($DC22:DH22)-1)*5 + 1) = INDEX($E$5:$CE$5, 1, (COLUMNS($DC22:DH22)-1)*5 + 1), INDEX($E$8:$CE$57, MATCH($C22, $C$8:$C$57, 0), (COLUMNS($DC22:DH22)-1)*5 + 4) = "F"), INDEX($CZ$8:$CZ$23, COLUMNS($DC22:DH22)), "0"), "")</f>
        <v>0</v>
      </c>
      <c r="DI22" s="390" t="str">
        <f t="array" ref="DI22">IFERROR(IF(AND(INDEX($E$8:$CE$57, MATCH($C22, $C$8:$C$57, 0), (COLUMNS($DC22:DI22)-1)*5 + 1) = INDEX($E$5:$CE$5, 1, (COLUMNS($DC22:DI22)-1)*5 + 1), INDEX($E$8:$CE$57, MATCH($C22, $C$8:$C$57, 0), (COLUMNS($DC22:DI22)-1)*5 + 4) = "F"), INDEX($CZ$8:$CZ$23, COLUMNS($DC22:DI22)), "0"), "")</f>
        <v>0</v>
      </c>
      <c r="DJ22" s="390" t="str">
        <f t="array" ref="DJ22">IFERROR(IF(AND(INDEX($E$8:$CE$57, MATCH($C22, $C$8:$C$57, 0), (COLUMNS($DC22:DJ22)-1)*5 + 1) = INDEX($E$5:$CE$5, 1, (COLUMNS($DC22:DJ22)-1)*5 + 1), INDEX($E$8:$CE$57, MATCH($C22, $C$8:$C$57, 0), (COLUMNS($DC22:DJ22)-1)*5 + 4) = "F"), INDEX($CZ$8:$CZ$23, COLUMNS($DC22:DJ22)), "0"), "")</f>
        <v>0</v>
      </c>
      <c r="DK22" s="390" t="str">
        <f t="array" ref="DK22">IFERROR(IF(AND(INDEX($E$8:$CE$57, MATCH($C22, $C$8:$C$57, 0), (COLUMNS($DC22:DK22)-1)*5 + 1) = INDEX($E$5:$CE$5, 1, (COLUMNS($DC22:DK22)-1)*5 + 1), INDEX($E$8:$CE$57, MATCH($C22, $C$8:$C$57, 0), (COLUMNS($DC22:DK22)-1)*5 + 4) = "F"), INDEX($CZ$8:$CZ$23, COLUMNS($DC22:DK22)), "0"), "")</f>
        <v>0</v>
      </c>
      <c r="DL22" s="390" t="str">
        <f t="array" ref="DL22">IFERROR(IF(AND(INDEX($E$8:$CE$57, MATCH($C22, $C$8:$C$57, 0), (COLUMNS($DC22:DL22)-1)*5 + 1) = INDEX($E$5:$CE$5, 1, (COLUMNS($DC22:DL22)-1)*5 + 1), INDEX($E$8:$CE$57, MATCH($C22, $C$8:$C$57, 0), (COLUMNS($DC22:DL22)-1)*5 + 4) = "F"), INDEX($CZ$8:$CZ$23, COLUMNS($DC22:DL22)), "0"), "")</f>
        <v>0</v>
      </c>
      <c r="DM22" s="390" t="str">
        <f t="array" ref="DM22">IFERROR(IF(AND(INDEX($E$8:$CE$57, MATCH($C22, $C$8:$C$57, 0), (COLUMNS($DC22:DM22)-1)*5 + 1) = INDEX($E$5:$CE$5, 1, (COLUMNS($DC22:DM22)-1)*5 + 1), INDEX($E$8:$CE$57, MATCH($C22, $C$8:$C$57, 0), (COLUMNS($DC22:DM22)-1)*5 + 4) = "F"), INDEX($CZ$8:$CZ$23, COLUMNS($DC22:DM22)), "0"), "")</f>
        <v>0</v>
      </c>
      <c r="DN22" s="390" t="str">
        <f t="array" ref="DN22">IFERROR(IF(AND(INDEX($E$8:$CE$57, MATCH($C22, $C$8:$C$57, 0), (COLUMNS($DC22:DN22)-1)*5 + 1) = INDEX($E$5:$CE$5, 1, (COLUMNS($DC22:DN22)-1)*5 + 1), INDEX($E$8:$CE$57, MATCH($C22, $C$8:$C$57, 0), (COLUMNS($DC22:DN22)-1)*5 + 4) = "F"), INDEX($CZ$8:$CZ$23, COLUMNS($DC22:DN22)), "0"), "")</f>
        <v>0</v>
      </c>
      <c r="DO22" s="390" t="str">
        <f t="array" ref="DO22">IFERROR(IF(AND(INDEX($E$8:$CE$57, MATCH($C22, $C$8:$C$57, 0), (COLUMNS($DC22:DO22)-1)*5 + 1) = INDEX($E$5:$CE$5, 1, (COLUMNS($DC22:DO22)-1)*5 + 1), INDEX($E$8:$CE$57, MATCH($C22, $C$8:$C$57, 0), (COLUMNS($DC22:DO22)-1)*5 + 4) = "F"), INDEX($CZ$8:$CZ$23, COLUMNS($DC22:DO22)), "0"), "")</f>
        <v>0</v>
      </c>
      <c r="DP22" s="390" t="str">
        <f t="array" ref="DP22">IFERROR(IF(AND(INDEX($E$8:$CE$57, MATCH($C22, $C$8:$C$57, 0), (COLUMNS($DC22:DP22)-1)*5 + 1) = INDEX($E$5:$CE$5, 1, (COLUMNS($DC22:DP22)-1)*5 + 1), INDEX($E$8:$CE$57, MATCH($C22, $C$8:$C$57, 0), (COLUMNS($DC22:DP22)-1)*5 + 4) = "F"), INDEX($CZ$8:$CZ$23, COLUMNS($DC22:DP22)), "0"), "")</f>
        <v>0</v>
      </c>
      <c r="DQ22" s="390" t="str">
        <f t="array" ref="DQ22">IFERROR(IF(AND(INDEX($E$8:$CE$57, MATCH($C22, $C$8:$C$57, 0), (COLUMNS($DC22:DQ22)-1)*5 + 1) = INDEX($E$5:$CE$5, 1, (COLUMNS($DC22:DQ22)-1)*5 + 1), INDEX($E$8:$CE$57, MATCH($C22, $C$8:$C$57, 0), (COLUMNS($DC22:DQ22)-1)*5 + 4) = "F"), INDEX($CZ$8:$CZ$23, COLUMNS($DC22:DQ22)), "0"), "")</f>
        <v>0</v>
      </c>
      <c r="DR22" s="390" t="str">
        <f t="array" ref="DR22">IFERROR(IF(AND(INDEX($E$8:$CE$57, MATCH($C22, $C$8:$C$57, 0), (COLUMNS($DC22:DR22)-1)*5 + 1) = INDEX($E$5:$CE$5, 1, (COLUMNS($DC22:DR22)-1)*5 + 1), INDEX($E$8:$CE$57, MATCH($C22, $C$8:$C$57, 0), (COLUMNS($DC22:DR22)-1)*5 + 4) = "F"), INDEX($CZ$8:$CZ$23, COLUMNS($DC22:DR22)), "0"), "")</f>
        <v>0</v>
      </c>
      <c r="DT22" s="537" t="str">
        <f>SEMANA29[[#This Row],[COD]]</f>
        <v>COD 15</v>
      </c>
      <c r="DU22" s="390" t="str">
        <f t="array" ref="DU22">IFERROR(IF(AND(INDEX($E$8:$CE$57, MATCH($C22, $C$8:$C$57, 0), (COLUMNS($DU22:DU22)-1)*5 + 1) = INDEX($E$5:$CE$5, 1, (COLUMNS($DU22:DU22)-1)*5 + 1), INDEX($E$8:$CE$57, MATCH($C22, $C$8:$C$57, 0), (COLUMNS($DU22:DU22)-1)*5 + 4) = "SF"), INDEX($CZ$8:$CZ$23, COLUMNS($DU22:DU22)), "0"), "")</f>
        <v>0</v>
      </c>
      <c r="DV22" s="390" t="str">
        <f t="array" ref="DV22">IFERROR(IF(AND(INDEX($E$8:$CE$57, MATCH($C22, $C$8:$C$57, 0), (COLUMNS($DU22:DV22)-1)*5 + 1) = INDEX($E$5:$CE$5, 1, (COLUMNS($DU22:DV22)-1)*5 + 1), INDEX($E$8:$CE$57, MATCH($C22, $C$8:$C$57, 0), (COLUMNS($DU22:DV22)-1)*5 + 4) = "SF"), INDEX($CZ$8:$CZ$23, COLUMNS($DU22:DV22)), "0"), "")</f>
        <v>0</v>
      </c>
      <c r="DW22" s="390" t="str">
        <f t="array" ref="DW22">IFERROR(IF(AND(INDEX($E$8:$CE$57, MATCH($C22, $C$8:$C$57, 0), (COLUMNS($DU22:DW22)-1)*5 + 1) = INDEX($E$5:$CE$5, 1, (COLUMNS($DU22:DW22)-1)*5 + 1), INDEX($E$8:$CE$57, MATCH($C22, $C$8:$C$57, 0), (COLUMNS($DU22:DW22)-1)*5 + 4) = "SF"), INDEX($CZ$8:$CZ$23, COLUMNS($DU22:DW22)), "0"), "")</f>
        <v>0</v>
      </c>
      <c r="DX22" s="390" t="str">
        <f t="array" ref="DX22">IFERROR(IF(AND(INDEX($E$8:$CE$57, MATCH($C22, $C$8:$C$57, 0), (COLUMNS($DU22:DX22)-1)*5 + 1) = INDEX($E$5:$CE$5, 1, (COLUMNS($DU22:DX22)-1)*5 + 1), INDEX($E$8:$CE$57, MATCH($C22, $C$8:$C$57, 0), (COLUMNS($DU22:DX22)-1)*5 + 4) = "SF"), INDEX($CZ$8:$CZ$23, COLUMNS($DU22:DX22)), "0"), "")</f>
        <v>0</v>
      </c>
      <c r="DY22" s="390" t="str">
        <f t="array" ref="DY22">IFERROR(IF(AND(INDEX($E$8:$CE$57, MATCH($C22, $C$8:$C$57, 0), (COLUMNS($DU22:DY22)-1)*5 + 1) = INDEX($E$5:$CE$5, 1, (COLUMNS($DU22:DY22)-1)*5 + 1), INDEX($E$8:$CE$57, MATCH($C22, $C$8:$C$57, 0), (COLUMNS($DU22:DY22)-1)*5 + 4) = "SF"), INDEX($CZ$8:$CZ$23, COLUMNS($DU22:DY22)), "0"), "")</f>
        <v>0</v>
      </c>
      <c r="DZ22" s="390" t="str">
        <f t="array" ref="DZ22">IFERROR(IF(AND(INDEX($E$8:$CE$57, MATCH($C22, $C$8:$C$57, 0), (COLUMNS($DU22:DZ22)-1)*5 + 1) = INDEX($E$5:$CE$5, 1, (COLUMNS($DU22:DZ22)-1)*5 + 1), INDEX($E$8:$CE$57, MATCH($C22, $C$8:$C$57, 0), (COLUMNS($DU22:DZ22)-1)*5 + 4) = "SF"), INDEX($CZ$8:$CZ$23, COLUMNS($DU22:DZ22)), "0"), "")</f>
        <v>0</v>
      </c>
      <c r="EA22" s="390" t="str">
        <f t="array" ref="EA22">IFERROR(IF(AND(INDEX($E$8:$CE$57, MATCH($C22, $C$8:$C$57, 0), (COLUMNS($DU22:EA22)-1)*5 + 1) = INDEX($E$5:$CE$5, 1, (COLUMNS($DU22:EA22)-1)*5 + 1), INDEX($E$8:$CE$57, MATCH($C22, $C$8:$C$57, 0), (COLUMNS($DU22:EA22)-1)*5 + 4) = "SF"), INDEX($CZ$8:$CZ$23, COLUMNS($DU22:EA22)), "0"), "")</f>
        <v>0</v>
      </c>
      <c r="EB22" s="390" t="str">
        <f t="array" ref="EB22">IFERROR(IF(AND(INDEX($E$8:$CE$57, MATCH($C22, $C$8:$C$57, 0), (COLUMNS($DU22:EB22)-1)*5 + 1) = INDEX($E$5:$CE$5, 1, (COLUMNS($DU22:EB22)-1)*5 + 1), INDEX($E$8:$CE$57, MATCH($C22, $C$8:$C$57, 0), (COLUMNS($DU22:EB22)-1)*5 + 4) = "SF"), INDEX($CZ$8:$CZ$23, COLUMNS($DU22:EB22)), "0"), "")</f>
        <v>0</v>
      </c>
      <c r="EC22" s="390" t="str">
        <f t="array" ref="EC22">IFERROR(IF(AND(INDEX($E$8:$CE$57, MATCH($C22, $C$8:$C$57, 0), (COLUMNS($DU22:EC22)-1)*5 + 1) = INDEX($E$5:$CE$5, 1, (COLUMNS($DU22:EC22)-1)*5 + 1), INDEX($E$8:$CE$57, MATCH($C22, $C$8:$C$57, 0), (COLUMNS($DU22:EC22)-1)*5 + 4) = "SF"), INDEX($CZ$8:$CZ$23, COLUMNS($DU22:EC22)), "0"), "")</f>
        <v>0</v>
      </c>
      <c r="ED22" s="390" t="str">
        <f t="array" ref="ED22">IFERROR(IF(AND(INDEX($E$8:$CE$57, MATCH($C22, $C$8:$C$57, 0), (COLUMNS($DU22:ED22)-1)*5 + 1) = INDEX($E$5:$CE$5, 1, (COLUMNS($DU22:ED22)-1)*5 + 1), INDEX($E$8:$CE$57, MATCH($C22, $C$8:$C$57, 0), (COLUMNS($DU22:ED22)-1)*5 + 4) = "SF"), INDEX($CZ$8:$CZ$23, COLUMNS($DU22:ED22)), "0"), "")</f>
        <v>0</v>
      </c>
      <c r="EE22" s="390" t="str">
        <f t="array" ref="EE22">IFERROR(IF(AND(INDEX($E$8:$CE$57, MATCH($C22, $C$8:$C$57, 0), (COLUMNS($DU22:EE22)-1)*5 + 1) = INDEX($E$5:$CE$5, 1, (COLUMNS($DU22:EE22)-1)*5 + 1), INDEX($E$8:$CE$57, MATCH($C22, $C$8:$C$57, 0), (COLUMNS($DU22:EE22)-1)*5 + 4) = "SF"), INDEX($CZ$8:$CZ$23, COLUMNS($DU22:EE22)), "0"), "")</f>
        <v>0</v>
      </c>
      <c r="EF22" s="390" t="str">
        <f t="array" ref="EF22">IFERROR(IF(AND(INDEX($E$8:$CE$57, MATCH($C22, $C$8:$C$57, 0), (COLUMNS($DU22:EF22)-1)*5 + 1) = INDEX($E$5:$CE$5, 1, (COLUMNS($DU22:EF22)-1)*5 + 1), INDEX($E$8:$CE$57, MATCH($C22, $C$8:$C$57, 0), (COLUMNS($DU22:EF22)-1)*5 + 4) = "SF"), INDEX($CZ$8:$CZ$23, COLUMNS($DU22:EF22)), "0"), "")</f>
        <v>0</v>
      </c>
      <c r="EG22" s="390" t="str">
        <f t="array" ref="EG22">IFERROR(IF(AND(INDEX($E$8:$CE$57, MATCH($C22, $C$8:$C$57, 0), (COLUMNS($DU22:EG22)-1)*5 + 1) = INDEX($E$5:$CE$5, 1, (COLUMNS($DU22:EG22)-1)*5 + 1), INDEX($E$8:$CE$57, MATCH($C22, $C$8:$C$57, 0), (COLUMNS($DU22:EG22)-1)*5 + 4) = "SF"), INDEX($CZ$8:$CZ$23, COLUMNS($DU22:EG22)), "0"), "")</f>
        <v>0</v>
      </c>
      <c r="EH22" s="390" t="str">
        <f t="array" ref="EH22">IFERROR(IF(AND(INDEX($E$8:$CE$57, MATCH($C22, $C$8:$C$57, 0), (COLUMNS($DU22:EH22)-1)*5 + 1) = INDEX($E$5:$CE$5, 1, (COLUMNS($DU22:EH22)-1)*5 + 1), INDEX($E$8:$CE$57, MATCH($C22, $C$8:$C$57, 0), (COLUMNS($DU22:EH22)-1)*5 + 4) = "SF"), INDEX($CZ$8:$CZ$23, COLUMNS($DU22:EH22)), "0"), "")</f>
        <v>0</v>
      </c>
      <c r="EI22" s="390" t="str">
        <f t="array" ref="EI22">IFERROR(IF(AND(INDEX($E$8:$CE$57, MATCH($C22, $C$8:$C$57, 0), (COLUMNS($DU22:EI22)-1)*5 + 1) = INDEX($E$5:$CE$5, 1, (COLUMNS($DU22:EI22)-1)*5 + 1), INDEX($E$8:$CE$57, MATCH($C22, $C$8:$C$57, 0), (COLUMNS($DU22:EI22)-1)*5 + 4) = "SF"), INDEX($CZ$8:$CZ$23, COLUMNS($DU22:EI22)), "0"), "")</f>
        <v>0</v>
      </c>
      <c r="EJ22" s="390" t="str">
        <f t="array" ref="EJ22">IFERROR(IF(AND(INDEX($E$8:$CE$57, MATCH($C22, $C$8:$C$57, 0), (COLUMNS($DU22:EJ22)-1)*5 + 1) = INDEX($E$5:$CE$5, 1, (COLUMNS($DU22:EJ22)-1)*5 + 1), INDEX($E$8:$CE$57, MATCH($C22, $C$8:$C$57, 0), (COLUMNS($DU22:EJ22)-1)*5 + 4) = "SF"), INDEX($CZ$8:$CZ$23, COLUMNS($DU22:EJ22)), "0"), "")</f>
        <v>0</v>
      </c>
    </row>
    <row r="23" spans="1:140" ht="20.100000000000001" customHeight="1" x14ac:dyDescent="0.35">
      <c r="A23" s="515"/>
      <c r="B23" s="444">
        <f>IF(SEMANA29[[#This Row],[COD]]&lt;&gt;"",B22+1,"")</f>
        <v>16</v>
      </c>
      <c r="C23" s="554" t="s">
        <v>62</v>
      </c>
      <c r="D23" s="410" t="str">
        <f t="array" ref="D23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23" s="411"/>
      <c r="F23" s="412"/>
      <c r="G23" s="412"/>
      <c r="H23" s="412"/>
      <c r="I23" s="534">
        <f t="shared" si="0"/>
        <v>0</v>
      </c>
      <c r="J23" s="411"/>
      <c r="K23" s="412"/>
      <c r="L23" s="412"/>
      <c r="M23" s="412"/>
      <c r="N23" s="534">
        <f t="shared" si="1"/>
        <v>0</v>
      </c>
      <c r="O23" s="411"/>
      <c r="P23" s="412"/>
      <c r="Q23" s="412"/>
      <c r="R23" s="412"/>
      <c r="S23" s="534">
        <f t="shared" si="2"/>
        <v>0</v>
      </c>
      <c r="T23" s="411"/>
      <c r="U23" s="412"/>
      <c r="V23" s="412"/>
      <c r="W23" s="412"/>
      <c r="X23" s="534">
        <f t="shared" si="3"/>
        <v>0</v>
      </c>
      <c r="Y23" s="411"/>
      <c r="Z23" s="412"/>
      <c r="AA23" s="412"/>
      <c r="AB23" s="412"/>
      <c r="AC23" s="534">
        <f t="shared" si="4"/>
        <v>0</v>
      </c>
      <c r="AD23" s="411"/>
      <c r="AE23" s="412"/>
      <c r="AF23" s="412"/>
      <c r="AG23" s="412"/>
      <c r="AH23" s="534">
        <f t="shared" si="5"/>
        <v>0</v>
      </c>
      <c r="AI23" s="411"/>
      <c r="AJ23" s="412"/>
      <c r="AK23" s="412"/>
      <c r="AL23" s="412"/>
      <c r="AM23" s="534">
        <f t="shared" si="6"/>
        <v>0</v>
      </c>
      <c r="AN23" s="411"/>
      <c r="AO23" s="412"/>
      <c r="AP23" s="412"/>
      <c r="AQ23" s="412"/>
      <c r="AR23" s="534">
        <f t="shared" si="7"/>
        <v>0</v>
      </c>
      <c r="AS23" s="411"/>
      <c r="AT23" s="412"/>
      <c r="AU23" s="412"/>
      <c r="AV23" s="412"/>
      <c r="AW23" s="534">
        <f t="shared" si="8"/>
        <v>0</v>
      </c>
      <c r="AX23" s="411"/>
      <c r="AY23" s="412"/>
      <c r="AZ23" s="412"/>
      <c r="BA23" s="412"/>
      <c r="BB23" s="534">
        <f t="shared" si="9"/>
        <v>0</v>
      </c>
      <c r="BC23" s="411"/>
      <c r="BD23" s="412"/>
      <c r="BE23" s="412"/>
      <c r="BF23" s="412"/>
      <c r="BG23" s="534">
        <f t="shared" si="10"/>
        <v>0</v>
      </c>
      <c r="BH23" s="411"/>
      <c r="BI23" s="412"/>
      <c r="BJ23" s="412"/>
      <c r="BK23" s="412"/>
      <c r="BL23" s="534">
        <f t="shared" si="11"/>
        <v>0</v>
      </c>
      <c r="BM23" s="411"/>
      <c r="BN23" s="412"/>
      <c r="BO23" s="412"/>
      <c r="BP23" s="412"/>
      <c r="BQ23" s="534">
        <f t="shared" si="12"/>
        <v>0</v>
      </c>
      <c r="BR23" s="411"/>
      <c r="BS23" s="412"/>
      <c r="BT23" s="412"/>
      <c r="BU23" s="412"/>
      <c r="BV23" s="534">
        <f t="shared" si="13"/>
        <v>0</v>
      </c>
      <c r="BW23" s="411"/>
      <c r="BX23" s="412"/>
      <c r="BY23" s="412"/>
      <c r="BZ23" s="412"/>
      <c r="CA23" s="534">
        <f t="shared" si="14"/>
        <v>0</v>
      </c>
      <c r="CB23" s="411"/>
      <c r="CC23" s="412"/>
      <c r="CD23" s="412"/>
      <c r="CE23" s="412"/>
      <c r="CF23" s="534">
        <f t="shared" si="15"/>
        <v>0</v>
      </c>
      <c r="CG23" s="162">
        <f>IF(SEMANA29[[#This Row],[1]]="",0,$B$4)</f>
        <v>0</v>
      </c>
      <c r="CH23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23" s="164">
        <f>IF(SEMANA29[[#This Row],[Columna14]]=0,0,(CH23/CG23))</f>
        <v>0</v>
      </c>
      <c r="CJ23" s="163">
        <f>IF(SEMANA29[[#This Row],[1]]="",0,$B$4)</f>
        <v>0</v>
      </c>
      <c r="CK23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23" s="164">
        <f>IF(SEMANA29[[#This Row],[Columna14]]=0,0,(CK23/CJ23))</f>
        <v>0</v>
      </c>
      <c r="CM23" s="162">
        <f>IF(SEMANA29[[#This Row],[1]]="",0,$B$4)</f>
        <v>0</v>
      </c>
      <c r="CN23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23" s="164">
        <f>IF(SEMANA29[[#This Row],[Columna14]]=0,0,(CN23/CM23))</f>
        <v>0</v>
      </c>
      <c r="CP23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23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Row],[Columna25]],$AX$5,BA23,"SF")+COUNTIFS(SEMANA29[[#This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23" s="164">
        <f>IFERROR(IF(SEMANA29[[#This Row],[Columna14]]=0,0,(CQ23/CP23)),0)</f>
        <v>0</v>
      </c>
      <c r="CS23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23" s="93">
        <f>_xlfn.XLOOKUP(SEMANA29[[#This Row],[COD]],SEMANA2[COD],SEMANA2[Columna33])</f>
        <v>65.5</v>
      </c>
      <c r="CU23" s="536">
        <f t="shared" si="16"/>
        <v>65.5</v>
      </c>
      <c r="CV23" s="445" t="str">
        <f>IF(SEMANA29[[#This Row],[TIPO]]="PREMIO",$O$3,"0,00")</f>
        <v>0,00</v>
      </c>
      <c r="CW23" s="515"/>
      <c r="CY23" s="388">
        <v>16</v>
      </c>
      <c r="CZ23" s="349">
        <f>CC$6</f>
        <v>0</v>
      </c>
      <c r="DB23" s="537" t="str">
        <f>SEMANA29[[#This Row],[COD]]</f>
        <v>COD 16</v>
      </c>
      <c r="DC23" s="390" t="str">
        <f t="array" ref="DC23">IFERROR(IF(AND(INDEX($E$8:$CE$57, MATCH($C23, $C$8:$C$57, 0), (COLUMNS($DC23:DC23)-1)*5 + 1) = INDEX($E$5:$CE$5, 1, (COLUMNS($DC23:DC23)-1)*5 + 1), INDEX($E$8:$CE$57, MATCH($C23, $C$8:$C$57, 0), (COLUMNS($DC23:DC23)-1)*5 + 4) = "F"), INDEX($CZ$8:$CZ$23, COLUMNS($DC23:DC23)), "0"), "")</f>
        <v>0</v>
      </c>
      <c r="DD23" s="390" t="str">
        <f t="array" ref="DD23">IFERROR(IF(AND(INDEX($E$8:$CE$57, MATCH($C23, $C$8:$C$57, 0), (COLUMNS($DC23:DD23)-1)*5 + 1) = INDEX($E$5:$CE$5, 1, (COLUMNS($DC23:DD23)-1)*5 + 1), INDEX($E$8:$CE$57, MATCH($C23, $C$8:$C$57, 0), (COLUMNS($DC23:DD23)-1)*5 + 4) = "F"), INDEX($CZ$8:$CZ$23, COLUMNS($DC23:DD23)), "0"), "")</f>
        <v>0</v>
      </c>
      <c r="DE23" s="390" t="str">
        <f t="array" ref="DE23">IFERROR(IF(AND(INDEX($E$8:$CE$57, MATCH($C23, $C$8:$C$57, 0), (COLUMNS($DC23:DE23)-1)*5 + 1) = INDEX($E$5:$CE$5, 1, (COLUMNS($DC23:DE23)-1)*5 + 1), INDEX($E$8:$CE$57, MATCH($C23, $C$8:$C$57, 0), (COLUMNS($DC23:DE23)-1)*5 + 4) = "F"), INDEX($CZ$8:$CZ$23, COLUMNS($DC23:DE23)), "0"), "")</f>
        <v>0</v>
      </c>
      <c r="DF23" s="390" t="str">
        <f t="array" ref="DF23">IFERROR(IF(AND(INDEX($E$8:$CE$57, MATCH($C23, $C$8:$C$57, 0), (COLUMNS($DC23:DF23)-1)*5 + 1) = INDEX($E$5:$CE$5, 1, (COLUMNS($DC23:DF23)-1)*5 + 1), INDEX($E$8:$CE$57, MATCH($C23, $C$8:$C$57, 0), (COLUMNS($DC23:DF23)-1)*5 + 4) = "F"), INDEX($CZ$8:$CZ$23, COLUMNS($DC23:DF23)), "0"), "")</f>
        <v>0</v>
      </c>
      <c r="DG23" s="390" t="str">
        <f t="array" ref="DG23">IFERROR(IF(AND(INDEX($E$8:$CE$57, MATCH($C23, $C$8:$C$57, 0), (COLUMNS($DC23:DG23)-1)*5 + 1) = INDEX($E$5:$CE$5, 1, (COLUMNS($DC23:DG23)-1)*5 + 1), INDEX($E$8:$CE$57, MATCH($C23, $C$8:$C$57, 0), (COLUMNS($DC23:DG23)-1)*5 + 4) = "F"), INDEX($CZ$8:$CZ$23, COLUMNS($DC23:DG23)), "0"), "")</f>
        <v>0</v>
      </c>
      <c r="DH23" s="390" t="str">
        <f t="array" ref="DH23">IFERROR(IF(AND(INDEX($E$8:$CE$57, MATCH($C23, $C$8:$C$57, 0), (COLUMNS($DC23:DH23)-1)*5 + 1) = INDEX($E$5:$CE$5, 1, (COLUMNS($DC23:DH23)-1)*5 + 1), INDEX($E$8:$CE$57, MATCH($C23, $C$8:$C$57, 0), (COLUMNS($DC23:DH23)-1)*5 + 4) = "F"), INDEX($CZ$8:$CZ$23, COLUMNS($DC23:DH23)), "0"), "")</f>
        <v>0</v>
      </c>
      <c r="DI23" s="390" t="str">
        <f t="array" ref="DI23">IFERROR(IF(AND(INDEX($E$8:$CE$57, MATCH($C23, $C$8:$C$57, 0), (COLUMNS($DC23:DI23)-1)*5 + 1) = INDEX($E$5:$CE$5, 1, (COLUMNS($DC23:DI23)-1)*5 + 1), INDEX($E$8:$CE$57, MATCH($C23, $C$8:$C$57, 0), (COLUMNS($DC23:DI23)-1)*5 + 4) = "F"), INDEX($CZ$8:$CZ$23, COLUMNS($DC23:DI23)), "0"), "")</f>
        <v>0</v>
      </c>
      <c r="DJ23" s="390" t="str">
        <f t="array" ref="DJ23">IFERROR(IF(AND(INDEX($E$8:$CE$57, MATCH($C23, $C$8:$C$57, 0), (COLUMNS($DC23:DJ23)-1)*5 + 1) = INDEX($E$5:$CE$5, 1, (COLUMNS($DC23:DJ23)-1)*5 + 1), INDEX($E$8:$CE$57, MATCH($C23, $C$8:$C$57, 0), (COLUMNS($DC23:DJ23)-1)*5 + 4) = "F"), INDEX($CZ$8:$CZ$23, COLUMNS($DC23:DJ23)), "0"), "")</f>
        <v>0</v>
      </c>
      <c r="DK23" s="390" t="str">
        <f t="array" ref="DK23">IFERROR(IF(AND(INDEX($E$8:$CE$57, MATCH($C23, $C$8:$C$57, 0), (COLUMNS($DC23:DK23)-1)*5 + 1) = INDEX($E$5:$CE$5, 1, (COLUMNS($DC23:DK23)-1)*5 + 1), INDEX($E$8:$CE$57, MATCH($C23, $C$8:$C$57, 0), (COLUMNS($DC23:DK23)-1)*5 + 4) = "F"), INDEX($CZ$8:$CZ$23, COLUMNS($DC23:DK23)), "0"), "")</f>
        <v>0</v>
      </c>
      <c r="DL23" s="390" t="str">
        <f t="array" ref="DL23">IFERROR(IF(AND(INDEX($E$8:$CE$57, MATCH($C23, $C$8:$C$57, 0), (COLUMNS($DC23:DL23)-1)*5 + 1) = INDEX($E$5:$CE$5, 1, (COLUMNS($DC23:DL23)-1)*5 + 1), INDEX($E$8:$CE$57, MATCH($C23, $C$8:$C$57, 0), (COLUMNS($DC23:DL23)-1)*5 + 4) = "F"), INDEX($CZ$8:$CZ$23, COLUMNS($DC23:DL23)), "0"), "")</f>
        <v>0</v>
      </c>
      <c r="DM23" s="390" t="str">
        <f t="array" ref="DM23">IFERROR(IF(AND(INDEX($E$8:$CE$57, MATCH($C23, $C$8:$C$57, 0), (COLUMNS($DC23:DM23)-1)*5 + 1) = INDEX($E$5:$CE$5, 1, (COLUMNS($DC23:DM23)-1)*5 + 1), INDEX($E$8:$CE$57, MATCH($C23, $C$8:$C$57, 0), (COLUMNS($DC23:DM23)-1)*5 + 4) = "F"), INDEX($CZ$8:$CZ$23, COLUMNS($DC23:DM23)), "0"), "")</f>
        <v>0</v>
      </c>
      <c r="DN23" s="390" t="str">
        <f t="array" ref="DN23">IFERROR(IF(AND(INDEX($E$8:$CE$57, MATCH($C23, $C$8:$C$57, 0), (COLUMNS($DC23:DN23)-1)*5 + 1) = INDEX($E$5:$CE$5, 1, (COLUMNS($DC23:DN23)-1)*5 + 1), INDEX($E$8:$CE$57, MATCH($C23, $C$8:$C$57, 0), (COLUMNS($DC23:DN23)-1)*5 + 4) = "F"), INDEX($CZ$8:$CZ$23, COLUMNS($DC23:DN23)), "0"), "")</f>
        <v>0</v>
      </c>
      <c r="DO23" s="390" t="str">
        <f t="array" ref="DO23">IFERROR(IF(AND(INDEX($E$8:$CE$57, MATCH($C23, $C$8:$C$57, 0), (COLUMNS($DC23:DO23)-1)*5 + 1) = INDEX($E$5:$CE$5, 1, (COLUMNS($DC23:DO23)-1)*5 + 1), INDEX($E$8:$CE$57, MATCH($C23, $C$8:$C$57, 0), (COLUMNS($DC23:DO23)-1)*5 + 4) = "F"), INDEX($CZ$8:$CZ$23, COLUMNS($DC23:DO23)), "0"), "")</f>
        <v>0</v>
      </c>
      <c r="DP23" s="390" t="str">
        <f t="array" ref="DP23">IFERROR(IF(AND(INDEX($E$8:$CE$57, MATCH($C23, $C$8:$C$57, 0), (COLUMNS($DC23:DP23)-1)*5 + 1) = INDEX($E$5:$CE$5, 1, (COLUMNS($DC23:DP23)-1)*5 + 1), INDEX($E$8:$CE$57, MATCH($C23, $C$8:$C$57, 0), (COLUMNS($DC23:DP23)-1)*5 + 4) = "F"), INDEX($CZ$8:$CZ$23, COLUMNS($DC23:DP23)), "0"), "")</f>
        <v>0</v>
      </c>
      <c r="DQ23" s="390" t="str">
        <f t="array" ref="DQ23">IFERROR(IF(AND(INDEX($E$8:$CE$57, MATCH($C23, $C$8:$C$57, 0), (COLUMNS($DC23:DQ23)-1)*5 + 1) = INDEX($E$5:$CE$5, 1, (COLUMNS($DC23:DQ23)-1)*5 + 1), INDEX($E$8:$CE$57, MATCH($C23, $C$8:$C$57, 0), (COLUMNS($DC23:DQ23)-1)*5 + 4) = "F"), INDEX($CZ$8:$CZ$23, COLUMNS($DC23:DQ23)), "0"), "")</f>
        <v>0</v>
      </c>
      <c r="DR23" s="390" t="str">
        <f t="array" ref="DR23">IFERROR(IF(AND(INDEX($E$8:$CE$57, MATCH($C23, $C$8:$C$57, 0), (COLUMNS($DC23:DR23)-1)*5 + 1) = INDEX($E$5:$CE$5, 1, (COLUMNS($DC23:DR23)-1)*5 + 1), INDEX($E$8:$CE$57, MATCH($C23, $C$8:$C$57, 0), (COLUMNS($DC23:DR23)-1)*5 + 4) = "F"), INDEX($CZ$8:$CZ$23, COLUMNS($DC23:DR23)), "0"), "")</f>
        <v>0</v>
      </c>
      <c r="DT23" s="537" t="str">
        <f>SEMANA29[[#This Row],[COD]]</f>
        <v>COD 16</v>
      </c>
      <c r="DU23" s="390" t="str">
        <f t="array" ref="DU23">IFERROR(IF(AND(INDEX($E$8:$CE$57, MATCH($C23, $C$8:$C$57, 0), (COLUMNS($DU23:DU23)-1)*5 + 1) = INDEX($E$5:$CE$5, 1, (COLUMNS($DU23:DU23)-1)*5 + 1), INDEX($E$8:$CE$57, MATCH($C23, $C$8:$C$57, 0), (COLUMNS($DU23:DU23)-1)*5 + 4) = "SF"), INDEX($CZ$8:$CZ$23, COLUMNS($DU23:DU23)), "0"), "")</f>
        <v>0</v>
      </c>
      <c r="DV23" s="390" t="str">
        <f t="array" ref="DV23">IFERROR(IF(AND(INDEX($E$8:$CE$57, MATCH($C23, $C$8:$C$57, 0), (COLUMNS($DU23:DV23)-1)*5 + 1) = INDEX($E$5:$CE$5, 1, (COLUMNS($DU23:DV23)-1)*5 + 1), INDEX($E$8:$CE$57, MATCH($C23, $C$8:$C$57, 0), (COLUMNS($DU23:DV23)-1)*5 + 4) = "SF"), INDEX($CZ$8:$CZ$23, COLUMNS($DU23:DV23)), "0"), "")</f>
        <v>0</v>
      </c>
      <c r="DW23" s="390" t="str">
        <f t="array" ref="DW23">IFERROR(IF(AND(INDEX($E$8:$CE$57, MATCH($C23, $C$8:$C$57, 0), (COLUMNS($DU23:DW23)-1)*5 + 1) = INDEX($E$5:$CE$5, 1, (COLUMNS($DU23:DW23)-1)*5 + 1), INDEX($E$8:$CE$57, MATCH($C23, $C$8:$C$57, 0), (COLUMNS($DU23:DW23)-1)*5 + 4) = "SF"), INDEX($CZ$8:$CZ$23, COLUMNS($DU23:DW23)), "0"), "")</f>
        <v>0</v>
      </c>
      <c r="DX23" s="390" t="str">
        <f t="array" ref="DX23">IFERROR(IF(AND(INDEX($E$8:$CE$57, MATCH($C23, $C$8:$C$57, 0), (COLUMNS($DU23:DX23)-1)*5 + 1) = INDEX($E$5:$CE$5, 1, (COLUMNS($DU23:DX23)-1)*5 + 1), INDEX($E$8:$CE$57, MATCH($C23, $C$8:$C$57, 0), (COLUMNS($DU23:DX23)-1)*5 + 4) = "SF"), INDEX($CZ$8:$CZ$23, COLUMNS($DU23:DX23)), "0"), "")</f>
        <v>0</v>
      </c>
      <c r="DY23" s="390" t="str">
        <f t="array" ref="DY23">IFERROR(IF(AND(INDEX($E$8:$CE$57, MATCH($C23, $C$8:$C$57, 0), (COLUMNS($DU23:DY23)-1)*5 + 1) = INDEX($E$5:$CE$5, 1, (COLUMNS($DU23:DY23)-1)*5 + 1), INDEX($E$8:$CE$57, MATCH($C23, $C$8:$C$57, 0), (COLUMNS($DU23:DY23)-1)*5 + 4) = "SF"), INDEX($CZ$8:$CZ$23, COLUMNS($DU23:DY23)), "0"), "")</f>
        <v>0</v>
      </c>
      <c r="DZ23" s="390" t="str">
        <f t="array" ref="DZ23">IFERROR(IF(AND(INDEX($E$8:$CE$57, MATCH($C23, $C$8:$C$57, 0), (COLUMNS($DU23:DZ23)-1)*5 + 1) = INDEX($E$5:$CE$5, 1, (COLUMNS($DU23:DZ23)-1)*5 + 1), INDEX($E$8:$CE$57, MATCH($C23, $C$8:$C$57, 0), (COLUMNS($DU23:DZ23)-1)*5 + 4) = "SF"), INDEX($CZ$8:$CZ$23, COLUMNS($DU23:DZ23)), "0"), "")</f>
        <v>0</v>
      </c>
      <c r="EA23" s="390" t="str">
        <f t="array" ref="EA23">IFERROR(IF(AND(INDEX($E$8:$CE$57, MATCH($C23, $C$8:$C$57, 0), (COLUMNS($DU23:EA23)-1)*5 + 1) = INDEX($E$5:$CE$5, 1, (COLUMNS($DU23:EA23)-1)*5 + 1), INDEX($E$8:$CE$57, MATCH($C23, $C$8:$C$57, 0), (COLUMNS($DU23:EA23)-1)*5 + 4) = "SF"), INDEX($CZ$8:$CZ$23, COLUMNS($DU23:EA23)), "0"), "")</f>
        <v>0</v>
      </c>
      <c r="EB23" s="390" t="str">
        <f t="array" ref="EB23">IFERROR(IF(AND(INDEX($E$8:$CE$57, MATCH($C23, $C$8:$C$57, 0), (COLUMNS($DU23:EB23)-1)*5 + 1) = INDEX($E$5:$CE$5, 1, (COLUMNS($DU23:EB23)-1)*5 + 1), INDEX($E$8:$CE$57, MATCH($C23, $C$8:$C$57, 0), (COLUMNS($DU23:EB23)-1)*5 + 4) = "SF"), INDEX($CZ$8:$CZ$23, COLUMNS($DU23:EB23)), "0"), "")</f>
        <v>0</v>
      </c>
      <c r="EC23" s="390" t="str">
        <f t="array" ref="EC23">IFERROR(IF(AND(INDEX($E$8:$CE$57, MATCH($C23, $C$8:$C$57, 0), (COLUMNS($DU23:EC23)-1)*5 + 1) = INDEX($E$5:$CE$5, 1, (COLUMNS($DU23:EC23)-1)*5 + 1), INDEX($E$8:$CE$57, MATCH($C23, $C$8:$C$57, 0), (COLUMNS($DU23:EC23)-1)*5 + 4) = "SF"), INDEX($CZ$8:$CZ$23, COLUMNS($DU23:EC23)), "0"), "")</f>
        <v>0</v>
      </c>
      <c r="ED23" s="390" t="str">
        <f t="array" ref="ED23">IFERROR(IF(AND(INDEX($E$8:$CE$57, MATCH($C23, $C$8:$C$57, 0), (COLUMNS($DU23:ED23)-1)*5 + 1) = INDEX($E$5:$CE$5, 1, (COLUMNS($DU23:ED23)-1)*5 + 1), INDEX($E$8:$CE$57, MATCH($C23, $C$8:$C$57, 0), (COLUMNS($DU23:ED23)-1)*5 + 4) = "SF"), INDEX($CZ$8:$CZ$23, COLUMNS($DU23:ED23)), "0"), "")</f>
        <v>0</v>
      </c>
      <c r="EE23" s="390" t="str">
        <f t="array" ref="EE23">IFERROR(IF(AND(INDEX($E$8:$CE$57, MATCH($C23, $C$8:$C$57, 0), (COLUMNS($DU23:EE23)-1)*5 + 1) = INDEX($E$5:$CE$5, 1, (COLUMNS($DU23:EE23)-1)*5 + 1), INDEX($E$8:$CE$57, MATCH($C23, $C$8:$C$57, 0), (COLUMNS($DU23:EE23)-1)*5 + 4) = "SF"), INDEX($CZ$8:$CZ$23, COLUMNS($DU23:EE23)), "0"), "")</f>
        <v>0</v>
      </c>
      <c r="EF23" s="390" t="str">
        <f t="array" ref="EF23">IFERROR(IF(AND(INDEX($E$8:$CE$57, MATCH($C23, $C$8:$C$57, 0), (COLUMNS($DU23:EF23)-1)*5 + 1) = INDEX($E$5:$CE$5, 1, (COLUMNS($DU23:EF23)-1)*5 + 1), INDEX($E$8:$CE$57, MATCH($C23, $C$8:$C$57, 0), (COLUMNS($DU23:EF23)-1)*5 + 4) = "SF"), INDEX($CZ$8:$CZ$23, COLUMNS($DU23:EF23)), "0"), "")</f>
        <v>0</v>
      </c>
      <c r="EG23" s="390" t="str">
        <f t="array" ref="EG23">IFERROR(IF(AND(INDEX($E$8:$CE$57, MATCH($C23, $C$8:$C$57, 0), (COLUMNS($DU23:EG23)-1)*5 + 1) = INDEX($E$5:$CE$5, 1, (COLUMNS($DU23:EG23)-1)*5 + 1), INDEX($E$8:$CE$57, MATCH($C23, $C$8:$C$57, 0), (COLUMNS($DU23:EG23)-1)*5 + 4) = "SF"), INDEX($CZ$8:$CZ$23, COLUMNS($DU23:EG23)), "0"), "")</f>
        <v>0</v>
      </c>
      <c r="EH23" s="390" t="str">
        <f t="array" ref="EH23">IFERROR(IF(AND(INDEX($E$8:$CE$57, MATCH($C23, $C$8:$C$57, 0), (COLUMNS($DU23:EH23)-1)*5 + 1) = INDEX($E$5:$CE$5, 1, (COLUMNS($DU23:EH23)-1)*5 + 1), INDEX($E$8:$CE$57, MATCH($C23, $C$8:$C$57, 0), (COLUMNS($DU23:EH23)-1)*5 + 4) = "SF"), INDEX($CZ$8:$CZ$23, COLUMNS($DU23:EH23)), "0"), "")</f>
        <v>0</v>
      </c>
      <c r="EI23" s="390" t="str">
        <f t="array" ref="EI23">IFERROR(IF(AND(INDEX($E$8:$CE$57, MATCH($C23, $C$8:$C$57, 0), (COLUMNS($DU23:EI23)-1)*5 + 1) = INDEX($E$5:$CE$5, 1, (COLUMNS($DU23:EI23)-1)*5 + 1), INDEX($E$8:$CE$57, MATCH($C23, $C$8:$C$57, 0), (COLUMNS($DU23:EI23)-1)*5 + 4) = "SF"), INDEX($CZ$8:$CZ$23, COLUMNS($DU23:EI23)), "0"), "")</f>
        <v>0</v>
      </c>
      <c r="EJ23" s="390" t="str">
        <f t="array" ref="EJ23">IFERROR(IF(AND(INDEX($E$8:$CE$57, MATCH($C23, $C$8:$C$57, 0), (COLUMNS($DU23:EJ23)-1)*5 + 1) = INDEX($E$5:$CE$5, 1, (COLUMNS($DU23:EJ23)-1)*5 + 1), INDEX($E$8:$CE$57, MATCH($C23, $C$8:$C$57, 0), (COLUMNS($DU23:EJ23)-1)*5 + 4) = "SF"), INDEX($CZ$8:$CZ$23, COLUMNS($DU23:EJ23)), "0"), "")</f>
        <v>0</v>
      </c>
    </row>
    <row r="24" spans="1:140" ht="20.100000000000001" customHeight="1" x14ac:dyDescent="0.35">
      <c r="A24" s="515"/>
      <c r="B24" s="444">
        <f>IF(SEMANA29[[#This Row],[COD]]&lt;&gt;"",B23+1,"")</f>
        <v>17</v>
      </c>
      <c r="C24" s="554" t="s">
        <v>64</v>
      </c>
      <c r="D24" s="410" t="str">
        <f t="array" ref="D24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24" s="411"/>
      <c r="F24" s="412"/>
      <c r="G24" s="412"/>
      <c r="H24" s="412"/>
      <c r="I24" s="534">
        <f t="shared" si="0"/>
        <v>0</v>
      </c>
      <c r="J24" s="411"/>
      <c r="K24" s="412"/>
      <c r="L24" s="412"/>
      <c r="M24" s="412"/>
      <c r="N24" s="534">
        <f t="shared" si="1"/>
        <v>0</v>
      </c>
      <c r="O24" s="411"/>
      <c r="P24" s="412"/>
      <c r="Q24" s="412"/>
      <c r="R24" s="412"/>
      <c r="S24" s="534">
        <f t="shared" si="2"/>
        <v>0</v>
      </c>
      <c r="T24" s="411"/>
      <c r="U24" s="412"/>
      <c r="V24" s="412"/>
      <c r="W24" s="412"/>
      <c r="X24" s="534">
        <f t="shared" si="3"/>
        <v>0</v>
      </c>
      <c r="Y24" s="411"/>
      <c r="Z24" s="412"/>
      <c r="AA24" s="412"/>
      <c r="AB24" s="412"/>
      <c r="AC24" s="534">
        <f t="shared" si="4"/>
        <v>0</v>
      </c>
      <c r="AD24" s="411"/>
      <c r="AE24" s="412"/>
      <c r="AF24" s="412"/>
      <c r="AG24" s="412"/>
      <c r="AH24" s="534">
        <f t="shared" si="5"/>
        <v>0</v>
      </c>
      <c r="AI24" s="411"/>
      <c r="AJ24" s="412"/>
      <c r="AK24" s="412"/>
      <c r="AL24" s="412"/>
      <c r="AM24" s="534">
        <f t="shared" si="6"/>
        <v>0</v>
      </c>
      <c r="AN24" s="411"/>
      <c r="AO24" s="412"/>
      <c r="AP24" s="412"/>
      <c r="AQ24" s="412"/>
      <c r="AR24" s="534">
        <f t="shared" si="7"/>
        <v>0</v>
      </c>
      <c r="AS24" s="411"/>
      <c r="AT24" s="412"/>
      <c r="AU24" s="412"/>
      <c r="AV24" s="412"/>
      <c r="AW24" s="534">
        <f t="shared" si="8"/>
        <v>0</v>
      </c>
      <c r="AX24" s="411"/>
      <c r="AY24" s="412"/>
      <c r="AZ24" s="412"/>
      <c r="BA24" s="412"/>
      <c r="BB24" s="534">
        <f t="shared" si="9"/>
        <v>0</v>
      </c>
      <c r="BC24" s="411"/>
      <c r="BD24" s="412"/>
      <c r="BE24" s="412"/>
      <c r="BF24" s="412"/>
      <c r="BG24" s="534">
        <f t="shared" si="10"/>
        <v>0</v>
      </c>
      <c r="BH24" s="411"/>
      <c r="BI24" s="412"/>
      <c r="BJ24" s="412"/>
      <c r="BK24" s="412"/>
      <c r="BL24" s="534">
        <f t="shared" si="11"/>
        <v>0</v>
      </c>
      <c r="BM24" s="411"/>
      <c r="BN24" s="412"/>
      <c r="BO24" s="412"/>
      <c r="BP24" s="412"/>
      <c r="BQ24" s="534">
        <f t="shared" si="12"/>
        <v>0</v>
      </c>
      <c r="BR24" s="411"/>
      <c r="BS24" s="412"/>
      <c r="BT24" s="412"/>
      <c r="BU24" s="412"/>
      <c r="BV24" s="534">
        <f t="shared" si="13"/>
        <v>0</v>
      </c>
      <c r="BW24" s="411"/>
      <c r="BX24" s="412"/>
      <c r="BY24" s="412"/>
      <c r="BZ24" s="412"/>
      <c r="CA24" s="534">
        <f t="shared" si="14"/>
        <v>0</v>
      </c>
      <c r="CB24" s="411"/>
      <c r="CC24" s="412"/>
      <c r="CD24" s="412"/>
      <c r="CE24" s="412"/>
      <c r="CF24" s="534">
        <f t="shared" si="15"/>
        <v>0</v>
      </c>
      <c r="CG24" s="162">
        <f>IF(SEMANA29[[#This Row],[1]]="",0,$B$4)</f>
        <v>0</v>
      </c>
      <c r="CH24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24" s="164">
        <f>IF(SEMANA29[[#This Row],[Columna14]]=0,0,(CH24/CG24))</f>
        <v>0</v>
      </c>
      <c r="CJ24" s="163">
        <f>IF(SEMANA29[[#This Row],[1]]="",0,$B$4)</f>
        <v>0</v>
      </c>
      <c r="CK24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24" s="164">
        <f>IF(SEMANA29[[#This Row],[Columna14]]=0,0,(CK24/CJ24))</f>
        <v>0</v>
      </c>
      <c r="CM24" s="162">
        <f>IF(SEMANA29[[#This Row],[1]]="",0,$B$4)</f>
        <v>0</v>
      </c>
      <c r="CN24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24" s="164">
        <f>IF(SEMANA29[[#This Row],[Columna14]]=0,0,(CN24/CM24))</f>
        <v>0</v>
      </c>
      <c r="CP24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24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Row],[Columna25]],$AX$5,BA24,"SF")+COUNTIFS(SEMANA29[[#This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24" s="164">
        <f>IFERROR(IF(SEMANA29[[#This Row],[Columna14]]=0,0,(CQ24/CP24)),0)</f>
        <v>0</v>
      </c>
      <c r="CS24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24" s="93">
        <f>_xlfn.XLOOKUP(SEMANA29[[#This Row],[COD]],SEMANA2[COD],SEMANA2[Columna33])</f>
        <v>58.5</v>
      </c>
      <c r="CU24" s="536">
        <f t="shared" si="16"/>
        <v>58.5</v>
      </c>
      <c r="CV24" s="445" t="str">
        <f>IF(SEMANA29[[#This Row],[TIPO]]="PREMIO",$O$3,"0,00")</f>
        <v>0,00</v>
      </c>
      <c r="CW24" s="515"/>
      <c r="CY24" s="388" t="s">
        <v>256</v>
      </c>
      <c r="CZ24" s="350">
        <f>MAX(DIV_GAN_SEM_211[DIVIDENDO])</f>
        <v>0</v>
      </c>
      <c r="DA24" s="389" t="s">
        <v>257</v>
      </c>
      <c r="DB24" s="537" t="str">
        <f>SEMANA29[[#This Row],[COD]]</f>
        <v>COD 17</v>
      </c>
      <c r="DC24" s="390" t="str">
        <f t="array" ref="DC24">IFERROR(IF(AND(INDEX($E$8:$CE$57, MATCH($C24, $C$8:$C$57, 0), (COLUMNS($DC24:DC24)-1)*5 + 1) = INDEX($E$5:$CE$5, 1, (COLUMNS($DC24:DC24)-1)*5 + 1), INDEX($E$8:$CE$57, MATCH($C24, $C$8:$C$57, 0), (COLUMNS($DC24:DC24)-1)*5 + 4) = "F"), INDEX($CZ$8:$CZ$23, COLUMNS($DC24:DC24)), "0"), "")</f>
        <v>0</v>
      </c>
      <c r="DD24" s="390" t="str">
        <f t="array" ref="DD24">IFERROR(IF(AND(INDEX($E$8:$CE$57, MATCH($C24, $C$8:$C$57, 0), (COLUMNS($DC24:DD24)-1)*5 + 1) = INDEX($E$5:$CE$5, 1, (COLUMNS($DC24:DD24)-1)*5 + 1), INDEX($E$8:$CE$57, MATCH($C24, $C$8:$C$57, 0), (COLUMNS($DC24:DD24)-1)*5 + 4) = "F"), INDEX($CZ$8:$CZ$23, COLUMNS($DC24:DD24)), "0"), "")</f>
        <v>0</v>
      </c>
      <c r="DE24" s="390" t="str">
        <f t="array" ref="DE24">IFERROR(IF(AND(INDEX($E$8:$CE$57, MATCH($C24, $C$8:$C$57, 0), (COLUMNS($DC24:DE24)-1)*5 + 1) = INDEX($E$5:$CE$5, 1, (COLUMNS($DC24:DE24)-1)*5 + 1), INDEX($E$8:$CE$57, MATCH($C24, $C$8:$C$57, 0), (COLUMNS($DC24:DE24)-1)*5 + 4) = "F"), INDEX($CZ$8:$CZ$23, COLUMNS($DC24:DE24)), "0"), "")</f>
        <v>0</v>
      </c>
      <c r="DF24" s="390" t="str">
        <f t="array" ref="DF24">IFERROR(IF(AND(INDEX($E$8:$CE$57, MATCH($C24, $C$8:$C$57, 0), (COLUMNS($DC24:DF24)-1)*5 + 1) = INDEX($E$5:$CE$5, 1, (COLUMNS($DC24:DF24)-1)*5 + 1), INDEX($E$8:$CE$57, MATCH($C24, $C$8:$C$57, 0), (COLUMNS($DC24:DF24)-1)*5 + 4) = "F"), INDEX($CZ$8:$CZ$23, COLUMNS($DC24:DF24)), "0"), "")</f>
        <v>0</v>
      </c>
      <c r="DG24" s="390" t="str">
        <f t="array" ref="DG24">IFERROR(IF(AND(INDEX($E$8:$CE$57, MATCH($C24, $C$8:$C$57, 0), (COLUMNS($DC24:DG24)-1)*5 + 1) = INDEX($E$5:$CE$5, 1, (COLUMNS($DC24:DG24)-1)*5 + 1), INDEX($E$8:$CE$57, MATCH($C24, $C$8:$C$57, 0), (COLUMNS($DC24:DG24)-1)*5 + 4) = "F"), INDEX($CZ$8:$CZ$23, COLUMNS($DC24:DG24)), "0"), "")</f>
        <v>0</v>
      </c>
      <c r="DH24" s="390" t="str">
        <f t="array" ref="DH24">IFERROR(IF(AND(INDEX($E$8:$CE$57, MATCH($C24, $C$8:$C$57, 0), (COLUMNS($DC24:DH24)-1)*5 + 1) = INDEX($E$5:$CE$5, 1, (COLUMNS($DC24:DH24)-1)*5 + 1), INDEX($E$8:$CE$57, MATCH($C24, $C$8:$C$57, 0), (COLUMNS($DC24:DH24)-1)*5 + 4) = "F"), INDEX($CZ$8:$CZ$23, COLUMNS($DC24:DH24)), "0"), "")</f>
        <v>0</v>
      </c>
      <c r="DI24" s="390" t="str">
        <f t="array" ref="DI24">IFERROR(IF(AND(INDEX($E$8:$CE$57, MATCH($C24, $C$8:$C$57, 0), (COLUMNS($DC24:DI24)-1)*5 + 1) = INDEX($E$5:$CE$5, 1, (COLUMNS($DC24:DI24)-1)*5 + 1), INDEX($E$8:$CE$57, MATCH($C24, $C$8:$C$57, 0), (COLUMNS($DC24:DI24)-1)*5 + 4) = "F"), INDEX($CZ$8:$CZ$23, COLUMNS($DC24:DI24)), "0"), "")</f>
        <v>0</v>
      </c>
      <c r="DJ24" s="390" t="str">
        <f t="array" ref="DJ24">IFERROR(IF(AND(INDEX($E$8:$CE$57, MATCH($C24, $C$8:$C$57, 0), (COLUMNS($DC24:DJ24)-1)*5 + 1) = INDEX($E$5:$CE$5, 1, (COLUMNS($DC24:DJ24)-1)*5 + 1), INDEX($E$8:$CE$57, MATCH($C24, $C$8:$C$57, 0), (COLUMNS($DC24:DJ24)-1)*5 + 4) = "F"), INDEX($CZ$8:$CZ$23, COLUMNS($DC24:DJ24)), "0"), "")</f>
        <v>0</v>
      </c>
      <c r="DK24" s="390" t="str">
        <f t="array" ref="DK24">IFERROR(IF(AND(INDEX($E$8:$CE$57, MATCH($C24, $C$8:$C$57, 0), (COLUMNS($DC24:DK24)-1)*5 + 1) = INDEX($E$5:$CE$5, 1, (COLUMNS($DC24:DK24)-1)*5 + 1), INDEX($E$8:$CE$57, MATCH($C24, $C$8:$C$57, 0), (COLUMNS($DC24:DK24)-1)*5 + 4) = "F"), INDEX($CZ$8:$CZ$23, COLUMNS($DC24:DK24)), "0"), "")</f>
        <v>0</v>
      </c>
      <c r="DL24" s="390" t="str">
        <f t="array" ref="DL24">IFERROR(IF(AND(INDEX($E$8:$CE$57, MATCH($C24, $C$8:$C$57, 0), (COLUMNS($DC24:DL24)-1)*5 + 1) = INDEX($E$5:$CE$5, 1, (COLUMNS($DC24:DL24)-1)*5 + 1), INDEX($E$8:$CE$57, MATCH($C24, $C$8:$C$57, 0), (COLUMNS($DC24:DL24)-1)*5 + 4) = "F"), INDEX($CZ$8:$CZ$23, COLUMNS($DC24:DL24)), "0"), "")</f>
        <v>0</v>
      </c>
      <c r="DM24" s="390" t="str">
        <f t="array" ref="DM24">IFERROR(IF(AND(INDEX($E$8:$CE$57, MATCH($C24, $C$8:$C$57, 0), (COLUMNS($DC24:DM24)-1)*5 + 1) = INDEX($E$5:$CE$5, 1, (COLUMNS($DC24:DM24)-1)*5 + 1), INDEX($E$8:$CE$57, MATCH($C24, $C$8:$C$57, 0), (COLUMNS($DC24:DM24)-1)*5 + 4) = "F"), INDEX($CZ$8:$CZ$23, COLUMNS($DC24:DM24)), "0"), "")</f>
        <v>0</v>
      </c>
      <c r="DN24" s="390" t="str">
        <f t="array" ref="DN24">IFERROR(IF(AND(INDEX($E$8:$CE$57, MATCH($C24, $C$8:$C$57, 0), (COLUMNS($DC24:DN24)-1)*5 + 1) = INDEX($E$5:$CE$5, 1, (COLUMNS($DC24:DN24)-1)*5 + 1), INDEX($E$8:$CE$57, MATCH($C24, $C$8:$C$57, 0), (COLUMNS($DC24:DN24)-1)*5 + 4) = "F"), INDEX($CZ$8:$CZ$23, COLUMNS($DC24:DN24)), "0"), "")</f>
        <v>0</v>
      </c>
      <c r="DO24" s="390" t="str">
        <f t="array" ref="DO24">IFERROR(IF(AND(INDEX($E$8:$CE$57, MATCH($C24, $C$8:$C$57, 0), (COLUMNS($DC24:DO24)-1)*5 + 1) = INDEX($E$5:$CE$5, 1, (COLUMNS($DC24:DO24)-1)*5 + 1), INDEX($E$8:$CE$57, MATCH($C24, $C$8:$C$57, 0), (COLUMNS($DC24:DO24)-1)*5 + 4) = "F"), INDEX($CZ$8:$CZ$23, COLUMNS($DC24:DO24)), "0"), "")</f>
        <v>0</v>
      </c>
      <c r="DP24" s="390" t="str">
        <f t="array" ref="DP24">IFERROR(IF(AND(INDEX($E$8:$CE$57, MATCH($C24, $C$8:$C$57, 0), (COLUMNS($DC24:DP24)-1)*5 + 1) = INDEX($E$5:$CE$5, 1, (COLUMNS($DC24:DP24)-1)*5 + 1), INDEX($E$8:$CE$57, MATCH($C24, $C$8:$C$57, 0), (COLUMNS($DC24:DP24)-1)*5 + 4) = "F"), INDEX($CZ$8:$CZ$23, COLUMNS($DC24:DP24)), "0"), "")</f>
        <v>0</v>
      </c>
      <c r="DQ24" s="390" t="str">
        <f t="array" ref="DQ24">IFERROR(IF(AND(INDEX($E$8:$CE$57, MATCH($C24, $C$8:$C$57, 0), (COLUMNS($DC24:DQ24)-1)*5 + 1) = INDEX($E$5:$CE$5, 1, (COLUMNS($DC24:DQ24)-1)*5 + 1), INDEX($E$8:$CE$57, MATCH($C24, $C$8:$C$57, 0), (COLUMNS($DC24:DQ24)-1)*5 + 4) = "F"), INDEX($CZ$8:$CZ$23, COLUMNS($DC24:DQ24)), "0"), "")</f>
        <v>0</v>
      </c>
      <c r="DR24" s="390" t="str">
        <f t="array" ref="DR24">IFERROR(IF(AND(INDEX($E$8:$CE$57, MATCH($C24, $C$8:$C$57, 0), (COLUMNS($DC24:DR24)-1)*5 + 1) = INDEX($E$5:$CE$5, 1, (COLUMNS($DC24:DR24)-1)*5 + 1), INDEX($E$8:$CE$57, MATCH($C24, $C$8:$C$57, 0), (COLUMNS($DC24:DR24)-1)*5 + 4) = "F"), INDEX($CZ$8:$CZ$23, COLUMNS($DC24:DR24)), "0"), "")</f>
        <v>0</v>
      </c>
      <c r="DT24" s="537" t="str">
        <f>SEMANA29[[#This Row],[COD]]</f>
        <v>COD 17</v>
      </c>
      <c r="DU24" s="390" t="str">
        <f t="array" ref="DU24">IFERROR(IF(AND(INDEX($E$8:$CE$57, MATCH($C24, $C$8:$C$57, 0), (COLUMNS($DU24:DU24)-1)*5 + 1) = INDEX($E$5:$CE$5, 1, (COLUMNS($DU24:DU24)-1)*5 + 1), INDEX($E$8:$CE$57, MATCH($C24, $C$8:$C$57, 0), (COLUMNS($DU24:DU24)-1)*5 + 4) = "SF"), INDEX($CZ$8:$CZ$23, COLUMNS($DU24:DU24)), "0"), "")</f>
        <v>0</v>
      </c>
      <c r="DV24" s="390" t="str">
        <f t="array" ref="DV24">IFERROR(IF(AND(INDEX($E$8:$CE$57, MATCH($C24, $C$8:$C$57, 0), (COLUMNS($DU24:DV24)-1)*5 + 1) = INDEX($E$5:$CE$5, 1, (COLUMNS($DU24:DV24)-1)*5 + 1), INDEX($E$8:$CE$57, MATCH($C24, $C$8:$C$57, 0), (COLUMNS($DU24:DV24)-1)*5 + 4) = "SF"), INDEX($CZ$8:$CZ$23, COLUMNS($DU24:DV24)), "0"), "")</f>
        <v>0</v>
      </c>
      <c r="DW24" s="390" t="str">
        <f t="array" ref="DW24">IFERROR(IF(AND(INDEX($E$8:$CE$57, MATCH($C24, $C$8:$C$57, 0), (COLUMNS($DU24:DW24)-1)*5 + 1) = INDEX($E$5:$CE$5, 1, (COLUMNS($DU24:DW24)-1)*5 + 1), INDEX($E$8:$CE$57, MATCH($C24, $C$8:$C$57, 0), (COLUMNS($DU24:DW24)-1)*5 + 4) = "SF"), INDEX($CZ$8:$CZ$23, COLUMNS($DU24:DW24)), "0"), "")</f>
        <v>0</v>
      </c>
      <c r="DX24" s="390" t="str">
        <f t="array" ref="DX24">IFERROR(IF(AND(INDEX($E$8:$CE$57, MATCH($C24, $C$8:$C$57, 0), (COLUMNS($DU24:DX24)-1)*5 + 1) = INDEX($E$5:$CE$5, 1, (COLUMNS($DU24:DX24)-1)*5 + 1), INDEX($E$8:$CE$57, MATCH($C24, $C$8:$C$57, 0), (COLUMNS($DU24:DX24)-1)*5 + 4) = "SF"), INDEX($CZ$8:$CZ$23, COLUMNS($DU24:DX24)), "0"), "")</f>
        <v>0</v>
      </c>
      <c r="DY24" s="390" t="str">
        <f t="array" ref="DY24">IFERROR(IF(AND(INDEX($E$8:$CE$57, MATCH($C24, $C$8:$C$57, 0), (COLUMNS($DU24:DY24)-1)*5 + 1) = INDEX($E$5:$CE$5, 1, (COLUMNS($DU24:DY24)-1)*5 + 1), INDEX($E$8:$CE$57, MATCH($C24, $C$8:$C$57, 0), (COLUMNS($DU24:DY24)-1)*5 + 4) = "SF"), INDEX($CZ$8:$CZ$23, COLUMNS($DU24:DY24)), "0"), "")</f>
        <v>0</v>
      </c>
      <c r="DZ24" s="390" t="str">
        <f t="array" ref="DZ24">IFERROR(IF(AND(INDEX($E$8:$CE$57, MATCH($C24, $C$8:$C$57, 0), (COLUMNS($DU24:DZ24)-1)*5 + 1) = INDEX($E$5:$CE$5, 1, (COLUMNS($DU24:DZ24)-1)*5 + 1), INDEX($E$8:$CE$57, MATCH($C24, $C$8:$C$57, 0), (COLUMNS($DU24:DZ24)-1)*5 + 4) = "SF"), INDEX($CZ$8:$CZ$23, COLUMNS($DU24:DZ24)), "0"), "")</f>
        <v>0</v>
      </c>
      <c r="EA24" s="390" t="str">
        <f t="array" ref="EA24">IFERROR(IF(AND(INDEX($E$8:$CE$57, MATCH($C24, $C$8:$C$57, 0), (COLUMNS($DU24:EA24)-1)*5 + 1) = INDEX($E$5:$CE$5, 1, (COLUMNS($DU24:EA24)-1)*5 + 1), INDEX($E$8:$CE$57, MATCH($C24, $C$8:$C$57, 0), (COLUMNS($DU24:EA24)-1)*5 + 4) = "SF"), INDEX($CZ$8:$CZ$23, COLUMNS($DU24:EA24)), "0"), "")</f>
        <v>0</v>
      </c>
      <c r="EB24" s="390" t="str">
        <f t="array" ref="EB24">IFERROR(IF(AND(INDEX($E$8:$CE$57, MATCH($C24, $C$8:$C$57, 0), (COLUMNS($DU24:EB24)-1)*5 + 1) = INDEX($E$5:$CE$5, 1, (COLUMNS($DU24:EB24)-1)*5 + 1), INDEX($E$8:$CE$57, MATCH($C24, $C$8:$C$57, 0), (COLUMNS($DU24:EB24)-1)*5 + 4) = "SF"), INDEX($CZ$8:$CZ$23, COLUMNS($DU24:EB24)), "0"), "")</f>
        <v>0</v>
      </c>
      <c r="EC24" s="390" t="str">
        <f t="array" ref="EC24">IFERROR(IF(AND(INDEX($E$8:$CE$57, MATCH($C24, $C$8:$C$57, 0), (COLUMNS($DU24:EC24)-1)*5 + 1) = INDEX($E$5:$CE$5, 1, (COLUMNS($DU24:EC24)-1)*5 + 1), INDEX($E$8:$CE$57, MATCH($C24, $C$8:$C$57, 0), (COLUMNS($DU24:EC24)-1)*5 + 4) = "SF"), INDEX($CZ$8:$CZ$23, COLUMNS($DU24:EC24)), "0"), "")</f>
        <v>0</v>
      </c>
      <c r="ED24" s="390" t="str">
        <f t="array" ref="ED24">IFERROR(IF(AND(INDEX($E$8:$CE$57, MATCH($C24, $C$8:$C$57, 0), (COLUMNS($DU24:ED24)-1)*5 + 1) = INDEX($E$5:$CE$5, 1, (COLUMNS($DU24:ED24)-1)*5 + 1), INDEX($E$8:$CE$57, MATCH($C24, $C$8:$C$57, 0), (COLUMNS($DU24:ED24)-1)*5 + 4) = "SF"), INDEX($CZ$8:$CZ$23, COLUMNS($DU24:ED24)), "0"), "")</f>
        <v>0</v>
      </c>
      <c r="EE24" s="390" t="str">
        <f t="array" ref="EE24">IFERROR(IF(AND(INDEX($E$8:$CE$57, MATCH($C24, $C$8:$C$57, 0), (COLUMNS($DU24:EE24)-1)*5 + 1) = INDEX($E$5:$CE$5, 1, (COLUMNS($DU24:EE24)-1)*5 + 1), INDEX($E$8:$CE$57, MATCH($C24, $C$8:$C$57, 0), (COLUMNS($DU24:EE24)-1)*5 + 4) = "SF"), INDEX($CZ$8:$CZ$23, COLUMNS($DU24:EE24)), "0"), "")</f>
        <v>0</v>
      </c>
      <c r="EF24" s="390" t="str">
        <f t="array" ref="EF24">IFERROR(IF(AND(INDEX($E$8:$CE$57, MATCH($C24, $C$8:$C$57, 0), (COLUMNS($DU24:EF24)-1)*5 + 1) = INDEX($E$5:$CE$5, 1, (COLUMNS($DU24:EF24)-1)*5 + 1), INDEX($E$8:$CE$57, MATCH($C24, $C$8:$C$57, 0), (COLUMNS($DU24:EF24)-1)*5 + 4) = "SF"), INDEX($CZ$8:$CZ$23, COLUMNS($DU24:EF24)), "0"), "")</f>
        <v>0</v>
      </c>
      <c r="EG24" s="390" t="str">
        <f t="array" ref="EG24">IFERROR(IF(AND(INDEX($E$8:$CE$57, MATCH($C24, $C$8:$C$57, 0), (COLUMNS($DU24:EG24)-1)*5 + 1) = INDEX($E$5:$CE$5, 1, (COLUMNS($DU24:EG24)-1)*5 + 1), INDEX($E$8:$CE$57, MATCH($C24, $C$8:$C$57, 0), (COLUMNS($DU24:EG24)-1)*5 + 4) = "SF"), INDEX($CZ$8:$CZ$23, COLUMNS($DU24:EG24)), "0"), "")</f>
        <v>0</v>
      </c>
      <c r="EH24" s="390" t="str">
        <f t="array" ref="EH24">IFERROR(IF(AND(INDEX($E$8:$CE$57, MATCH($C24, $C$8:$C$57, 0), (COLUMNS($DU24:EH24)-1)*5 + 1) = INDEX($E$5:$CE$5, 1, (COLUMNS($DU24:EH24)-1)*5 + 1), INDEX($E$8:$CE$57, MATCH($C24, $C$8:$C$57, 0), (COLUMNS($DU24:EH24)-1)*5 + 4) = "SF"), INDEX($CZ$8:$CZ$23, COLUMNS($DU24:EH24)), "0"), "")</f>
        <v>0</v>
      </c>
      <c r="EI24" s="390" t="str">
        <f t="array" ref="EI24">IFERROR(IF(AND(INDEX($E$8:$CE$57, MATCH($C24, $C$8:$C$57, 0), (COLUMNS($DU24:EI24)-1)*5 + 1) = INDEX($E$5:$CE$5, 1, (COLUMNS($DU24:EI24)-1)*5 + 1), INDEX($E$8:$CE$57, MATCH($C24, $C$8:$C$57, 0), (COLUMNS($DU24:EI24)-1)*5 + 4) = "SF"), INDEX($CZ$8:$CZ$23, COLUMNS($DU24:EI24)), "0"), "")</f>
        <v>0</v>
      </c>
      <c r="EJ24" s="390" t="str">
        <f t="array" ref="EJ24">IFERROR(IF(AND(INDEX($E$8:$CE$57, MATCH($C24, $C$8:$C$57, 0), (COLUMNS($DU24:EJ24)-1)*5 + 1) = INDEX($E$5:$CE$5, 1, (COLUMNS($DU24:EJ24)-1)*5 + 1), INDEX($E$8:$CE$57, MATCH($C24, $C$8:$C$57, 0), (COLUMNS($DU24:EJ24)-1)*5 + 4) = "SF"), INDEX($CZ$8:$CZ$23, COLUMNS($DU24:EJ24)), "0"), "")</f>
        <v>0</v>
      </c>
    </row>
    <row r="25" spans="1:140" ht="20.100000000000001" customHeight="1" x14ac:dyDescent="0.35">
      <c r="A25" s="515"/>
      <c r="B25" s="444">
        <f>IF(SEMANA29[[#This Row],[COD]]&lt;&gt;"",B24+1,"")</f>
        <v>18</v>
      </c>
      <c r="C25" s="554" t="s">
        <v>66</v>
      </c>
      <c r="D25" s="410" t="str">
        <f t="array" ref="D25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25" s="411"/>
      <c r="F25" s="412"/>
      <c r="G25" s="412"/>
      <c r="H25" s="412"/>
      <c r="I25" s="534">
        <f t="shared" si="0"/>
        <v>0</v>
      </c>
      <c r="J25" s="411"/>
      <c r="K25" s="412"/>
      <c r="L25" s="412"/>
      <c r="M25" s="412"/>
      <c r="N25" s="534">
        <f t="shared" si="1"/>
        <v>0</v>
      </c>
      <c r="O25" s="411"/>
      <c r="P25" s="412"/>
      <c r="Q25" s="412"/>
      <c r="R25" s="412"/>
      <c r="S25" s="534">
        <f t="shared" si="2"/>
        <v>0</v>
      </c>
      <c r="T25" s="411"/>
      <c r="U25" s="412"/>
      <c r="V25" s="412"/>
      <c r="W25" s="412"/>
      <c r="X25" s="534">
        <f t="shared" si="3"/>
        <v>0</v>
      </c>
      <c r="Y25" s="411"/>
      <c r="Z25" s="412"/>
      <c r="AA25" s="412"/>
      <c r="AB25" s="412"/>
      <c r="AC25" s="534">
        <f t="shared" si="4"/>
        <v>0</v>
      </c>
      <c r="AD25" s="411"/>
      <c r="AE25" s="412"/>
      <c r="AF25" s="412"/>
      <c r="AG25" s="412"/>
      <c r="AH25" s="534">
        <f t="shared" si="5"/>
        <v>0</v>
      </c>
      <c r="AI25" s="411"/>
      <c r="AJ25" s="412"/>
      <c r="AK25" s="412"/>
      <c r="AL25" s="412"/>
      <c r="AM25" s="534">
        <f t="shared" si="6"/>
        <v>0</v>
      </c>
      <c r="AN25" s="411"/>
      <c r="AO25" s="412"/>
      <c r="AP25" s="412"/>
      <c r="AQ25" s="412"/>
      <c r="AR25" s="534">
        <f t="shared" si="7"/>
        <v>0</v>
      </c>
      <c r="AS25" s="411"/>
      <c r="AT25" s="412"/>
      <c r="AU25" s="412"/>
      <c r="AV25" s="412"/>
      <c r="AW25" s="534">
        <f t="shared" si="8"/>
        <v>0</v>
      </c>
      <c r="AX25" s="411"/>
      <c r="AY25" s="412"/>
      <c r="AZ25" s="412"/>
      <c r="BA25" s="412"/>
      <c r="BB25" s="534">
        <f t="shared" si="9"/>
        <v>0</v>
      </c>
      <c r="BC25" s="411"/>
      <c r="BD25" s="412"/>
      <c r="BE25" s="412"/>
      <c r="BF25" s="412"/>
      <c r="BG25" s="534">
        <f t="shared" si="10"/>
        <v>0</v>
      </c>
      <c r="BH25" s="411"/>
      <c r="BI25" s="412"/>
      <c r="BJ25" s="412"/>
      <c r="BK25" s="412"/>
      <c r="BL25" s="534">
        <f t="shared" si="11"/>
        <v>0</v>
      </c>
      <c r="BM25" s="411"/>
      <c r="BN25" s="412"/>
      <c r="BO25" s="412"/>
      <c r="BP25" s="412"/>
      <c r="BQ25" s="534">
        <f t="shared" si="12"/>
        <v>0</v>
      </c>
      <c r="BR25" s="411"/>
      <c r="BS25" s="412"/>
      <c r="BT25" s="412"/>
      <c r="BU25" s="412"/>
      <c r="BV25" s="534">
        <f t="shared" si="13"/>
        <v>0</v>
      </c>
      <c r="BW25" s="411"/>
      <c r="BX25" s="412"/>
      <c r="BY25" s="412"/>
      <c r="BZ25" s="412"/>
      <c r="CA25" s="534">
        <f t="shared" si="14"/>
        <v>0</v>
      </c>
      <c r="CB25" s="411"/>
      <c r="CC25" s="412"/>
      <c r="CD25" s="412"/>
      <c r="CE25" s="412"/>
      <c r="CF25" s="534">
        <f t="shared" si="15"/>
        <v>0</v>
      </c>
      <c r="CG25" s="162">
        <f>IF(SEMANA29[[#This Row],[1]]="",0,$B$4)</f>
        <v>0</v>
      </c>
      <c r="CH25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25" s="164">
        <f>IF(SEMANA29[[#This Row],[Columna14]]=0,0,(CH25/CG25))</f>
        <v>0</v>
      </c>
      <c r="CJ25" s="163">
        <f>IF(SEMANA29[[#This Row],[1]]="",0,$B$4)</f>
        <v>0</v>
      </c>
      <c r="CK25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25" s="164">
        <f>IF(SEMANA29[[#This Row],[Columna14]]=0,0,(CK25/CJ25))</f>
        <v>0</v>
      </c>
      <c r="CM25" s="162">
        <f>IF(SEMANA29[[#This Row],[1]]="",0,$B$4)</f>
        <v>0</v>
      </c>
      <c r="CN25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25" s="164">
        <f>IF(SEMANA29[[#This Row],[Columna14]]=0,0,(CN25/CM25))</f>
        <v>0</v>
      </c>
      <c r="CP25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25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Row],[Columna25]],$AX$5,BA25,"SF")+COUNTIFS(SEMANA29[[#This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25" s="164">
        <f>IFERROR(IF(SEMANA29[[#This Row],[Columna14]]=0,0,(CQ25/CP25)),0)</f>
        <v>0</v>
      </c>
      <c r="CS25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25" s="93">
        <f>_xlfn.XLOOKUP(SEMANA29[[#This Row],[COD]],SEMANA2[COD],SEMANA2[Columna33])</f>
        <v>58.5</v>
      </c>
      <c r="CU25" s="536">
        <f t="shared" si="16"/>
        <v>58.5</v>
      </c>
      <c r="CV25" s="445" t="str">
        <f>IF(SEMANA29[[#This Row],[TIPO]]="PREMIO",$O$3,"0,00")</f>
        <v>0,00</v>
      </c>
      <c r="CW25" s="515"/>
      <c r="CY25" s="388" t="s">
        <v>252</v>
      </c>
      <c r="CZ25" s="388">
        <f>_xlfn.XLOOKUP(CZ24,DIV_GAN_SEM_211[DIVIDENDO],DIV_GAN_SEM_211[CARRERA],"")</f>
        <v>1</v>
      </c>
      <c r="DA25" s="387" t="str">
        <f t="array" ref="DA25">INDEX(E5:CB5, 1, ($CZ$25-1)*5 + 1)</f>
        <v>-</v>
      </c>
      <c r="DB25" s="537" t="str">
        <f>SEMANA29[[#This Row],[COD]]</f>
        <v>COD 18</v>
      </c>
      <c r="DC25" s="390" t="str">
        <f t="array" ref="DC25">IFERROR(IF(AND(INDEX($E$8:$CE$57, MATCH($C25, $C$8:$C$57, 0), (COLUMNS($DC25:DC25)-1)*5 + 1) = INDEX($E$5:$CE$5, 1, (COLUMNS($DC25:DC25)-1)*5 + 1), INDEX($E$8:$CE$57, MATCH($C25, $C$8:$C$57, 0), (COLUMNS($DC25:DC25)-1)*5 + 4) = "F"), INDEX($CZ$8:$CZ$23, COLUMNS($DC25:DC25)), "0"), "")</f>
        <v>0</v>
      </c>
      <c r="DD25" s="390" t="str">
        <f t="array" ref="DD25">IFERROR(IF(AND(INDEX($E$8:$CE$57, MATCH($C25, $C$8:$C$57, 0), (COLUMNS($DC25:DD25)-1)*5 + 1) = INDEX($E$5:$CE$5, 1, (COLUMNS($DC25:DD25)-1)*5 + 1), INDEX($E$8:$CE$57, MATCH($C25, $C$8:$C$57, 0), (COLUMNS($DC25:DD25)-1)*5 + 4) = "F"), INDEX($CZ$8:$CZ$23, COLUMNS($DC25:DD25)), "0"), "")</f>
        <v>0</v>
      </c>
      <c r="DE25" s="390" t="str">
        <f t="array" ref="DE25">IFERROR(IF(AND(INDEX($E$8:$CE$57, MATCH($C25, $C$8:$C$57, 0), (COLUMNS($DC25:DE25)-1)*5 + 1) = INDEX($E$5:$CE$5, 1, (COLUMNS($DC25:DE25)-1)*5 + 1), INDEX($E$8:$CE$57, MATCH($C25, $C$8:$C$57, 0), (COLUMNS($DC25:DE25)-1)*5 + 4) = "F"), INDEX($CZ$8:$CZ$23, COLUMNS($DC25:DE25)), "0"), "")</f>
        <v>0</v>
      </c>
      <c r="DF25" s="390" t="str">
        <f t="array" ref="DF25">IFERROR(IF(AND(INDEX($E$8:$CE$57, MATCH($C25, $C$8:$C$57, 0), (COLUMNS($DC25:DF25)-1)*5 + 1) = INDEX($E$5:$CE$5, 1, (COLUMNS($DC25:DF25)-1)*5 + 1), INDEX($E$8:$CE$57, MATCH($C25, $C$8:$C$57, 0), (COLUMNS($DC25:DF25)-1)*5 + 4) = "F"), INDEX($CZ$8:$CZ$23, COLUMNS($DC25:DF25)), "0"), "")</f>
        <v>0</v>
      </c>
      <c r="DG25" s="390" t="str">
        <f t="array" ref="DG25">IFERROR(IF(AND(INDEX($E$8:$CE$57, MATCH($C25, $C$8:$C$57, 0), (COLUMNS($DC25:DG25)-1)*5 + 1) = INDEX($E$5:$CE$5, 1, (COLUMNS($DC25:DG25)-1)*5 + 1), INDEX($E$8:$CE$57, MATCH($C25, $C$8:$C$57, 0), (COLUMNS($DC25:DG25)-1)*5 + 4) = "F"), INDEX($CZ$8:$CZ$23, COLUMNS($DC25:DG25)), "0"), "")</f>
        <v>0</v>
      </c>
      <c r="DH25" s="390" t="str">
        <f t="array" ref="DH25">IFERROR(IF(AND(INDEX($E$8:$CE$57, MATCH($C25, $C$8:$C$57, 0), (COLUMNS($DC25:DH25)-1)*5 + 1) = INDEX($E$5:$CE$5, 1, (COLUMNS($DC25:DH25)-1)*5 + 1), INDEX($E$8:$CE$57, MATCH($C25, $C$8:$C$57, 0), (COLUMNS($DC25:DH25)-1)*5 + 4) = "F"), INDEX($CZ$8:$CZ$23, COLUMNS($DC25:DH25)), "0"), "")</f>
        <v>0</v>
      </c>
      <c r="DI25" s="390" t="str">
        <f t="array" ref="DI25">IFERROR(IF(AND(INDEX($E$8:$CE$57, MATCH($C25, $C$8:$C$57, 0), (COLUMNS($DC25:DI25)-1)*5 + 1) = INDEX($E$5:$CE$5, 1, (COLUMNS($DC25:DI25)-1)*5 + 1), INDEX($E$8:$CE$57, MATCH($C25, $C$8:$C$57, 0), (COLUMNS($DC25:DI25)-1)*5 + 4) = "F"), INDEX($CZ$8:$CZ$23, COLUMNS($DC25:DI25)), "0"), "")</f>
        <v>0</v>
      </c>
      <c r="DJ25" s="390" t="str">
        <f t="array" ref="DJ25">IFERROR(IF(AND(INDEX($E$8:$CE$57, MATCH($C25, $C$8:$C$57, 0), (COLUMNS($DC25:DJ25)-1)*5 + 1) = INDEX($E$5:$CE$5, 1, (COLUMNS($DC25:DJ25)-1)*5 + 1), INDEX($E$8:$CE$57, MATCH($C25, $C$8:$C$57, 0), (COLUMNS($DC25:DJ25)-1)*5 + 4) = "F"), INDEX($CZ$8:$CZ$23, COLUMNS($DC25:DJ25)), "0"), "")</f>
        <v>0</v>
      </c>
      <c r="DK25" s="390" t="str">
        <f t="array" ref="DK25">IFERROR(IF(AND(INDEX($E$8:$CE$57, MATCH($C25, $C$8:$C$57, 0), (COLUMNS($DC25:DK25)-1)*5 + 1) = INDEX($E$5:$CE$5, 1, (COLUMNS($DC25:DK25)-1)*5 + 1), INDEX($E$8:$CE$57, MATCH($C25, $C$8:$C$57, 0), (COLUMNS($DC25:DK25)-1)*5 + 4) = "F"), INDEX($CZ$8:$CZ$23, COLUMNS($DC25:DK25)), "0"), "")</f>
        <v>0</v>
      </c>
      <c r="DL25" s="390" t="str">
        <f t="array" ref="DL25">IFERROR(IF(AND(INDEX($E$8:$CE$57, MATCH($C25, $C$8:$C$57, 0), (COLUMNS($DC25:DL25)-1)*5 + 1) = INDEX($E$5:$CE$5, 1, (COLUMNS($DC25:DL25)-1)*5 + 1), INDEX($E$8:$CE$57, MATCH($C25, $C$8:$C$57, 0), (COLUMNS($DC25:DL25)-1)*5 + 4) = "F"), INDEX($CZ$8:$CZ$23, COLUMNS($DC25:DL25)), "0"), "")</f>
        <v>0</v>
      </c>
      <c r="DM25" s="390" t="str">
        <f t="array" ref="DM25">IFERROR(IF(AND(INDEX($E$8:$CE$57, MATCH($C25, $C$8:$C$57, 0), (COLUMNS($DC25:DM25)-1)*5 + 1) = INDEX($E$5:$CE$5, 1, (COLUMNS($DC25:DM25)-1)*5 + 1), INDEX($E$8:$CE$57, MATCH($C25, $C$8:$C$57, 0), (COLUMNS($DC25:DM25)-1)*5 + 4) = "F"), INDEX($CZ$8:$CZ$23, COLUMNS($DC25:DM25)), "0"), "")</f>
        <v>0</v>
      </c>
      <c r="DN25" s="390" t="str">
        <f t="array" ref="DN25">IFERROR(IF(AND(INDEX($E$8:$CE$57, MATCH($C25, $C$8:$C$57, 0), (COLUMNS($DC25:DN25)-1)*5 + 1) = INDEX($E$5:$CE$5, 1, (COLUMNS($DC25:DN25)-1)*5 + 1), INDEX($E$8:$CE$57, MATCH($C25, $C$8:$C$57, 0), (COLUMNS($DC25:DN25)-1)*5 + 4) = "F"), INDEX($CZ$8:$CZ$23, COLUMNS($DC25:DN25)), "0"), "")</f>
        <v>0</v>
      </c>
      <c r="DO25" s="390" t="str">
        <f t="array" ref="DO25">IFERROR(IF(AND(INDEX($E$8:$CE$57, MATCH($C25, $C$8:$C$57, 0), (COLUMNS($DC25:DO25)-1)*5 + 1) = INDEX($E$5:$CE$5, 1, (COLUMNS($DC25:DO25)-1)*5 + 1), INDEX($E$8:$CE$57, MATCH($C25, $C$8:$C$57, 0), (COLUMNS($DC25:DO25)-1)*5 + 4) = "F"), INDEX($CZ$8:$CZ$23, COLUMNS($DC25:DO25)), "0"), "")</f>
        <v>0</v>
      </c>
      <c r="DP25" s="390" t="str">
        <f t="array" ref="DP25">IFERROR(IF(AND(INDEX($E$8:$CE$57, MATCH($C25, $C$8:$C$57, 0), (COLUMNS($DC25:DP25)-1)*5 + 1) = INDEX($E$5:$CE$5, 1, (COLUMNS($DC25:DP25)-1)*5 + 1), INDEX($E$8:$CE$57, MATCH($C25, $C$8:$C$57, 0), (COLUMNS($DC25:DP25)-1)*5 + 4) = "F"), INDEX($CZ$8:$CZ$23, COLUMNS($DC25:DP25)), "0"), "")</f>
        <v>0</v>
      </c>
      <c r="DQ25" s="390" t="str">
        <f t="array" ref="DQ25">IFERROR(IF(AND(INDEX($E$8:$CE$57, MATCH($C25, $C$8:$C$57, 0), (COLUMNS($DC25:DQ25)-1)*5 + 1) = INDEX($E$5:$CE$5, 1, (COLUMNS($DC25:DQ25)-1)*5 + 1), INDEX($E$8:$CE$57, MATCH($C25, $C$8:$C$57, 0), (COLUMNS($DC25:DQ25)-1)*5 + 4) = "F"), INDEX($CZ$8:$CZ$23, COLUMNS($DC25:DQ25)), "0"), "")</f>
        <v>0</v>
      </c>
      <c r="DR25" s="390" t="str">
        <f t="array" ref="DR25">IFERROR(IF(AND(INDEX($E$8:$CE$57, MATCH($C25, $C$8:$C$57, 0), (COLUMNS($DC25:DR25)-1)*5 + 1) = INDEX($E$5:$CE$5, 1, (COLUMNS($DC25:DR25)-1)*5 + 1), INDEX($E$8:$CE$57, MATCH($C25, $C$8:$C$57, 0), (COLUMNS($DC25:DR25)-1)*5 + 4) = "F"), INDEX($CZ$8:$CZ$23, COLUMNS($DC25:DR25)), "0"), "")</f>
        <v>0</v>
      </c>
      <c r="DT25" s="537" t="str">
        <f>SEMANA29[[#This Row],[COD]]</f>
        <v>COD 18</v>
      </c>
      <c r="DU25" s="390" t="str">
        <f t="array" ref="DU25">IFERROR(IF(AND(INDEX($E$8:$CE$57, MATCH($C25, $C$8:$C$57, 0), (COLUMNS($DU25:DU25)-1)*5 + 1) = INDEX($E$5:$CE$5, 1, (COLUMNS($DU25:DU25)-1)*5 + 1), INDEX($E$8:$CE$57, MATCH($C25, $C$8:$C$57, 0), (COLUMNS($DU25:DU25)-1)*5 + 4) = "SF"), INDEX($CZ$8:$CZ$23, COLUMNS($DU25:DU25)), "0"), "")</f>
        <v>0</v>
      </c>
      <c r="DV25" s="390" t="str">
        <f t="array" ref="DV25">IFERROR(IF(AND(INDEX($E$8:$CE$57, MATCH($C25, $C$8:$C$57, 0), (COLUMNS($DU25:DV25)-1)*5 + 1) = INDEX($E$5:$CE$5, 1, (COLUMNS($DU25:DV25)-1)*5 + 1), INDEX($E$8:$CE$57, MATCH($C25, $C$8:$C$57, 0), (COLUMNS($DU25:DV25)-1)*5 + 4) = "SF"), INDEX($CZ$8:$CZ$23, COLUMNS($DU25:DV25)), "0"), "")</f>
        <v>0</v>
      </c>
      <c r="DW25" s="390" t="str">
        <f t="array" ref="DW25">IFERROR(IF(AND(INDEX($E$8:$CE$57, MATCH($C25, $C$8:$C$57, 0), (COLUMNS($DU25:DW25)-1)*5 + 1) = INDEX($E$5:$CE$5, 1, (COLUMNS($DU25:DW25)-1)*5 + 1), INDEX($E$8:$CE$57, MATCH($C25, $C$8:$C$57, 0), (COLUMNS($DU25:DW25)-1)*5 + 4) = "SF"), INDEX($CZ$8:$CZ$23, COLUMNS($DU25:DW25)), "0"), "")</f>
        <v>0</v>
      </c>
      <c r="DX25" s="390" t="str">
        <f t="array" ref="DX25">IFERROR(IF(AND(INDEX($E$8:$CE$57, MATCH($C25, $C$8:$C$57, 0), (COLUMNS($DU25:DX25)-1)*5 + 1) = INDEX($E$5:$CE$5, 1, (COLUMNS($DU25:DX25)-1)*5 + 1), INDEX($E$8:$CE$57, MATCH($C25, $C$8:$C$57, 0), (COLUMNS($DU25:DX25)-1)*5 + 4) = "SF"), INDEX($CZ$8:$CZ$23, COLUMNS($DU25:DX25)), "0"), "")</f>
        <v>0</v>
      </c>
      <c r="DY25" s="390" t="str">
        <f t="array" ref="DY25">IFERROR(IF(AND(INDEX($E$8:$CE$57, MATCH($C25, $C$8:$C$57, 0), (COLUMNS($DU25:DY25)-1)*5 + 1) = INDEX($E$5:$CE$5, 1, (COLUMNS($DU25:DY25)-1)*5 + 1), INDEX($E$8:$CE$57, MATCH($C25, $C$8:$C$57, 0), (COLUMNS($DU25:DY25)-1)*5 + 4) = "SF"), INDEX($CZ$8:$CZ$23, COLUMNS($DU25:DY25)), "0"), "")</f>
        <v>0</v>
      </c>
      <c r="DZ25" s="390" t="str">
        <f t="array" ref="DZ25">IFERROR(IF(AND(INDEX($E$8:$CE$57, MATCH($C25, $C$8:$C$57, 0), (COLUMNS($DU25:DZ25)-1)*5 + 1) = INDEX($E$5:$CE$5, 1, (COLUMNS($DU25:DZ25)-1)*5 + 1), INDEX($E$8:$CE$57, MATCH($C25, $C$8:$C$57, 0), (COLUMNS($DU25:DZ25)-1)*5 + 4) = "SF"), INDEX($CZ$8:$CZ$23, COLUMNS($DU25:DZ25)), "0"), "")</f>
        <v>0</v>
      </c>
      <c r="EA25" s="390" t="str">
        <f t="array" ref="EA25">IFERROR(IF(AND(INDEX($E$8:$CE$57, MATCH($C25, $C$8:$C$57, 0), (COLUMNS($DU25:EA25)-1)*5 + 1) = INDEX($E$5:$CE$5, 1, (COLUMNS($DU25:EA25)-1)*5 + 1), INDEX($E$8:$CE$57, MATCH($C25, $C$8:$C$57, 0), (COLUMNS($DU25:EA25)-1)*5 + 4) = "SF"), INDEX($CZ$8:$CZ$23, COLUMNS($DU25:EA25)), "0"), "")</f>
        <v>0</v>
      </c>
      <c r="EB25" s="390" t="str">
        <f t="array" ref="EB25">IFERROR(IF(AND(INDEX($E$8:$CE$57, MATCH($C25, $C$8:$C$57, 0), (COLUMNS($DU25:EB25)-1)*5 + 1) = INDEX($E$5:$CE$5, 1, (COLUMNS($DU25:EB25)-1)*5 + 1), INDEX($E$8:$CE$57, MATCH($C25, $C$8:$C$57, 0), (COLUMNS($DU25:EB25)-1)*5 + 4) = "SF"), INDEX($CZ$8:$CZ$23, COLUMNS($DU25:EB25)), "0"), "")</f>
        <v>0</v>
      </c>
      <c r="EC25" s="390" t="str">
        <f t="array" ref="EC25">IFERROR(IF(AND(INDEX($E$8:$CE$57, MATCH($C25, $C$8:$C$57, 0), (COLUMNS($DU25:EC25)-1)*5 + 1) = INDEX($E$5:$CE$5, 1, (COLUMNS($DU25:EC25)-1)*5 + 1), INDEX($E$8:$CE$57, MATCH($C25, $C$8:$C$57, 0), (COLUMNS($DU25:EC25)-1)*5 + 4) = "SF"), INDEX($CZ$8:$CZ$23, COLUMNS($DU25:EC25)), "0"), "")</f>
        <v>0</v>
      </c>
      <c r="ED25" s="390" t="str">
        <f t="array" ref="ED25">IFERROR(IF(AND(INDEX($E$8:$CE$57, MATCH($C25, $C$8:$C$57, 0), (COLUMNS($DU25:ED25)-1)*5 + 1) = INDEX($E$5:$CE$5, 1, (COLUMNS($DU25:ED25)-1)*5 + 1), INDEX($E$8:$CE$57, MATCH($C25, $C$8:$C$57, 0), (COLUMNS($DU25:ED25)-1)*5 + 4) = "SF"), INDEX($CZ$8:$CZ$23, COLUMNS($DU25:ED25)), "0"), "")</f>
        <v>0</v>
      </c>
      <c r="EE25" s="390" t="str">
        <f t="array" ref="EE25">IFERROR(IF(AND(INDEX($E$8:$CE$57, MATCH($C25, $C$8:$C$57, 0), (COLUMNS($DU25:EE25)-1)*5 + 1) = INDEX($E$5:$CE$5, 1, (COLUMNS($DU25:EE25)-1)*5 + 1), INDEX($E$8:$CE$57, MATCH($C25, $C$8:$C$57, 0), (COLUMNS($DU25:EE25)-1)*5 + 4) = "SF"), INDEX($CZ$8:$CZ$23, COLUMNS($DU25:EE25)), "0"), "")</f>
        <v>0</v>
      </c>
      <c r="EF25" s="390" t="str">
        <f t="array" ref="EF25">IFERROR(IF(AND(INDEX($E$8:$CE$57, MATCH($C25, $C$8:$C$57, 0), (COLUMNS($DU25:EF25)-1)*5 + 1) = INDEX($E$5:$CE$5, 1, (COLUMNS($DU25:EF25)-1)*5 + 1), INDEX($E$8:$CE$57, MATCH($C25, $C$8:$C$57, 0), (COLUMNS($DU25:EF25)-1)*5 + 4) = "SF"), INDEX($CZ$8:$CZ$23, COLUMNS($DU25:EF25)), "0"), "")</f>
        <v>0</v>
      </c>
      <c r="EG25" s="390" t="str">
        <f t="array" ref="EG25">IFERROR(IF(AND(INDEX($E$8:$CE$57, MATCH($C25, $C$8:$C$57, 0), (COLUMNS($DU25:EG25)-1)*5 + 1) = INDEX($E$5:$CE$5, 1, (COLUMNS($DU25:EG25)-1)*5 + 1), INDEX($E$8:$CE$57, MATCH($C25, $C$8:$C$57, 0), (COLUMNS($DU25:EG25)-1)*5 + 4) = "SF"), INDEX($CZ$8:$CZ$23, COLUMNS($DU25:EG25)), "0"), "")</f>
        <v>0</v>
      </c>
      <c r="EH25" s="390" t="str">
        <f t="array" ref="EH25">IFERROR(IF(AND(INDEX($E$8:$CE$57, MATCH($C25, $C$8:$C$57, 0), (COLUMNS($DU25:EH25)-1)*5 + 1) = INDEX($E$5:$CE$5, 1, (COLUMNS($DU25:EH25)-1)*5 + 1), INDEX($E$8:$CE$57, MATCH($C25, $C$8:$C$57, 0), (COLUMNS($DU25:EH25)-1)*5 + 4) = "SF"), INDEX($CZ$8:$CZ$23, COLUMNS($DU25:EH25)), "0"), "")</f>
        <v>0</v>
      </c>
      <c r="EI25" s="390" t="str">
        <f t="array" ref="EI25">IFERROR(IF(AND(INDEX($E$8:$CE$57, MATCH($C25, $C$8:$C$57, 0), (COLUMNS($DU25:EI25)-1)*5 + 1) = INDEX($E$5:$CE$5, 1, (COLUMNS($DU25:EI25)-1)*5 + 1), INDEX($E$8:$CE$57, MATCH($C25, $C$8:$C$57, 0), (COLUMNS($DU25:EI25)-1)*5 + 4) = "SF"), INDEX($CZ$8:$CZ$23, COLUMNS($DU25:EI25)), "0"), "")</f>
        <v>0</v>
      </c>
      <c r="EJ25" s="390" t="str">
        <f t="array" ref="EJ25">IFERROR(IF(AND(INDEX($E$8:$CE$57, MATCH($C25, $C$8:$C$57, 0), (COLUMNS($DU25:EJ25)-1)*5 + 1) = INDEX($E$5:$CE$5, 1, (COLUMNS($DU25:EJ25)-1)*5 + 1), INDEX($E$8:$CE$57, MATCH($C25, $C$8:$C$57, 0), (COLUMNS($DU25:EJ25)-1)*5 + 4) = "SF"), INDEX($CZ$8:$CZ$23, COLUMNS($DU25:EJ25)), "0"), "")</f>
        <v>0</v>
      </c>
    </row>
    <row r="26" spans="1:140" ht="20.100000000000001" customHeight="1" x14ac:dyDescent="0.35">
      <c r="A26" s="515"/>
      <c r="B26" s="444">
        <f>IF(SEMANA29[[#This Row],[COD]]&lt;&gt;"",B25+1,"")</f>
        <v>19</v>
      </c>
      <c r="C26" s="554" t="s">
        <v>69</v>
      </c>
      <c r="D26" s="410" t="str">
        <f t="array" ref="D26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PREMIO</v>
      </c>
      <c r="E26" s="411"/>
      <c r="F26" s="411"/>
      <c r="G26" s="411"/>
      <c r="H26" s="411"/>
      <c r="I26" s="534">
        <f t="shared" si="0"/>
        <v>0</v>
      </c>
      <c r="J26" s="411"/>
      <c r="K26" s="411"/>
      <c r="L26" s="411"/>
      <c r="M26" s="411"/>
      <c r="N26" s="534">
        <f t="shared" si="1"/>
        <v>0</v>
      </c>
      <c r="O26" s="411"/>
      <c r="P26" s="411"/>
      <c r="Q26" s="411"/>
      <c r="R26" s="411"/>
      <c r="S26" s="534">
        <f t="shared" si="2"/>
        <v>0</v>
      </c>
      <c r="T26" s="411"/>
      <c r="U26" s="411"/>
      <c r="V26" s="411"/>
      <c r="W26" s="411"/>
      <c r="X26" s="534">
        <f t="shared" si="3"/>
        <v>0</v>
      </c>
      <c r="Y26" s="411"/>
      <c r="Z26" s="411"/>
      <c r="AA26" s="411"/>
      <c r="AB26" s="411"/>
      <c r="AC26" s="534">
        <f t="shared" si="4"/>
        <v>0</v>
      </c>
      <c r="AD26" s="411"/>
      <c r="AE26" s="411"/>
      <c r="AF26" s="411"/>
      <c r="AG26" s="411"/>
      <c r="AH26" s="534">
        <f t="shared" si="5"/>
        <v>0</v>
      </c>
      <c r="AI26" s="411"/>
      <c r="AJ26" s="411"/>
      <c r="AK26" s="411"/>
      <c r="AL26" s="411"/>
      <c r="AM26" s="534">
        <f t="shared" si="6"/>
        <v>0</v>
      </c>
      <c r="AN26" s="411"/>
      <c r="AO26" s="411"/>
      <c r="AP26" s="411"/>
      <c r="AQ26" s="411"/>
      <c r="AR26" s="534">
        <f t="shared" si="7"/>
        <v>0</v>
      </c>
      <c r="AS26" s="411"/>
      <c r="AT26" s="411"/>
      <c r="AU26" s="411"/>
      <c r="AV26" s="411"/>
      <c r="AW26" s="534">
        <f t="shared" si="8"/>
        <v>0</v>
      </c>
      <c r="AX26" s="411"/>
      <c r="AY26" s="411"/>
      <c r="AZ26" s="411"/>
      <c r="BA26" s="411"/>
      <c r="BB26" s="534">
        <f t="shared" si="9"/>
        <v>0</v>
      </c>
      <c r="BC26" s="411"/>
      <c r="BD26" s="411"/>
      <c r="BE26" s="411"/>
      <c r="BF26" s="411"/>
      <c r="BG26" s="534">
        <f t="shared" si="10"/>
        <v>0</v>
      </c>
      <c r="BH26" s="411"/>
      <c r="BI26" s="411"/>
      <c r="BJ26" s="411"/>
      <c r="BK26" s="411"/>
      <c r="BL26" s="534">
        <f t="shared" si="11"/>
        <v>0</v>
      </c>
      <c r="BM26" s="411"/>
      <c r="BN26" s="411"/>
      <c r="BO26" s="411"/>
      <c r="BP26" s="411"/>
      <c r="BQ26" s="534">
        <f t="shared" si="12"/>
        <v>0</v>
      </c>
      <c r="BR26" s="411"/>
      <c r="BS26" s="411"/>
      <c r="BT26" s="411"/>
      <c r="BU26" s="411"/>
      <c r="BV26" s="534">
        <f t="shared" si="13"/>
        <v>0</v>
      </c>
      <c r="BW26" s="411"/>
      <c r="BX26" s="411"/>
      <c r="BY26" s="411"/>
      <c r="BZ26" s="411"/>
      <c r="CA26" s="534">
        <f t="shared" si="14"/>
        <v>0</v>
      </c>
      <c r="CB26" s="411"/>
      <c r="CC26" s="411"/>
      <c r="CD26" s="411"/>
      <c r="CE26" s="411"/>
      <c r="CF26" s="534">
        <f t="shared" si="15"/>
        <v>0</v>
      </c>
      <c r="CG26" s="162">
        <f>IF(SEMANA29[[#This Row],[1]]="",0,$B$4)</f>
        <v>0</v>
      </c>
      <c r="CH26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26" s="164">
        <f>IF(SEMANA29[[#This Row],[Columna14]]=0,0,(CH26/CG26))</f>
        <v>0</v>
      </c>
      <c r="CJ26" s="163">
        <f>IF(SEMANA29[[#This Row],[1]]="",0,$B$4)</f>
        <v>0</v>
      </c>
      <c r="CK26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26" s="164">
        <f>IF(SEMANA29[[#This Row],[Columna14]]=0,0,(CK26/CJ26))</f>
        <v>0</v>
      </c>
      <c r="CM26" s="162">
        <f>IF(SEMANA29[[#This Row],[1]]="",0,$B$4)</f>
        <v>0</v>
      </c>
      <c r="CN26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26" s="164">
        <f>IF(SEMANA29[[#This Row],[Columna14]]=0,0,(CN26/CM26))</f>
        <v>0</v>
      </c>
      <c r="CP26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26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Row],[Columna25]],$AX$5,BA26,"SF")+COUNTIFS(SEMANA29[[#This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26" s="164">
        <f>IFERROR(IF(SEMANA29[[#This Row],[Columna14]]=0,0,(CQ26/CP26)),0)</f>
        <v>0</v>
      </c>
      <c r="CS26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26" s="93">
        <f>_xlfn.XLOOKUP(SEMANA29[[#This Row],[COD]],SEMANA2[COD],SEMANA2[Columna33])</f>
        <v>63.5</v>
      </c>
      <c r="CU26" s="536">
        <f t="shared" si="16"/>
        <v>63.5</v>
      </c>
      <c r="CV26" s="445">
        <f>IF(SEMANA29[[#This Row],[TIPO]]="PREMIO",$O$3,"0,00")</f>
        <v>1000</v>
      </c>
      <c r="CW26" s="515"/>
      <c r="CY26" s="387" t="s">
        <v>252</v>
      </c>
      <c r="CZ26" s="387" t="s">
        <v>9</v>
      </c>
      <c r="DA26" s="387" t="s">
        <v>258</v>
      </c>
      <c r="DB26" s="537" t="str">
        <f>SEMANA29[[#This Row],[COD]]</f>
        <v>COD 19</v>
      </c>
      <c r="DC26" s="390" t="str">
        <f t="array" ref="DC26">IFERROR(IF(AND(INDEX($E$8:$CE$57, MATCH($C26, $C$8:$C$57, 0), (COLUMNS($DC26:DC26)-1)*5 + 1) = INDEX($E$5:$CE$5, 1, (COLUMNS($DC26:DC26)-1)*5 + 1), INDEX($E$8:$CE$57, MATCH($C26, $C$8:$C$57, 0), (COLUMNS($DC26:DC26)-1)*5 + 4) = "F"), INDEX($CZ$8:$CZ$23, COLUMNS($DC26:DC26)), "0"), "")</f>
        <v>0</v>
      </c>
      <c r="DD26" s="390" t="str">
        <f t="array" ref="DD26">IFERROR(IF(AND(INDEX($E$8:$CE$57, MATCH($C26, $C$8:$C$57, 0), (COLUMNS($DC26:DD26)-1)*5 + 1) = INDEX($E$5:$CE$5, 1, (COLUMNS($DC26:DD26)-1)*5 + 1), INDEX($E$8:$CE$57, MATCH($C26, $C$8:$C$57, 0), (COLUMNS($DC26:DD26)-1)*5 + 4) = "F"), INDEX($CZ$8:$CZ$23, COLUMNS($DC26:DD26)), "0"), "")</f>
        <v>0</v>
      </c>
      <c r="DE26" s="390" t="str">
        <f t="array" ref="DE26">IFERROR(IF(AND(INDEX($E$8:$CE$57, MATCH($C26, $C$8:$C$57, 0), (COLUMNS($DC26:DE26)-1)*5 + 1) = INDEX($E$5:$CE$5, 1, (COLUMNS($DC26:DE26)-1)*5 + 1), INDEX($E$8:$CE$57, MATCH($C26, $C$8:$C$57, 0), (COLUMNS($DC26:DE26)-1)*5 + 4) = "F"), INDEX($CZ$8:$CZ$23, COLUMNS($DC26:DE26)), "0"), "")</f>
        <v>0</v>
      </c>
      <c r="DF26" s="390" t="str">
        <f t="array" ref="DF26">IFERROR(IF(AND(INDEX($E$8:$CE$57, MATCH($C26, $C$8:$C$57, 0), (COLUMNS($DC26:DF26)-1)*5 + 1) = INDEX($E$5:$CE$5, 1, (COLUMNS($DC26:DF26)-1)*5 + 1), INDEX($E$8:$CE$57, MATCH($C26, $C$8:$C$57, 0), (COLUMNS($DC26:DF26)-1)*5 + 4) = "F"), INDEX($CZ$8:$CZ$23, COLUMNS($DC26:DF26)), "0"), "")</f>
        <v>0</v>
      </c>
      <c r="DG26" s="390" t="str">
        <f t="array" ref="DG26">IFERROR(IF(AND(INDEX($E$8:$CE$57, MATCH($C26, $C$8:$C$57, 0), (COLUMNS($DC26:DG26)-1)*5 + 1) = INDEX($E$5:$CE$5, 1, (COLUMNS($DC26:DG26)-1)*5 + 1), INDEX($E$8:$CE$57, MATCH($C26, $C$8:$C$57, 0), (COLUMNS($DC26:DG26)-1)*5 + 4) = "F"), INDEX($CZ$8:$CZ$23, COLUMNS($DC26:DG26)), "0"), "")</f>
        <v>0</v>
      </c>
      <c r="DH26" s="390" t="str">
        <f t="array" ref="DH26">IFERROR(IF(AND(INDEX($E$8:$CE$57, MATCH($C26, $C$8:$C$57, 0), (COLUMNS($DC26:DH26)-1)*5 + 1) = INDEX($E$5:$CE$5, 1, (COLUMNS($DC26:DH26)-1)*5 + 1), INDEX($E$8:$CE$57, MATCH($C26, $C$8:$C$57, 0), (COLUMNS($DC26:DH26)-1)*5 + 4) = "F"), INDEX($CZ$8:$CZ$23, COLUMNS($DC26:DH26)), "0"), "")</f>
        <v>0</v>
      </c>
      <c r="DI26" s="390" t="str">
        <f t="array" ref="DI26">IFERROR(IF(AND(INDEX($E$8:$CE$57, MATCH($C26, $C$8:$C$57, 0), (COLUMNS($DC26:DI26)-1)*5 + 1) = INDEX($E$5:$CE$5, 1, (COLUMNS($DC26:DI26)-1)*5 + 1), INDEX($E$8:$CE$57, MATCH($C26, $C$8:$C$57, 0), (COLUMNS($DC26:DI26)-1)*5 + 4) = "F"), INDEX($CZ$8:$CZ$23, COLUMNS($DC26:DI26)), "0"), "")</f>
        <v>0</v>
      </c>
      <c r="DJ26" s="390" t="str">
        <f t="array" ref="DJ26">IFERROR(IF(AND(INDEX($E$8:$CE$57, MATCH($C26, $C$8:$C$57, 0), (COLUMNS($DC26:DJ26)-1)*5 + 1) = INDEX($E$5:$CE$5, 1, (COLUMNS($DC26:DJ26)-1)*5 + 1), INDEX($E$8:$CE$57, MATCH($C26, $C$8:$C$57, 0), (COLUMNS($DC26:DJ26)-1)*5 + 4) = "F"), INDEX($CZ$8:$CZ$23, COLUMNS($DC26:DJ26)), "0"), "")</f>
        <v>0</v>
      </c>
      <c r="DK26" s="390" t="str">
        <f t="array" ref="DK26">IFERROR(IF(AND(INDEX($E$8:$CE$57, MATCH($C26, $C$8:$C$57, 0), (COLUMNS($DC26:DK26)-1)*5 + 1) = INDEX($E$5:$CE$5, 1, (COLUMNS($DC26:DK26)-1)*5 + 1), INDEX($E$8:$CE$57, MATCH($C26, $C$8:$C$57, 0), (COLUMNS($DC26:DK26)-1)*5 + 4) = "F"), INDEX($CZ$8:$CZ$23, COLUMNS($DC26:DK26)), "0"), "")</f>
        <v>0</v>
      </c>
      <c r="DL26" s="390" t="str">
        <f t="array" ref="DL26">IFERROR(IF(AND(INDEX($E$8:$CE$57, MATCH($C26, $C$8:$C$57, 0), (COLUMNS($DC26:DL26)-1)*5 + 1) = INDEX($E$5:$CE$5, 1, (COLUMNS($DC26:DL26)-1)*5 + 1), INDEX($E$8:$CE$57, MATCH($C26, $C$8:$C$57, 0), (COLUMNS($DC26:DL26)-1)*5 + 4) = "F"), INDEX($CZ$8:$CZ$23, COLUMNS($DC26:DL26)), "0"), "")</f>
        <v>0</v>
      </c>
      <c r="DM26" s="390" t="str">
        <f t="array" ref="DM26">IFERROR(IF(AND(INDEX($E$8:$CE$57, MATCH($C26, $C$8:$C$57, 0), (COLUMNS($DC26:DM26)-1)*5 + 1) = INDEX($E$5:$CE$5, 1, (COLUMNS($DC26:DM26)-1)*5 + 1), INDEX($E$8:$CE$57, MATCH($C26, $C$8:$C$57, 0), (COLUMNS($DC26:DM26)-1)*5 + 4) = "F"), INDEX($CZ$8:$CZ$23, COLUMNS($DC26:DM26)), "0"), "")</f>
        <v>0</v>
      </c>
      <c r="DN26" s="390" t="str">
        <f t="array" ref="DN26">IFERROR(IF(AND(INDEX($E$8:$CE$57, MATCH($C26, $C$8:$C$57, 0), (COLUMNS($DC26:DN26)-1)*5 + 1) = INDEX($E$5:$CE$5, 1, (COLUMNS($DC26:DN26)-1)*5 + 1), INDEX($E$8:$CE$57, MATCH($C26, $C$8:$C$57, 0), (COLUMNS($DC26:DN26)-1)*5 + 4) = "F"), INDEX($CZ$8:$CZ$23, COLUMNS($DC26:DN26)), "0"), "")</f>
        <v>0</v>
      </c>
      <c r="DO26" s="390" t="str">
        <f t="array" ref="DO26">IFERROR(IF(AND(INDEX($E$8:$CE$57, MATCH($C26, $C$8:$C$57, 0), (COLUMNS($DC26:DO26)-1)*5 + 1) = INDEX($E$5:$CE$5, 1, (COLUMNS($DC26:DO26)-1)*5 + 1), INDEX($E$8:$CE$57, MATCH($C26, $C$8:$C$57, 0), (COLUMNS($DC26:DO26)-1)*5 + 4) = "F"), INDEX($CZ$8:$CZ$23, COLUMNS($DC26:DO26)), "0"), "")</f>
        <v>0</v>
      </c>
      <c r="DP26" s="390" t="str">
        <f t="array" ref="DP26">IFERROR(IF(AND(INDEX($E$8:$CE$57, MATCH($C26, $C$8:$C$57, 0), (COLUMNS($DC26:DP26)-1)*5 + 1) = INDEX($E$5:$CE$5, 1, (COLUMNS($DC26:DP26)-1)*5 + 1), INDEX($E$8:$CE$57, MATCH($C26, $C$8:$C$57, 0), (COLUMNS($DC26:DP26)-1)*5 + 4) = "F"), INDEX($CZ$8:$CZ$23, COLUMNS($DC26:DP26)), "0"), "")</f>
        <v>0</v>
      </c>
      <c r="DQ26" s="390" t="str">
        <f t="array" ref="DQ26">IFERROR(IF(AND(INDEX($E$8:$CE$57, MATCH($C26, $C$8:$C$57, 0), (COLUMNS($DC26:DQ26)-1)*5 + 1) = INDEX($E$5:$CE$5, 1, (COLUMNS($DC26:DQ26)-1)*5 + 1), INDEX($E$8:$CE$57, MATCH($C26, $C$8:$C$57, 0), (COLUMNS($DC26:DQ26)-1)*5 + 4) = "F"), INDEX($CZ$8:$CZ$23, COLUMNS($DC26:DQ26)), "0"), "")</f>
        <v>0</v>
      </c>
      <c r="DR26" s="390" t="str">
        <f t="array" ref="DR26">IFERROR(IF(AND(INDEX($E$8:$CE$57, MATCH($C26, $C$8:$C$57, 0), (COLUMNS($DC26:DR26)-1)*5 + 1) = INDEX($E$5:$CE$5, 1, (COLUMNS($DC26:DR26)-1)*5 + 1), INDEX($E$8:$CE$57, MATCH($C26, $C$8:$C$57, 0), (COLUMNS($DC26:DR26)-1)*5 + 4) = "F"), INDEX($CZ$8:$CZ$23, COLUMNS($DC26:DR26)), "0"), "")</f>
        <v>0</v>
      </c>
      <c r="DT26" s="537" t="str">
        <f>SEMANA29[[#This Row],[COD]]</f>
        <v>COD 19</v>
      </c>
      <c r="DU26" s="390" t="str">
        <f t="array" ref="DU26">IFERROR(IF(AND(INDEX($E$8:$CE$57, MATCH($C26, $C$8:$C$57, 0), (COLUMNS($DU26:DU26)-1)*5 + 1) = INDEX($E$5:$CE$5, 1, (COLUMNS($DU26:DU26)-1)*5 + 1), INDEX($E$8:$CE$57, MATCH($C26, $C$8:$C$57, 0), (COLUMNS($DU26:DU26)-1)*5 + 4) = "SF"), INDEX($CZ$8:$CZ$23, COLUMNS($DU26:DU26)), "0"), "")</f>
        <v>0</v>
      </c>
      <c r="DV26" s="390" t="str">
        <f t="array" ref="DV26">IFERROR(IF(AND(INDEX($E$8:$CE$57, MATCH($C26, $C$8:$C$57, 0), (COLUMNS($DU26:DV26)-1)*5 + 1) = INDEX($E$5:$CE$5, 1, (COLUMNS($DU26:DV26)-1)*5 + 1), INDEX($E$8:$CE$57, MATCH($C26, $C$8:$C$57, 0), (COLUMNS($DU26:DV26)-1)*5 + 4) = "SF"), INDEX($CZ$8:$CZ$23, COLUMNS($DU26:DV26)), "0"), "")</f>
        <v>0</v>
      </c>
      <c r="DW26" s="390" t="str">
        <f t="array" ref="DW26">IFERROR(IF(AND(INDEX($E$8:$CE$57, MATCH($C26, $C$8:$C$57, 0), (COLUMNS($DU26:DW26)-1)*5 + 1) = INDEX($E$5:$CE$5, 1, (COLUMNS($DU26:DW26)-1)*5 + 1), INDEX($E$8:$CE$57, MATCH($C26, $C$8:$C$57, 0), (COLUMNS($DU26:DW26)-1)*5 + 4) = "SF"), INDEX($CZ$8:$CZ$23, COLUMNS($DU26:DW26)), "0"), "")</f>
        <v>0</v>
      </c>
      <c r="DX26" s="390" t="str">
        <f t="array" ref="DX26">IFERROR(IF(AND(INDEX($E$8:$CE$57, MATCH($C26, $C$8:$C$57, 0), (COLUMNS($DU26:DX26)-1)*5 + 1) = INDEX($E$5:$CE$5, 1, (COLUMNS($DU26:DX26)-1)*5 + 1), INDEX($E$8:$CE$57, MATCH($C26, $C$8:$C$57, 0), (COLUMNS($DU26:DX26)-1)*5 + 4) = "SF"), INDEX($CZ$8:$CZ$23, COLUMNS($DU26:DX26)), "0"), "")</f>
        <v>0</v>
      </c>
      <c r="DY26" s="390" t="str">
        <f t="array" ref="DY26">IFERROR(IF(AND(INDEX($E$8:$CE$57, MATCH($C26, $C$8:$C$57, 0), (COLUMNS($DU26:DY26)-1)*5 + 1) = INDEX($E$5:$CE$5, 1, (COLUMNS($DU26:DY26)-1)*5 + 1), INDEX($E$8:$CE$57, MATCH($C26, $C$8:$C$57, 0), (COLUMNS($DU26:DY26)-1)*5 + 4) = "SF"), INDEX($CZ$8:$CZ$23, COLUMNS($DU26:DY26)), "0"), "")</f>
        <v>0</v>
      </c>
      <c r="DZ26" s="390" t="str">
        <f t="array" ref="DZ26">IFERROR(IF(AND(INDEX($E$8:$CE$57, MATCH($C26, $C$8:$C$57, 0), (COLUMNS($DU26:DZ26)-1)*5 + 1) = INDEX($E$5:$CE$5, 1, (COLUMNS($DU26:DZ26)-1)*5 + 1), INDEX($E$8:$CE$57, MATCH($C26, $C$8:$C$57, 0), (COLUMNS($DU26:DZ26)-1)*5 + 4) = "SF"), INDEX($CZ$8:$CZ$23, COLUMNS($DU26:DZ26)), "0"), "")</f>
        <v>0</v>
      </c>
      <c r="EA26" s="390" t="str">
        <f t="array" ref="EA26">IFERROR(IF(AND(INDEX($E$8:$CE$57, MATCH($C26, $C$8:$C$57, 0), (COLUMNS($DU26:EA26)-1)*5 + 1) = INDEX($E$5:$CE$5, 1, (COLUMNS($DU26:EA26)-1)*5 + 1), INDEX($E$8:$CE$57, MATCH($C26, $C$8:$C$57, 0), (COLUMNS($DU26:EA26)-1)*5 + 4) = "SF"), INDEX($CZ$8:$CZ$23, COLUMNS($DU26:EA26)), "0"), "")</f>
        <v>0</v>
      </c>
      <c r="EB26" s="390" t="str">
        <f t="array" ref="EB26">IFERROR(IF(AND(INDEX($E$8:$CE$57, MATCH($C26, $C$8:$C$57, 0), (COLUMNS($DU26:EB26)-1)*5 + 1) = INDEX($E$5:$CE$5, 1, (COLUMNS($DU26:EB26)-1)*5 + 1), INDEX($E$8:$CE$57, MATCH($C26, $C$8:$C$57, 0), (COLUMNS($DU26:EB26)-1)*5 + 4) = "SF"), INDEX($CZ$8:$CZ$23, COLUMNS($DU26:EB26)), "0"), "")</f>
        <v>0</v>
      </c>
      <c r="EC26" s="390" t="str">
        <f t="array" ref="EC26">IFERROR(IF(AND(INDEX($E$8:$CE$57, MATCH($C26, $C$8:$C$57, 0), (COLUMNS($DU26:EC26)-1)*5 + 1) = INDEX($E$5:$CE$5, 1, (COLUMNS($DU26:EC26)-1)*5 + 1), INDEX($E$8:$CE$57, MATCH($C26, $C$8:$C$57, 0), (COLUMNS($DU26:EC26)-1)*5 + 4) = "SF"), INDEX($CZ$8:$CZ$23, COLUMNS($DU26:EC26)), "0"), "")</f>
        <v>0</v>
      </c>
      <c r="ED26" s="390" t="str">
        <f t="array" ref="ED26">IFERROR(IF(AND(INDEX($E$8:$CE$57, MATCH($C26, $C$8:$C$57, 0), (COLUMNS($DU26:ED26)-1)*5 + 1) = INDEX($E$5:$CE$5, 1, (COLUMNS($DU26:ED26)-1)*5 + 1), INDEX($E$8:$CE$57, MATCH($C26, $C$8:$C$57, 0), (COLUMNS($DU26:ED26)-1)*5 + 4) = "SF"), INDEX($CZ$8:$CZ$23, COLUMNS($DU26:ED26)), "0"), "")</f>
        <v>0</v>
      </c>
      <c r="EE26" s="390" t="str">
        <f t="array" ref="EE26">IFERROR(IF(AND(INDEX($E$8:$CE$57, MATCH($C26, $C$8:$C$57, 0), (COLUMNS($DU26:EE26)-1)*5 + 1) = INDEX($E$5:$CE$5, 1, (COLUMNS($DU26:EE26)-1)*5 + 1), INDEX($E$8:$CE$57, MATCH($C26, $C$8:$C$57, 0), (COLUMNS($DU26:EE26)-1)*5 + 4) = "SF"), INDEX($CZ$8:$CZ$23, COLUMNS($DU26:EE26)), "0"), "")</f>
        <v>0</v>
      </c>
      <c r="EF26" s="390" t="str">
        <f t="array" ref="EF26">IFERROR(IF(AND(INDEX($E$8:$CE$57, MATCH($C26, $C$8:$C$57, 0), (COLUMNS($DU26:EF26)-1)*5 + 1) = INDEX($E$5:$CE$5, 1, (COLUMNS($DU26:EF26)-1)*5 + 1), INDEX($E$8:$CE$57, MATCH($C26, $C$8:$C$57, 0), (COLUMNS($DU26:EF26)-1)*5 + 4) = "SF"), INDEX($CZ$8:$CZ$23, COLUMNS($DU26:EF26)), "0"), "")</f>
        <v>0</v>
      </c>
      <c r="EG26" s="390" t="str">
        <f t="array" ref="EG26">IFERROR(IF(AND(INDEX($E$8:$CE$57, MATCH($C26, $C$8:$C$57, 0), (COLUMNS($DU26:EG26)-1)*5 + 1) = INDEX($E$5:$CE$5, 1, (COLUMNS($DU26:EG26)-1)*5 + 1), INDEX($E$8:$CE$57, MATCH($C26, $C$8:$C$57, 0), (COLUMNS($DU26:EG26)-1)*5 + 4) = "SF"), INDEX($CZ$8:$CZ$23, COLUMNS($DU26:EG26)), "0"), "")</f>
        <v>0</v>
      </c>
      <c r="EH26" s="390" t="str">
        <f t="array" ref="EH26">IFERROR(IF(AND(INDEX($E$8:$CE$57, MATCH($C26, $C$8:$C$57, 0), (COLUMNS($DU26:EH26)-1)*5 + 1) = INDEX($E$5:$CE$5, 1, (COLUMNS($DU26:EH26)-1)*5 + 1), INDEX($E$8:$CE$57, MATCH($C26, $C$8:$C$57, 0), (COLUMNS($DU26:EH26)-1)*5 + 4) = "SF"), INDEX($CZ$8:$CZ$23, COLUMNS($DU26:EH26)), "0"), "")</f>
        <v>0</v>
      </c>
      <c r="EI26" s="390" t="str">
        <f t="array" ref="EI26">IFERROR(IF(AND(INDEX($E$8:$CE$57, MATCH($C26, $C$8:$C$57, 0), (COLUMNS($DU26:EI26)-1)*5 + 1) = INDEX($E$5:$CE$5, 1, (COLUMNS($DU26:EI26)-1)*5 + 1), INDEX($E$8:$CE$57, MATCH($C26, $C$8:$C$57, 0), (COLUMNS($DU26:EI26)-1)*5 + 4) = "SF"), INDEX($CZ$8:$CZ$23, COLUMNS($DU26:EI26)), "0"), "")</f>
        <v>0</v>
      </c>
      <c r="EJ26" s="390" t="str">
        <f t="array" ref="EJ26">IFERROR(IF(AND(INDEX($E$8:$CE$57, MATCH($C26, $C$8:$C$57, 0), (COLUMNS($DU26:EJ26)-1)*5 + 1) = INDEX($E$5:$CE$5, 1, (COLUMNS($DU26:EJ26)-1)*5 + 1), INDEX($E$8:$CE$57, MATCH($C26, $C$8:$C$57, 0), (COLUMNS($DU26:EJ26)-1)*5 + 4) = "SF"), INDEX($CZ$8:$CZ$23, COLUMNS($DU26:EJ26)), "0"), "")</f>
        <v>0</v>
      </c>
    </row>
    <row r="27" spans="1:140" ht="19.5" customHeight="1" x14ac:dyDescent="0.35">
      <c r="A27" s="515"/>
      <c r="B27" s="444">
        <f>IF(SEMANA29[[#This Row],[COD]]&lt;&gt;"",B26+1,"")</f>
        <v>20</v>
      </c>
      <c r="C27" s="554" t="s">
        <v>71</v>
      </c>
      <c r="D27" s="410" t="str">
        <f t="array" ref="D27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27" s="411"/>
      <c r="F27" s="417"/>
      <c r="G27" s="417"/>
      <c r="H27" s="417"/>
      <c r="I27" s="534">
        <f t="shared" si="0"/>
        <v>0</v>
      </c>
      <c r="J27" s="411"/>
      <c r="K27" s="417"/>
      <c r="L27" s="417"/>
      <c r="M27" s="417"/>
      <c r="N27" s="534">
        <f t="shared" si="1"/>
        <v>0</v>
      </c>
      <c r="O27" s="411"/>
      <c r="P27" s="417"/>
      <c r="Q27" s="417"/>
      <c r="R27" s="417"/>
      <c r="S27" s="534">
        <f t="shared" si="2"/>
        <v>0</v>
      </c>
      <c r="T27" s="411"/>
      <c r="U27" s="417"/>
      <c r="V27" s="417"/>
      <c r="W27" s="417"/>
      <c r="X27" s="534">
        <f t="shared" si="3"/>
        <v>0</v>
      </c>
      <c r="Y27" s="411"/>
      <c r="Z27" s="417"/>
      <c r="AA27" s="417"/>
      <c r="AB27" s="417"/>
      <c r="AC27" s="534">
        <f t="shared" si="4"/>
        <v>0</v>
      </c>
      <c r="AD27" s="411"/>
      <c r="AE27" s="417"/>
      <c r="AF27" s="417"/>
      <c r="AG27" s="417"/>
      <c r="AH27" s="534">
        <f t="shared" si="5"/>
        <v>0</v>
      </c>
      <c r="AI27" s="411"/>
      <c r="AJ27" s="417"/>
      <c r="AK27" s="417"/>
      <c r="AL27" s="417"/>
      <c r="AM27" s="534">
        <f t="shared" si="6"/>
        <v>0</v>
      </c>
      <c r="AN27" s="411"/>
      <c r="AO27" s="417"/>
      <c r="AP27" s="417"/>
      <c r="AQ27" s="417"/>
      <c r="AR27" s="534">
        <f t="shared" si="7"/>
        <v>0</v>
      </c>
      <c r="AS27" s="411"/>
      <c r="AT27" s="417"/>
      <c r="AU27" s="417"/>
      <c r="AV27" s="417"/>
      <c r="AW27" s="534">
        <f t="shared" si="8"/>
        <v>0</v>
      </c>
      <c r="AX27" s="411"/>
      <c r="AY27" s="417"/>
      <c r="AZ27" s="417"/>
      <c r="BA27" s="417"/>
      <c r="BB27" s="534">
        <f t="shared" si="9"/>
        <v>0</v>
      </c>
      <c r="BC27" s="411"/>
      <c r="BD27" s="417"/>
      <c r="BE27" s="417"/>
      <c r="BF27" s="417"/>
      <c r="BG27" s="534">
        <f t="shared" si="10"/>
        <v>0</v>
      </c>
      <c r="BH27" s="411"/>
      <c r="BI27" s="417"/>
      <c r="BJ27" s="417"/>
      <c r="BK27" s="417"/>
      <c r="BL27" s="534">
        <f t="shared" si="11"/>
        <v>0</v>
      </c>
      <c r="BM27" s="411"/>
      <c r="BN27" s="417"/>
      <c r="BO27" s="417"/>
      <c r="BP27" s="417"/>
      <c r="BQ27" s="534">
        <f t="shared" si="12"/>
        <v>0</v>
      </c>
      <c r="BR27" s="411"/>
      <c r="BS27" s="417"/>
      <c r="BT27" s="417"/>
      <c r="BU27" s="417"/>
      <c r="BV27" s="534">
        <f t="shared" si="13"/>
        <v>0</v>
      </c>
      <c r="BW27" s="411"/>
      <c r="BX27" s="417"/>
      <c r="BY27" s="417"/>
      <c r="BZ27" s="417"/>
      <c r="CA27" s="534">
        <f t="shared" si="14"/>
        <v>0</v>
      </c>
      <c r="CB27" s="411"/>
      <c r="CC27" s="417"/>
      <c r="CD27" s="417"/>
      <c r="CE27" s="417"/>
      <c r="CF27" s="534">
        <f t="shared" si="15"/>
        <v>0</v>
      </c>
      <c r="CG27" s="162">
        <f>IF(SEMANA29[[#This Row],[1]]="",0,$B$4)</f>
        <v>0</v>
      </c>
      <c r="CH27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27" s="164">
        <f>IF(SEMANA29[[#This Row],[Columna14]]=0,0,(CH27/CG27))</f>
        <v>0</v>
      </c>
      <c r="CJ27" s="163">
        <f>IF(SEMANA29[[#This Row],[1]]="",0,$B$4)</f>
        <v>0</v>
      </c>
      <c r="CK27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27" s="164">
        <f>IF(SEMANA29[[#This Row],[Columna14]]=0,0,(CK27/CJ27))</f>
        <v>0</v>
      </c>
      <c r="CM27" s="162">
        <f>IF(SEMANA29[[#This Row],[1]]="",0,$B$4)</f>
        <v>0</v>
      </c>
      <c r="CN27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27" s="164">
        <f>IF(SEMANA29[[#This Row],[Columna14]]=0,0,(CN27/CM27))</f>
        <v>0</v>
      </c>
      <c r="CP27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27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Row],[Columna25]],$AX$5,BA27,"SF")+COUNTIFS(SEMANA29[[#This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27" s="164">
        <f>IFERROR(IF(SEMANA29[[#This Row],[Columna14]]=0,0,(CQ27/CP27)),0)</f>
        <v>0</v>
      </c>
      <c r="CS27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27" s="93">
        <f>_xlfn.XLOOKUP(SEMANA29[[#This Row],[COD]],SEMANA2[COD],SEMANA2[Columna33])</f>
        <v>58.5</v>
      </c>
      <c r="CU27" s="536">
        <f t="shared" si="16"/>
        <v>58.5</v>
      </c>
      <c r="CV27" s="445" t="str">
        <f>IF(SEMANA29[[#This Row],[TIPO]]="PREMIO",$O$3,"0,00")</f>
        <v>0,00</v>
      </c>
      <c r="CW27" s="515"/>
      <c r="CY27" s="387" t="str">
        <f t="shared" ref="CY27:CY62" si="17">IF(CZ27="","",$CZ$25)</f>
        <v/>
      </c>
      <c r="CZ27" s="387" t="str">
        <f t="array" ref="CZ27">_xlfn._xlws.FILTER(C$8:C$57, INDEX(E$8:CE$57, 0, ($CZ$25-1)*5 + 5) &gt; 0, "")</f>
        <v/>
      </c>
      <c r="DA27" s="387" t="str">
        <f t="array" ref="DA27">IF(CZ27="", "", IF((INDEX(E$8:CE$57, MATCH(CZ27, C$8:C$57, 0), ($CZ$25-1)*5 + 1) &amp; "") = (INDEX(E$5:CE$5, 1, ($CZ$25-1)*5 + 1) &amp; ""), 1, IF((INDEX(E$8:CE$57, MATCH(CZ27, C$8:C$57, 0), ($CZ$25-1)*5 + 2) &amp; "") = (INDEX(E$5:CE$5, 1, ($CZ$25-1)*5 + 1) &amp; ""), 2, IF((INDEX(E$8:CE$57, MATCH(CZ27, C$8:C$57, 0), ($CZ$25-1)*5 + 3) &amp; "") = (INDEX(E$5:CE$5, 1, ($CZ$25-1)*5 + 1) &amp; ""), 3, ""))))</f>
        <v/>
      </c>
      <c r="DB27" s="537" t="str">
        <f>SEMANA29[[#This Row],[COD]]</f>
        <v>COD 20</v>
      </c>
      <c r="DC27" s="390" t="str">
        <f t="array" ref="DC27">IFERROR(IF(AND(INDEX($E$8:$CE$57, MATCH($C27, $C$8:$C$57, 0), (COLUMNS($DC27:DC27)-1)*5 + 1) = INDEX($E$5:$CE$5, 1, (COLUMNS($DC27:DC27)-1)*5 + 1), INDEX($E$8:$CE$57, MATCH($C27, $C$8:$C$57, 0), (COLUMNS($DC27:DC27)-1)*5 + 4) = "F"), INDEX($CZ$8:$CZ$23, COLUMNS($DC27:DC27)), "0"), "")</f>
        <v>0</v>
      </c>
      <c r="DD27" s="390" t="str">
        <f t="array" ref="DD27">IFERROR(IF(AND(INDEX($E$8:$CE$57, MATCH($C27, $C$8:$C$57, 0), (COLUMNS($DC27:DD27)-1)*5 + 1) = INDEX($E$5:$CE$5, 1, (COLUMNS($DC27:DD27)-1)*5 + 1), INDEX($E$8:$CE$57, MATCH($C27, $C$8:$C$57, 0), (COLUMNS($DC27:DD27)-1)*5 + 4) = "F"), INDEX($CZ$8:$CZ$23, COLUMNS($DC27:DD27)), "0"), "")</f>
        <v>0</v>
      </c>
      <c r="DE27" s="390" t="str">
        <f t="array" ref="DE27">IFERROR(IF(AND(INDEX($E$8:$CE$57, MATCH($C27, $C$8:$C$57, 0), (COLUMNS($DC27:DE27)-1)*5 + 1) = INDEX($E$5:$CE$5, 1, (COLUMNS($DC27:DE27)-1)*5 + 1), INDEX($E$8:$CE$57, MATCH($C27, $C$8:$C$57, 0), (COLUMNS($DC27:DE27)-1)*5 + 4) = "F"), INDEX($CZ$8:$CZ$23, COLUMNS($DC27:DE27)), "0"), "")</f>
        <v>0</v>
      </c>
      <c r="DF27" s="390" t="str">
        <f t="array" ref="DF27">IFERROR(IF(AND(INDEX($E$8:$CE$57, MATCH($C27, $C$8:$C$57, 0), (COLUMNS($DC27:DF27)-1)*5 + 1) = INDEX($E$5:$CE$5, 1, (COLUMNS($DC27:DF27)-1)*5 + 1), INDEX($E$8:$CE$57, MATCH($C27, $C$8:$C$57, 0), (COLUMNS($DC27:DF27)-1)*5 + 4) = "F"), INDEX($CZ$8:$CZ$23, COLUMNS($DC27:DF27)), "0"), "")</f>
        <v>0</v>
      </c>
      <c r="DG27" s="390" t="str">
        <f t="array" ref="DG27">IFERROR(IF(AND(INDEX($E$8:$CE$57, MATCH($C27, $C$8:$C$57, 0), (COLUMNS($DC27:DG27)-1)*5 + 1) = INDEX($E$5:$CE$5, 1, (COLUMNS($DC27:DG27)-1)*5 + 1), INDEX($E$8:$CE$57, MATCH($C27, $C$8:$C$57, 0), (COLUMNS($DC27:DG27)-1)*5 + 4) = "F"), INDEX($CZ$8:$CZ$23, COLUMNS($DC27:DG27)), "0"), "")</f>
        <v>0</v>
      </c>
      <c r="DH27" s="390" t="str">
        <f t="array" ref="DH27">IFERROR(IF(AND(INDEX($E$8:$CE$57, MATCH($C27, $C$8:$C$57, 0), (COLUMNS($DC27:DH27)-1)*5 + 1) = INDEX($E$5:$CE$5, 1, (COLUMNS($DC27:DH27)-1)*5 + 1), INDEX($E$8:$CE$57, MATCH($C27, $C$8:$C$57, 0), (COLUMNS($DC27:DH27)-1)*5 + 4) = "F"), INDEX($CZ$8:$CZ$23, COLUMNS($DC27:DH27)), "0"), "")</f>
        <v>0</v>
      </c>
      <c r="DI27" s="390" t="str">
        <f t="array" ref="DI27">IFERROR(IF(AND(INDEX($E$8:$CE$57, MATCH($C27, $C$8:$C$57, 0), (COLUMNS($DC27:DI27)-1)*5 + 1) = INDEX($E$5:$CE$5, 1, (COLUMNS($DC27:DI27)-1)*5 + 1), INDEX($E$8:$CE$57, MATCH($C27, $C$8:$C$57, 0), (COLUMNS($DC27:DI27)-1)*5 + 4) = "F"), INDEX($CZ$8:$CZ$23, COLUMNS($DC27:DI27)), "0"), "")</f>
        <v>0</v>
      </c>
      <c r="DJ27" s="390" t="str">
        <f t="array" ref="DJ27">IFERROR(IF(AND(INDEX($E$8:$CE$57, MATCH($C27, $C$8:$C$57, 0), (COLUMNS($DC27:DJ27)-1)*5 + 1) = INDEX($E$5:$CE$5, 1, (COLUMNS($DC27:DJ27)-1)*5 + 1), INDEX($E$8:$CE$57, MATCH($C27, $C$8:$C$57, 0), (COLUMNS($DC27:DJ27)-1)*5 + 4) = "F"), INDEX($CZ$8:$CZ$23, COLUMNS($DC27:DJ27)), "0"), "")</f>
        <v>0</v>
      </c>
      <c r="DK27" s="390" t="str">
        <f t="array" ref="DK27">IFERROR(IF(AND(INDEX($E$8:$CE$57, MATCH($C27, $C$8:$C$57, 0), (COLUMNS($DC27:DK27)-1)*5 + 1) = INDEX($E$5:$CE$5, 1, (COLUMNS($DC27:DK27)-1)*5 + 1), INDEX($E$8:$CE$57, MATCH($C27, $C$8:$C$57, 0), (COLUMNS($DC27:DK27)-1)*5 + 4) = "F"), INDEX($CZ$8:$CZ$23, COLUMNS($DC27:DK27)), "0"), "")</f>
        <v>0</v>
      </c>
      <c r="DL27" s="390" t="str">
        <f t="array" ref="DL27">IFERROR(IF(AND(INDEX($E$8:$CE$57, MATCH($C27, $C$8:$C$57, 0), (COLUMNS($DC27:DL27)-1)*5 + 1) = INDEX($E$5:$CE$5, 1, (COLUMNS($DC27:DL27)-1)*5 + 1), INDEX($E$8:$CE$57, MATCH($C27, $C$8:$C$57, 0), (COLUMNS($DC27:DL27)-1)*5 + 4) = "F"), INDEX($CZ$8:$CZ$23, COLUMNS($DC27:DL27)), "0"), "")</f>
        <v>0</v>
      </c>
      <c r="DM27" s="390" t="str">
        <f t="array" ref="DM27">IFERROR(IF(AND(INDEX($E$8:$CE$57, MATCH($C27, $C$8:$C$57, 0), (COLUMNS($DC27:DM27)-1)*5 + 1) = INDEX($E$5:$CE$5, 1, (COLUMNS($DC27:DM27)-1)*5 + 1), INDEX($E$8:$CE$57, MATCH($C27, $C$8:$C$57, 0), (COLUMNS($DC27:DM27)-1)*5 + 4) = "F"), INDEX($CZ$8:$CZ$23, COLUMNS($DC27:DM27)), "0"), "")</f>
        <v>0</v>
      </c>
      <c r="DN27" s="390" t="str">
        <f t="array" ref="DN27">IFERROR(IF(AND(INDEX($E$8:$CE$57, MATCH($C27, $C$8:$C$57, 0), (COLUMNS($DC27:DN27)-1)*5 + 1) = INDEX($E$5:$CE$5, 1, (COLUMNS($DC27:DN27)-1)*5 + 1), INDEX($E$8:$CE$57, MATCH($C27, $C$8:$C$57, 0), (COLUMNS($DC27:DN27)-1)*5 + 4) = "F"), INDEX($CZ$8:$CZ$23, COLUMNS($DC27:DN27)), "0"), "")</f>
        <v>0</v>
      </c>
      <c r="DO27" s="390" t="str">
        <f t="array" ref="DO27">IFERROR(IF(AND(INDEX($E$8:$CE$57, MATCH($C27, $C$8:$C$57, 0), (COLUMNS($DC27:DO27)-1)*5 + 1) = INDEX($E$5:$CE$5, 1, (COLUMNS($DC27:DO27)-1)*5 + 1), INDEX($E$8:$CE$57, MATCH($C27, $C$8:$C$57, 0), (COLUMNS($DC27:DO27)-1)*5 + 4) = "F"), INDEX($CZ$8:$CZ$23, COLUMNS($DC27:DO27)), "0"), "")</f>
        <v>0</v>
      </c>
      <c r="DP27" s="390" t="str">
        <f t="array" ref="DP27">IFERROR(IF(AND(INDEX($E$8:$CE$57, MATCH($C27, $C$8:$C$57, 0), (COLUMNS($DC27:DP27)-1)*5 + 1) = INDEX($E$5:$CE$5, 1, (COLUMNS($DC27:DP27)-1)*5 + 1), INDEX($E$8:$CE$57, MATCH($C27, $C$8:$C$57, 0), (COLUMNS($DC27:DP27)-1)*5 + 4) = "F"), INDEX($CZ$8:$CZ$23, COLUMNS($DC27:DP27)), "0"), "")</f>
        <v>0</v>
      </c>
      <c r="DQ27" s="390" t="str">
        <f t="array" ref="DQ27">IFERROR(IF(AND(INDEX($E$8:$CE$57, MATCH($C27, $C$8:$C$57, 0), (COLUMNS($DC27:DQ27)-1)*5 + 1) = INDEX($E$5:$CE$5, 1, (COLUMNS($DC27:DQ27)-1)*5 + 1), INDEX($E$8:$CE$57, MATCH($C27, $C$8:$C$57, 0), (COLUMNS($DC27:DQ27)-1)*5 + 4) = "F"), INDEX($CZ$8:$CZ$23, COLUMNS($DC27:DQ27)), "0"), "")</f>
        <v>0</v>
      </c>
      <c r="DR27" s="390" t="str">
        <f t="array" ref="DR27">IFERROR(IF(AND(INDEX($E$8:$CE$57, MATCH($C27, $C$8:$C$57, 0), (COLUMNS($DC27:DR27)-1)*5 + 1) = INDEX($E$5:$CE$5, 1, (COLUMNS($DC27:DR27)-1)*5 + 1), INDEX($E$8:$CE$57, MATCH($C27, $C$8:$C$57, 0), (COLUMNS($DC27:DR27)-1)*5 + 4) = "F"), INDEX($CZ$8:$CZ$23, COLUMNS($DC27:DR27)), "0"), "")</f>
        <v>0</v>
      </c>
      <c r="DT27" s="537" t="str">
        <f>SEMANA29[[#This Row],[COD]]</f>
        <v>COD 20</v>
      </c>
      <c r="DU27" s="390" t="str">
        <f t="array" ref="DU27">IFERROR(IF(AND(INDEX($E$8:$CE$57, MATCH($C27, $C$8:$C$57, 0), (COLUMNS($DU27:DU27)-1)*5 + 1) = INDEX($E$5:$CE$5, 1, (COLUMNS($DU27:DU27)-1)*5 + 1), INDEX($E$8:$CE$57, MATCH($C27, $C$8:$C$57, 0), (COLUMNS($DU27:DU27)-1)*5 + 4) = "SF"), INDEX($CZ$8:$CZ$23, COLUMNS($DU27:DU27)), "0"), "")</f>
        <v>0</v>
      </c>
      <c r="DV27" s="390" t="str">
        <f t="array" ref="DV27">IFERROR(IF(AND(INDEX($E$8:$CE$57, MATCH($C27, $C$8:$C$57, 0), (COLUMNS($DU27:DV27)-1)*5 + 1) = INDEX($E$5:$CE$5, 1, (COLUMNS($DU27:DV27)-1)*5 + 1), INDEX($E$8:$CE$57, MATCH($C27, $C$8:$C$57, 0), (COLUMNS($DU27:DV27)-1)*5 + 4) = "SF"), INDEX($CZ$8:$CZ$23, COLUMNS($DU27:DV27)), "0"), "")</f>
        <v>0</v>
      </c>
      <c r="DW27" s="390" t="str">
        <f t="array" ref="DW27">IFERROR(IF(AND(INDEX($E$8:$CE$57, MATCH($C27, $C$8:$C$57, 0), (COLUMNS($DU27:DW27)-1)*5 + 1) = INDEX($E$5:$CE$5, 1, (COLUMNS($DU27:DW27)-1)*5 + 1), INDEX($E$8:$CE$57, MATCH($C27, $C$8:$C$57, 0), (COLUMNS($DU27:DW27)-1)*5 + 4) = "SF"), INDEX($CZ$8:$CZ$23, COLUMNS($DU27:DW27)), "0"), "")</f>
        <v>0</v>
      </c>
      <c r="DX27" s="390" t="str">
        <f t="array" ref="DX27">IFERROR(IF(AND(INDEX($E$8:$CE$57, MATCH($C27, $C$8:$C$57, 0), (COLUMNS($DU27:DX27)-1)*5 + 1) = INDEX($E$5:$CE$5, 1, (COLUMNS($DU27:DX27)-1)*5 + 1), INDEX($E$8:$CE$57, MATCH($C27, $C$8:$C$57, 0), (COLUMNS($DU27:DX27)-1)*5 + 4) = "SF"), INDEX($CZ$8:$CZ$23, COLUMNS($DU27:DX27)), "0"), "")</f>
        <v>0</v>
      </c>
      <c r="DY27" s="390" t="str">
        <f t="array" ref="DY27">IFERROR(IF(AND(INDEX($E$8:$CE$57, MATCH($C27, $C$8:$C$57, 0), (COLUMNS($DU27:DY27)-1)*5 + 1) = INDEX($E$5:$CE$5, 1, (COLUMNS($DU27:DY27)-1)*5 + 1), INDEX($E$8:$CE$57, MATCH($C27, $C$8:$C$57, 0), (COLUMNS($DU27:DY27)-1)*5 + 4) = "SF"), INDEX($CZ$8:$CZ$23, COLUMNS($DU27:DY27)), "0"), "")</f>
        <v>0</v>
      </c>
      <c r="DZ27" s="390" t="str">
        <f t="array" ref="DZ27">IFERROR(IF(AND(INDEX($E$8:$CE$57, MATCH($C27, $C$8:$C$57, 0), (COLUMNS($DU27:DZ27)-1)*5 + 1) = INDEX($E$5:$CE$5, 1, (COLUMNS($DU27:DZ27)-1)*5 + 1), INDEX($E$8:$CE$57, MATCH($C27, $C$8:$C$57, 0), (COLUMNS($DU27:DZ27)-1)*5 + 4) = "SF"), INDEX($CZ$8:$CZ$23, COLUMNS($DU27:DZ27)), "0"), "")</f>
        <v>0</v>
      </c>
      <c r="EA27" s="390" t="str">
        <f t="array" ref="EA27">IFERROR(IF(AND(INDEX($E$8:$CE$57, MATCH($C27, $C$8:$C$57, 0), (COLUMNS($DU27:EA27)-1)*5 + 1) = INDEX($E$5:$CE$5, 1, (COLUMNS($DU27:EA27)-1)*5 + 1), INDEX($E$8:$CE$57, MATCH($C27, $C$8:$C$57, 0), (COLUMNS($DU27:EA27)-1)*5 + 4) = "SF"), INDEX($CZ$8:$CZ$23, COLUMNS($DU27:EA27)), "0"), "")</f>
        <v>0</v>
      </c>
      <c r="EB27" s="390" t="str">
        <f t="array" ref="EB27">IFERROR(IF(AND(INDEX($E$8:$CE$57, MATCH($C27, $C$8:$C$57, 0), (COLUMNS($DU27:EB27)-1)*5 + 1) = INDEX($E$5:$CE$5, 1, (COLUMNS($DU27:EB27)-1)*5 + 1), INDEX($E$8:$CE$57, MATCH($C27, $C$8:$C$57, 0), (COLUMNS($DU27:EB27)-1)*5 + 4) = "SF"), INDEX($CZ$8:$CZ$23, COLUMNS($DU27:EB27)), "0"), "")</f>
        <v>0</v>
      </c>
      <c r="EC27" s="390" t="str">
        <f t="array" ref="EC27">IFERROR(IF(AND(INDEX($E$8:$CE$57, MATCH($C27, $C$8:$C$57, 0), (COLUMNS($DU27:EC27)-1)*5 + 1) = INDEX($E$5:$CE$5, 1, (COLUMNS($DU27:EC27)-1)*5 + 1), INDEX($E$8:$CE$57, MATCH($C27, $C$8:$C$57, 0), (COLUMNS($DU27:EC27)-1)*5 + 4) = "SF"), INDEX($CZ$8:$CZ$23, COLUMNS($DU27:EC27)), "0"), "")</f>
        <v>0</v>
      </c>
      <c r="ED27" s="390" t="str">
        <f t="array" ref="ED27">IFERROR(IF(AND(INDEX($E$8:$CE$57, MATCH($C27, $C$8:$C$57, 0), (COLUMNS($DU27:ED27)-1)*5 + 1) = INDEX($E$5:$CE$5, 1, (COLUMNS($DU27:ED27)-1)*5 + 1), INDEX($E$8:$CE$57, MATCH($C27, $C$8:$C$57, 0), (COLUMNS($DU27:ED27)-1)*5 + 4) = "SF"), INDEX($CZ$8:$CZ$23, COLUMNS($DU27:ED27)), "0"), "")</f>
        <v>0</v>
      </c>
      <c r="EE27" s="390" t="str">
        <f t="array" ref="EE27">IFERROR(IF(AND(INDEX($E$8:$CE$57, MATCH($C27, $C$8:$C$57, 0), (COLUMNS($DU27:EE27)-1)*5 + 1) = INDEX($E$5:$CE$5, 1, (COLUMNS($DU27:EE27)-1)*5 + 1), INDEX($E$8:$CE$57, MATCH($C27, $C$8:$C$57, 0), (COLUMNS($DU27:EE27)-1)*5 + 4) = "SF"), INDEX($CZ$8:$CZ$23, COLUMNS($DU27:EE27)), "0"), "")</f>
        <v>0</v>
      </c>
      <c r="EF27" s="390" t="str">
        <f t="array" ref="EF27">IFERROR(IF(AND(INDEX($E$8:$CE$57, MATCH($C27, $C$8:$C$57, 0), (COLUMNS($DU27:EF27)-1)*5 + 1) = INDEX($E$5:$CE$5, 1, (COLUMNS($DU27:EF27)-1)*5 + 1), INDEX($E$8:$CE$57, MATCH($C27, $C$8:$C$57, 0), (COLUMNS($DU27:EF27)-1)*5 + 4) = "SF"), INDEX($CZ$8:$CZ$23, COLUMNS($DU27:EF27)), "0"), "")</f>
        <v>0</v>
      </c>
      <c r="EG27" s="390" t="str">
        <f t="array" ref="EG27">IFERROR(IF(AND(INDEX($E$8:$CE$57, MATCH($C27, $C$8:$C$57, 0), (COLUMNS($DU27:EG27)-1)*5 + 1) = INDEX($E$5:$CE$5, 1, (COLUMNS($DU27:EG27)-1)*5 + 1), INDEX($E$8:$CE$57, MATCH($C27, $C$8:$C$57, 0), (COLUMNS($DU27:EG27)-1)*5 + 4) = "SF"), INDEX($CZ$8:$CZ$23, COLUMNS($DU27:EG27)), "0"), "")</f>
        <v>0</v>
      </c>
      <c r="EH27" s="390" t="str">
        <f t="array" ref="EH27">IFERROR(IF(AND(INDEX($E$8:$CE$57, MATCH($C27, $C$8:$C$57, 0), (COLUMNS($DU27:EH27)-1)*5 + 1) = INDEX($E$5:$CE$5, 1, (COLUMNS($DU27:EH27)-1)*5 + 1), INDEX($E$8:$CE$57, MATCH($C27, $C$8:$C$57, 0), (COLUMNS($DU27:EH27)-1)*5 + 4) = "SF"), INDEX($CZ$8:$CZ$23, COLUMNS($DU27:EH27)), "0"), "")</f>
        <v>0</v>
      </c>
      <c r="EI27" s="390" t="str">
        <f t="array" ref="EI27">IFERROR(IF(AND(INDEX($E$8:$CE$57, MATCH($C27, $C$8:$C$57, 0), (COLUMNS($DU27:EI27)-1)*5 + 1) = INDEX($E$5:$CE$5, 1, (COLUMNS($DU27:EI27)-1)*5 + 1), INDEX($E$8:$CE$57, MATCH($C27, $C$8:$C$57, 0), (COLUMNS($DU27:EI27)-1)*5 + 4) = "SF"), INDEX($CZ$8:$CZ$23, COLUMNS($DU27:EI27)), "0"), "")</f>
        <v>0</v>
      </c>
      <c r="EJ27" s="390" t="str">
        <f t="array" ref="EJ27">IFERROR(IF(AND(INDEX($E$8:$CE$57, MATCH($C27, $C$8:$C$57, 0), (COLUMNS($DU27:EJ27)-1)*5 + 1) = INDEX($E$5:$CE$5, 1, (COLUMNS($DU27:EJ27)-1)*5 + 1), INDEX($E$8:$CE$57, MATCH($C27, $C$8:$C$57, 0), (COLUMNS($DU27:EJ27)-1)*5 + 4) = "SF"), INDEX($CZ$8:$CZ$23, COLUMNS($DU27:EJ27)), "0"), "")</f>
        <v>0</v>
      </c>
    </row>
    <row r="28" spans="1:140" ht="20.100000000000001" customHeight="1" x14ac:dyDescent="0.35">
      <c r="A28" s="515"/>
      <c r="B28" s="444">
        <f>IF(SEMANA29[[#This Row],[COD]]&lt;&gt;"",B27+1,"")</f>
        <v>21</v>
      </c>
      <c r="C28" s="554" t="s">
        <v>73</v>
      </c>
      <c r="D28" s="410" t="str">
        <f t="array" ref="D28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28" s="411"/>
      <c r="F28" s="412"/>
      <c r="G28" s="412"/>
      <c r="H28" s="412"/>
      <c r="I28" s="534">
        <f t="shared" si="0"/>
        <v>0</v>
      </c>
      <c r="J28" s="411"/>
      <c r="K28" s="412"/>
      <c r="L28" s="412"/>
      <c r="M28" s="412"/>
      <c r="N28" s="534">
        <f t="shared" si="1"/>
        <v>0</v>
      </c>
      <c r="O28" s="411"/>
      <c r="P28" s="412"/>
      <c r="Q28" s="412"/>
      <c r="R28" s="412"/>
      <c r="S28" s="534">
        <f t="shared" si="2"/>
        <v>0</v>
      </c>
      <c r="T28" s="411"/>
      <c r="U28" s="412"/>
      <c r="V28" s="412"/>
      <c r="W28" s="412"/>
      <c r="X28" s="534">
        <f t="shared" si="3"/>
        <v>0</v>
      </c>
      <c r="Y28" s="411"/>
      <c r="Z28" s="412"/>
      <c r="AA28" s="412"/>
      <c r="AB28" s="412"/>
      <c r="AC28" s="534">
        <f t="shared" si="4"/>
        <v>0</v>
      </c>
      <c r="AD28" s="411"/>
      <c r="AE28" s="412"/>
      <c r="AF28" s="412"/>
      <c r="AG28" s="412"/>
      <c r="AH28" s="534">
        <f t="shared" si="5"/>
        <v>0</v>
      </c>
      <c r="AI28" s="411"/>
      <c r="AJ28" s="412"/>
      <c r="AK28" s="412"/>
      <c r="AL28" s="412"/>
      <c r="AM28" s="534">
        <f t="shared" si="6"/>
        <v>0</v>
      </c>
      <c r="AN28" s="411"/>
      <c r="AO28" s="412"/>
      <c r="AP28" s="412"/>
      <c r="AQ28" s="412"/>
      <c r="AR28" s="534">
        <f t="shared" si="7"/>
        <v>0</v>
      </c>
      <c r="AS28" s="411"/>
      <c r="AT28" s="412"/>
      <c r="AU28" s="412"/>
      <c r="AV28" s="412"/>
      <c r="AW28" s="534">
        <f t="shared" si="8"/>
        <v>0</v>
      </c>
      <c r="AX28" s="411"/>
      <c r="AY28" s="412"/>
      <c r="AZ28" s="412"/>
      <c r="BA28" s="412"/>
      <c r="BB28" s="534">
        <f t="shared" si="9"/>
        <v>0</v>
      </c>
      <c r="BC28" s="411"/>
      <c r="BD28" s="412"/>
      <c r="BE28" s="412"/>
      <c r="BF28" s="412"/>
      <c r="BG28" s="534">
        <f t="shared" si="10"/>
        <v>0</v>
      </c>
      <c r="BH28" s="411"/>
      <c r="BI28" s="412"/>
      <c r="BJ28" s="412"/>
      <c r="BK28" s="412"/>
      <c r="BL28" s="534">
        <f t="shared" si="11"/>
        <v>0</v>
      </c>
      <c r="BM28" s="411"/>
      <c r="BN28" s="412"/>
      <c r="BO28" s="412"/>
      <c r="BP28" s="412"/>
      <c r="BQ28" s="534">
        <f t="shared" si="12"/>
        <v>0</v>
      </c>
      <c r="BR28" s="411"/>
      <c r="BS28" s="412"/>
      <c r="BT28" s="412"/>
      <c r="BU28" s="412"/>
      <c r="BV28" s="534">
        <f t="shared" si="13"/>
        <v>0</v>
      </c>
      <c r="BW28" s="411"/>
      <c r="BX28" s="412"/>
      <c r="BY28" s="412"/>
      <c r="BZ28" s="412"/>
      <c r="CA28" s="534">
        <f t="shared" si="14"/>
        <v>0</v>
      </c>
      <c r="CB28" s="411"/>
      <c r="CC28" s="412"/>
      <c r="CD28" s="412"/>
      <c r="CE28" s="412"/>
      <c r="CF28" s="534">
        <f t="shared" si="15"/>
        <v>0</v>
      </c>
      <c r="CG28" s="162">
        <f>IF(SEMANA29[[#This Row],[1]]="",0,$B$4)</f>
        <v>0</v>
      </c>
      <c r="CH28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28" s="164">
        <f>IF(SEMANA29[[#This Row],[Columna14]]=0,0,(CH28/CG28))</f>
        <v>0</v>
      </c>
      <c r="CJ28" s="163">
        <f>IF(SEMANA29[[#This Row],[1]]="",0,$B$4)</f>
        <v>0</v>
      </c>
      <c r="CK28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28" s="164">
        <f>IF(SEMANA29[[#This Row],[Columna14]]=0,0,(CK28/CJ28))</f>
        <v>0</v>
      </c>
      <c r="CM28" s="162">
        <f>IF(SEMANA29[[#This Row],[1]]="",0,$B$4)</f>
        <v>0</v>
      </c>
      <c r="CN28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28" s="164">
        <f>IF(SEMANA29[[#This Row],[Columna14]]=0,0,(CN28/CM28))</f>
        <v>0</v>
      </c>
      <c r="CP28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28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Row],[Columna25]],$AX$5,BA28,"SF")+COUNTIFS(SEMANA29[[#This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28" s="164">
        <f>IFERROR(IF(SEMANA29[[#This Row],[Columna14]]=0,0,(CQ28/CP28)),0)</f>
        <v>0</v>
      </c>
      <c r="CS28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28" s="93">
        <f>_xlfn.XLOOKUP(SEMANA29[[#This Row],[COD]],SEMANA2[COD],SEMANA2[Columna33])</f>
        <v>75.5</v>
      </c>
      <c r="CU28" s="536">
        <f t="shared" si="16"/>
        <v>75.5</v>
      </c>
      <c r="CV28" s="445" t="str">
        <f>IF(SEMANA29[[#This Row],[TIPO]]="PREMIO",$O$3,"0,00")</f>
        <v>0,00</v>
      </c>
      <c r="CW28" s="515"/>
      <c r="CY28" s="387" t="str">
        <f t="shared" si="17"/>
        <v/>
      </c>
      <c r="CZ28" s="387"/>
      <c r="DA28" s="387" t="str">
        <f t="array" ref="DA28">IF(CZ28="", "", IF((INDEX(E$8:CE$57, MATCH(CZ28, C$8:C$57, 0), ($CZ$25-1)*5 + 1) &amp; "") = (INDEX(E$5:CE$5, 1, ($CZ$25-1)*5 + 1) &amp; ""), 1, IF((INDEX(E$8:CE$57, MATCH(CZ28, C$8:C$57, 0), ($CZ$25-1)*5 + 2) &amp; "") = (INDEX(E$5:CE$5, 1, ($CZ$25-1)*5 + 1) &amp; ""), 2, IF((INDEX(E$8:CE$57, MATCH(CZ28, C$8:C$57, 0), ($CZ$25-1)*5 + 3) &amp; "") = (INDEX(E$5:CE$5, 1, ($CZ$25-1)*5 + 1) &amp; ""), 3, ""))))</f>
        <v/>
      </c>
      <c r="DB28" s="537" t="str">
        <f>SEMANA29[[#This Row],[COD]]</f>
        <v>COD 21</v>
      </c>
      <c r="DC28" s="390" t="str">
        <f t="array" ref="DC28">IFERROR(IF(AND(INDEX($E$8:$CE$57, MATCH($C28, $C$8:$C$57, 0), (COLUMNS($DC28:DC28)-1)*5 + 1) = INDEX($E$5:$CE$5, 1, (COLUMNS($DC28:DC28)-1)*5 + 1), INDEX($E$8:$CE$57, MATCH($C28, $C$8:$C$57, 0), (COLUMNS($DC28:DC28)-1)*5 + 4) = "F"), INDEX($CZ$8:$CZ$23, COLUMNS($DC28:DC28)), "0"), "")</f>
        <v>0</v>
      </c>
      <c r="DD28" s="390" t="str">
        <f t="array" ref="DD28">IFERROR(IF(AND(INDEX($E$8:$CE$57, MATCH($C28, $C$8:$C$57, 0), (COLUMNS($DC28:DD28)-1)*5 + 1) = INDEX($E$5:$CE$5, 1, (COLUMNS($DC28:DD28)-1)*5 + 1), INDEX($E$8:$CE$57, MATCH($C28, $C$8:$C$57, 0), (COLUMNS($DC28:DD28)-1)*5 + 4) = "F"), INDEX($CZ$8:$CZ$23, COLUMNS($DC28:DD28)), "0"), "")</f>
        <v>0</v>
      </c>
      <c r="DE28" s="390" t="str">
        <f t="array" ref="DE28">IFERROR(IF(AND(INDEX($E$8:$CE$57, MATCH($C28, $C$8:$C$57, 0), (COLUMNS($DC28:DE28)-1)*5 + 1) = INDEX($E$5:$CE$5, 1, (COLUMNS($DC28:DE28)-1)*5 + 1), INDEX($E$8:$CE$57, MATCH($C28, $C$8:$C$57, 0), (COLUMNS($DC28:DE28)-1)*5 + 4) = "F"), INDEX($CZ$8:$CZ$23, COLUMNS($DC28:DE28)), "0"), "")</f>
        <v>0</v>
      </c>
      <c r="DF28" s="390" t="str">
        <f t="array" ref="DF28">IFERROR(IF(AND(INDEX($E$8:$CE$57, MATCH($C28, $C$8:$C$57, 0), (COLUMNS($DC28:DF28)-1)*5 + 1) = INDEX($E$5:$CE$5, 1, (COLUMNS($DC28:DF28)-1)*5 + 1), INDEX($E$8:$CE$57, MATCH($C28, $C$8:$C$57, 0), (COLUMNS($DC28:DF28)-1)*5 + 4) = "F"), INDEX($CZ$8:$CZ$23, COLUMNS($DC28:DF28)), "0"), "")</f>
        <v>0</v>
      </c>
      <c r="DG28" s="390" t="str">
        <f t="array" ref="DG28">IFERROR(IF(AND(INDEX($E$8:$CE$57, MATCH($C28, $C$8:$C$57, 0), (COLUMNS($DC28:DG28)-1)*5 + 1) = INDEX($E$5:$CE$5, 1, (COLUMNS($DC28:DG28)-1)*5 + 1), INDEX($E$8:$CE$57, MATCH($C28, $C$8:$C$57, 0), (COLUMNS($DC28:DG28)-1)*5 + 4) = "F"), INDEX($CZ$8:$CZ$23, COLUMNS($DC28:DG28)), "0"), "")</f>
        <v>0</v>
      </c>
      <c r="DH28" s="390" t="str">
        <f t="array" ref="DH28">IFERROR(IF(AND(INDEX($E$8:$CE$57, MATCH($C28, $C$8:$C$57, 0), (COLUMNS($DC28:DH28)-1)*5 + 1) = INDEX($E$5:$CE$5, 1, (COLUMNS($DC28:DH28)-1)*5 + 1), INDEX($E$8:$CE$57, MATCH($C28, $C$8:$C$57, 0), (COLUMNS($DC28:DH28)-1)*5 + 4) = "F"), INDEX($CZ$8:$CZ$23, COLUMNS($DC28:DH28)), "0"), "")</f>
        <v>0</v>
      </c>
      <c r="DI28" s="390" t="str">
        <f t="array" ref="DI28">IFERROR(IF(AND(INDEX($E$8:$CE$57, MATCH($C28, $C$8:$C$57, 0), (COLUMNS($DC28:DI28)-1)*5 + 1) = INDEX($E$5:$CE$5, 1, (COLUMNS($DC28:DI28)-1)*5 + 1), INDEX($E$8:$CE$57, MATCH($C28, $C$8:$C$57, 0), (COLUMNS($DC28:DI28)-1)*5 + 4) = "F"), INDEX($CZ$8:$CZ$23, COLUMNS($DC28:DI28)), "0"), "")</f>
        <v>0</v>
      </c>
      <c r="DJ28" s="390" t="str">
        <f t="array" ref="DJ28">IFERROR(IF(AND(INDEX($E$8:$CE$57, MATCH($C28, $C$8:$C$57, 0), (COLUMNS($DC28:DJ28)-1)*5 + 1) = INDEX($E$5:$CE$5, 1, (COLUMNS($DC28:DJ28)-1)*5 + 1), INDEX($E$8:$CE$57, MATCH($C28, $C$8:$C$57, 0), (COLUMNS($DC28:DJ28)-1)*5 + 4) = "F"), INDEX($CZ$8:$CZ$23, COLUMNS($DC28:DJ28)), "0"), "")</f>
        <v>0</v>
      </c>
      <c r="DK28" s="390" t="str">
        <f t="array" ref="DK28">IFERROR(IF(AND(INDEX($E$8:$CE$57, MATCH($C28, $C$8:$C$57, 0), (COLUMNS($DC28:DK28)-1)*5 + 1) = INDEX($E$5:$CE$5, 1, (COLUMNS($DC28:DK28)-1)*5 + 1), INDEX($E$8:$CE$57, MATCH($C28, $C$8:$C$57, 0), (COLUMNS($DC28:DK28)-1)*5 + 4) = "F"), INDEX($CZ$8:$CZ$23, COLUMNS($DC28:DK28)), "0"), "")</f>
        <v>0</v>
      </c>
      <c r="DL28" s="390" t="str">
        <f t="array" ref="DL28">IFERROR(IF(AND(INDEX($E$8:$CE$57, MATCH($C28, $C$8:$C$57, 0), (COLUMNS($DC28:DL28)-1)*5 + 1) = INDEX($E$5:$CE$5, 1, (COLUMNS($DC28:DL28)-1)*5 + 1), INDEX($E$8:$CE$57, MATCH($C28, $C$8:$C$57, 0), (COLUMNS($DC28:DL28)-1)*5 + 4) = "F"), INDEX($CZ$8:$CZ$23, COLUMNS($DC28:DL28)), "0"), "")</f>
        <v>0</v>
      </c>
      <c r="DM28" s="390" t="str">
        <f t="array" ref="DM28">IFERROR(IF(AND(INDEX($E$8:$CE$57, MATCH($C28, $C$8:$C$57, 0), (COLUMNS($DC28:DM28)-1)*5 + 1) = INDEX($E$5:$CE$5, 1, (COLUMNS($DC28:DM28)-1)*5 + 1), INDEX($E$8:$CE$57, MATCH($C28, $C$8:$C$57, 0), (COLUMNS($DC28:DM28)-1)*5 + 4) = "F"), INDEX($CZ$8:$CZ$23, COLUMNS($DC28:DM28)), "0"), "")</f>
        <v>0</v>
      </c>
      <c r="DN28" s="390" t="str">
        <f t="array" ref="DN28">IFERROR(IF(AND(INDEX($E$8:$CE$57, MATCH($C28, $C$8:$C$57, 0), (COLUMNS($DC28:DN28)-1)*5 + 1) = INDEX($E$5:$CE$5, 1, (COLUMNS($DC28:DN28)-1)*5 + 1), INDEX($E$8:$CE$57, MATCH($C28, $C$8:$C$57, 0), (COLUMNS($DC28:DN28)-1)*5 + 4) = "F"), INDEX($CZ$8:$CZ$23, COLUMNS($DC28:DN28)), "0"), "")</f>
        <v>0</v>
      </c>
      <c r="DO28" s="390" t="str">
        <f t="array" ref="DO28">IFERROR(IF(AND(INDEX($E$8:$CE$57, MATCH($C28, $C$8:$C$57, 0), (COLUMNS($DC28:DO28)-1)*5 + 1) = INDEX($E$5:$CE$5, 1, (COLUMNS($DC28:DO28)-1)*5 + 1), INDEX($E$8:$CE$57, MATCH($C28, $C$8:$C$57, 0), (COLUMNS($DC28:DO28)-1)*5 + 4) = "F"), INDEX($CZ$8:$CZ$23, COLUMNS($DC28:DO28)), "0"), "")</f>
        <v>0</v>
      </c>
      <c r="DP28" s="390" t="str">
        <f t="array" ref="DP28">IFERROR(IF(AND(INDEX($E$8:$CE$57, MATCH($C28, $C$8:$C$57, 0), (COLUMNS($DC28:DP28)-1)*5 + 1) = INDEX($E$5:$CE$5, 1, (COLUMNS($DC28:DP28)-1)*5 + 1), INDEX($E$8:$CE$57, MATCH($C28, $C$8:$C$57, 0), (COLUMNS($DC28:DP28)-1)*5 + 4) = "F"), INDEX($CZ$8:$CZ$23, COLUMNS($DC28:DP28)), "0"), "")</f>
        <v>0</v>
      </c>
      <c r="DQ28" s="390" t="str">
        <f t="array" ref="DQ28">IFERROR(IF(AND(INDEX($E$8:$CE$57, MATCH($C28, $C$8:$C$57, 0), (COLUMNS($DC28:DQ28)-1)*5 + 1) = INDEX($E$5:$CE$5, 1, (COLUMNS($DC28:DQ28)-1)*5 + 1), INDEX($E$8:$CE$57, MATCH($C28, $C$8:$C$57, 0), (COLUMNS($DC28:DQ28)-1)*5 + 4) = "F"), INDEX($CZ$8:$CZ$23, COLUMNS($DC28:DQ28)), "0"), "")</f>
        <v>0</v>
      </c>
      <c r="DR28" s="390" t="str">
        <f t="array" ref="DR28">IFERROR(IF(AND(INDEX($E$8:$CE$57, MATCH($C28, $C$8:$C$57, 0), (COLUMNS($DC28:DR28)-1)*5 + 1) = INDEX($E$5:$CE$5, 1, (COLUMNS($DC28:DR28)-1)*5 + 1), INDEX($E$8:$CE$57, MATCH($C28, $C$8:$C$57, 0), (COLUMNS($DC28:DR28)-1)*5 + 4) = "F"), INDEX($CZ$8:$CZ$23, COLUMNS($DC28:DR28)), "0"), "")</f>
        <v>0</v>
      </c>
      <c r="DT28" s="537" t="str">
        <f>SEMANA29[[#This Row],[COD]]</f>
        <v>COD 21</v>
      </c>
      <c r="DU28" s="390" t="str">
        <f t="array" ref="DU28">IFERROR(IF(AND(INDEX($E$8:$CE$57, MATCH($C28, $C$8:$C$57, 0), (COLUMNS($DU28:DU28)-1)*5 + 1) = INDEX($E$5:$CE$5, 1, (COLUMNS($DU28:DU28)-1)*5 + 1), INDEX($E$8:$CE$57, MATCH($C28, $C$8:$C$57, 0), (COLUMNS($DU28:DU28)-1)*5 + 4) = "SF"), INDEX($CZ$8:$CZ$23, COLUMNS($DU28:DU28)), "0"), "")</f>
        <v>0</v>
      </c>
      <c r="DV28" s="390" t="str">
        <f t="array" ref="DV28">IFERROR(IF(AND(INDEX($E$8:$CE$57, MATCH($C28, $C$8:$C$57, 0), (COLUMNS($DU28:DV28)-1)*5 + 1) = INDEX($E$5:$CE$5, 1, (COLUMNS($DU28:DV28)-1)*5 + 1), INDEX($E$8:$CE$57, MATCH($C28, $C$8:$C$57, 0), (COLUMNS($DU28:DV28)-1)*5 + 4) = "SF"), INDEX($CZ$8:$CZ$23, COLUMNS($DU28:DV28)), "0"), "")</f>
        <v>0</v>
      </c>
      <c r="DW28" s="390" t="str">
        <f t="array" ref="DW28">IFERROR(IF(AND(INDEX($E$8:$CE$57, MATCH($C28, $C$8:$C$57, 0), (COLUMNS($DU28:DW28)-1)*5 + 1) = INDEX($E$5:$CE$5, 1, (COLUMNS($DU28:DW28)-1)*5 + 1), INDEX($E$8:$CE$57, MATCH($C28, $C$8:$C$57, 0), (COLUMNS($DU28:DW28)-1)*5 + 4) = "SF"), INDEX($CZ$8:$CZ$23, COLUMNS($DU28:DW28)), "0"), "")</f>
        <v>0</v>
      </c>
      <c r="DX28" s="390" t="str">
        <f t="array" ref="DX28">IFERROR(IF(AND(INDEX($E$8:$CE$57, MATCH($C28, $C$8:$C$57, 0), (COLUMNS($DU28:DX28)-1)*5 + 1) = INDEX($E$5:$CE$5, 1, (COLUMNS($DU28:DX28)-1)*5 + 1), INDEX($E$8:$CE$57, MATCH($C28, $C$8:$C$57, 0), (COLUMNS($DU28:DX28)-1)*5 + 4) = "SF"), INDEX($CZ$8:$CZ$23, COLUMNS($DU28:DX28)), "0"), "")</f>
        <v>0</v>
      </c>
      <c r="DY28" s="390" t="str">
        <f t="array" ref="DY28">IFERROR(IF(AND(INDEX($E$8:$CE$57, MATCH($C28, $C$8:$C$57, 0), (COLUMNS($DU28:DY28)-1)*5 + 1) = INDEX($E$5:$CE$5, 1, (COLUMNS($DU28:DY28)-1)*5 + 1), INDEX($E$8:$CE$57, MATCH($C28, $C$8:$C$57, 0), (COLUMNS($DU28:DY28)-1)*5 + 4) = "SF"), INDEX($CZ$8:$CZ$23, COLUMNS($DU28:DY28)), "0"), "")</f>
        <v>0</v>
      </c>
      <c r="DZ28" s="390" t="str">
        <f t="array" ref="DZ28">IFERROR(IF(AND(INDEX($E$8:$CE$57, MATCH($C28, $C$8:$C$57, 0), (COLUMNS($DU28:DZ28)-1)*5 + 1) = INDEX($E$5:$CE$5, 1, (COLUMNS($DU28:DZ28)-1)*5 + 1), INDEX($E$8:$CE$57, MATCH($C28, $C$8:$C$57, 0), (COLUMNS($DU28:DZ28)-1)*5 + 4) = "SF"), INDEX($CZ$8:$CZ$23, COLUMNS($DU28:DZ28)), "0"), "")</f>
        <v>0</v>
      </c>
      <c r="EA28" s="390" t="str">
        <f t="array" ref="EA28">IFERROR(IF(AND(INDEX($E$8:$CE$57, MATCH($C28, $C$8:$C$57, 0), (COLUMNS($DU28:EA28)-1)*5 + 1) = INDEX($E$5:$CE$5, 1, (COLUMNS($DU28:EA28)-1)*5 + 1), INDEX($E$8:$CE$57, MATCH($C28, $C$8:$C$57, 0), (COLUMNS($DU28:EA28)-1)*5 + 4) = "SF"), INDEX($CZ$8:$CZ$23, COLUMNS($DU28:EA28)), "0"), "")</f>
        <v>0</v>
      </c>
      <c r="EB28" s="390" t="str">
        <f t="array" ref="EB28">IFERROR(IF(AND(INDEX($E$8:$CE$57, MATCH($C28, $C$8:$C$57, 0), (COLUMNS($DU28:EB28)-1)*5 + 1) = INDEX($E$5:$CE$5, 1, (COLUMNS($DU28:EB28)-1)*5 + 1), INDEX($E$8:$CE$57, MATCH($C28, $C$8:$C$57, 0), (COLUMNS($DU28:EB28)-1)*5 + 4) = "SF"), INDEX($CZ$8:$CZ$23, COLUMNS($DU28:EB28)), "0"), "")</f>
        <v>0</v>
      </c>
      <c r="EC28" s="390" t="str">
        <f t="array" ref="EC28">IFERROR(IF(AND(INDEX($E$8:$CE$57, MATCH($C28, $C$8:$C$57, 0), (COLUMNS($DU28:EC28)-1)*5 + 1) = INDEX($E$5:$CE$5, 1, (COLUMNS($DU28:EC28)-1)*5 + 1), INDEX($E$8:$CE$57, MATCH($C28, $C$8:$C$57, 0), (COLUMNS($DU28:EC28)-1)*5 + 4) = "SF"), INDEX($CZ$8:$CZ$23, COLUMNS($DU28:EC28)), "0"), "")</f>
        <v>0</v>
      </c>
      <c r="ED28" s="390" t="str">
        <f t="array" ref="ED28">IFERROR(IF(AND(INDEX($E$8:$CE$57, MATCH($C28, $C$8:$C$57, 0), (COLUMNS($DU28:ED28)-1)*5 + 1) = INDEX($E$5:$CE$5, 1, (COLUMNS($DU28:ED28)-1)*5 + 1), INDEX($E$8:$CE$57, MATCH($C28, $C$8:$C$57, 0), (COLUMNS($DU28:ED28)-1)*5 + 4) = "SF"), INDEX($CZ$8:$CZ$23, COLUMNS($DU28:ED28)), "0"), "")</f>
        <v>0</v>
      </c>
      <c r="EE28" s="390" t="str">
        <f t="array" ref="EE28">IFERROR(IF(AND(INDEX($E$8:$CE$57, MATCH($C28, $C$8:$C$57, 0), (COLUMNS($DU28:EE28)-1)*5 + 1) = INDEX($E$5:$CE$5, 1, (COLUMNS($DU28:EE28)-1)*5 + 1), INDEX($E$8:$CE$57, MATCH($C28, $C$8:$C$57, 0), (COLUMNS($DU28:EE28)-1)*5 + 4) = "SF"), INDEX($CZ$8:$CZ$23, COLUMNS($DU28:EE28)), "0"), "")</f>
        <v>0</v>
      </c>
      <c r="EF28" s="390" t="str">
        <f t="array" ref="EF28">IFERROR(IF(AND(INDEX($E$8:$CE$57, MATCH($C28, $C$8:$C$57, 0), (COLUMNS($DU28:EF28)-1)*5 + 1) = INDEX($E$5:$CE$5, 1, (COLUMNS($DU28:EF28)-1)*5 + 1), INDEX($E$8:$CE$57, MATCH($C28, $C$8:$C$57, 0), (COLUMNS($DU28:EF28)-1)*5 + 4) = "SF"), INDEX($CZ$8:$CZ$23, COLUMNS($DU28:EF28)), "0"), "")</f>
        <v>0</v>
      </c>
      <c r="EG28" s="390" t="str">
        <f t="array" ref="EG28">IFERROR(IF(AND(INDEX($E$8:$CE$57, MATCH($C28, $C$8:$C$57, 0), (COLUMNS($DU28:EG28)-1)*5 + 1) = INDEX($E$5:$CE$5, 1, (COLUMNS($DU28:EG28)-1)*5 + 1), INDEX($E$8:$CE$57, MATCH($C28, $C$8:$C$57, 0), (COLUMNS($DU28:EG28)-1)*5 + 4) = "SF"), INDEX($CZ$8:$CZ$23, COLUMNS($DU28:EG28)), "0"), "")</f>
        <v>0</v>
      </c>
      <c r="EH28" s="390" t="str">
        <f t="array" ref="EH28">IFERROR(IF(AND(INDEX($E$8:$CE$57, MATCH($C28, $C$8:$C$57, 0), (COLUMNS($DU28:EH28)-1)*5 + 1) = INDEX($E$5:$CE$5, 1, (COLUMNS($DU28:EH28)-1)*5 + 1), INDEX($E$8:$CE$57, MATCH($C28, $C$8:$C$57, 0), (COLUMNS($DU28:EH28)-1)*5 + 4) = "SF"), INDEX($CZ$8:$CZ$23, COLUMNS($DU28:EH28)), "0"), "")</f>
        <v>0</v>
      </c>
      <c r="EI28" s="390" t="str">
        <f t="array" ref="EI28">IFERROR(IF(AND(INDEX($E$8:$CE$57, MATCH($C28, $C$8:$C$57, 0), (COLUMNS($DU28:EI28)-1)*5 + 1) = INDEX($E$5:$CE$5, 1, (COLUMNS($DU28:EI28)-1)*5 + 1), INDEX($E$8:$CE$57, MATCH($C28, $C$8:$C$57, 0), (COLUMNS($DU28:EI28)-1)*5 + 4) = "SF"), INDEX($CZ$8:$CZ$23, COLUMNS($DU28:EI28)), "0"), "")</f>
        <v>0</v>
      </c>
      <c r="EJ28" s="390" t="str">
        <f t="array" ref="EJ28">IFERROR(IF(AND(INDEX($E$8:$CE$57, MATCH($C28, $C$8:$C$57, 0), (COLUMNS($DU28:EJ28)-1)*5 + 1) = INDEX($E$5:$CE$5, 1, (COLUMNS($DU28:EJ28)-1)*5 + 1), INDEX($E$8:$CE$57, MATCH($C28, $C$8:$C$57, 0), (COLUMNS($DU28:EJ28)-1)*5 + 4) = "SF"), INDEX($CZ$8:$CZ$23, COLUMNS($DU28:EJ28)), "0"), "")</f>
        <v>0</v>
      </c>
    </row>
    <row r="29" spans="1:140" ht="19.5" customHeight="1" x14ac:dyDescent="0.35">
      <c r="A29" s="515"/>
      <c r="B29" s="444">
        <f>IF(SEMANA29[[#This Row],[COD]]&lt;&gt;"",B28+1,"")</f>
        <v>22</v>
      </c>
      <c r="C29" s="554" t="s">
        <v>75</v>
      </c>
      <c r="D29" s="410" t="str">
        <f t="array" ref="D29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29" s="411"/>
      <c r="F29" s="412"/>
      <c r="G29" s="412"/>
      <c r="H29" s="412"/>
      <c r="I29" s="534">
        <f t="shared" si="0"/>
        <v>0</v>
      </c>
      <c r="J29" s="411"/>
      <c r="K29" s="412"/>
      <c r="L29" s="412"/>
      <c r="M29" s="412"/>
      <c r="N29" s="534">
        <f t="shared" si="1"/>
        <v>0</v>
      </c>
      <c r="O29" s="411"/>
      <c r="P29" s="412"/>
      <c r="Q29" s="412"/>
      <c r="R29" s="412"/>
      <c r="S29" s="534">
        <f t="shared" si="2"/>
        <v>0</v>
      </c>
      <c r="T29" s="411"/>
      <c r="U29" s="412"/>
      <c r="V29" s="412"/>
      <c r="W29" s="412"/>
      <c r="X29" s="534">
        <f t="shared" si="3"/>
        <v>0</v>
      </c>
      <c r="Y29" s="411"/>
      <c r="Z29" s="412"/>
      <c r="AA29" s="412"/>
      <c r="AB29" s="412"/>
      <c r="AC29" s="534">
        <f t="shared" si="4"/>
        <v>0</v>
      </c>
      <c r="AD29" s="411"/>
      <c r="AE29" s="412"/>
      <c r="AF29" s="412"/>
      <c r="AG29" s="412"/>
      <c r="AH29" s="534">
        <f t="shared" si="5"/>
        <v>0</v>
      </c>
      <c r="AI29" s="411"/>
      <c r="AJ29" s="412"/>
      <c r="AK29" s="412"/>
      <c r="AL29" s="412"/>
      <c r="AM29" s="534">
        <f t="shared" si="6"/>
        <v>0</v>
      </c>
      <c r="AN29" s="411"/>
      <c r="AO29" s="412"/>
      <c r="AP29" s="412"/>
      <c r="AQ29" s="412"/>
      <c r="AR29" s="534">
        <f t="shared" si="7"/>
        <v>0</v>
      </c>
      <c r="AS29" s="411"/>
      <c r="AT29" s="412"/>
      <c r="AU29" s="412"/>
      <c r="AV29" s="412"/>
      <c r="AW29" s="534">
        <f t="shared" si="8"/>
        <v>0</v>
      </c>
      <c r="AX29" s="411"/>
      <c r="AY29" s="412"/>
      <c r="AZ29" s="412"/>
      <c r="BA29" s="412"/>
      <c r="BB29" s="534">
        <f t="shared" si="9"/>
        <v>0</v>
      </c>
      <c r="BC29" s="411"/>
      <c r="BD29" s="412"/>
      <c r="BE29" s="412"/>
      <c r="BF29" s="412"/>
      <c r="BG29" s="534">
        <f t="shared" si="10"/>
        <v>0</v>
      </c>
      <c r="BH29" s="411"/>
      <c r="BI29" s="412"/>
      <c r="BJ29" s="412"/>
      <c r="BK29" s="412"/>
      <c r="BL29" s="534">
        <f t="shared" si="11"/>
        <v>0</v>
      </c>
      <c r="BM29" s="411"/>
      <c r="BN29" s="412"/>
      <c r="BO29" s="412"/>
      <c r="BP29" s="412"/>
      <c r="BQ29" s="534">
        <f t="shared" si="12"/>
        <v>0</v>
      </c>
      <c r="BR29" s="411"/>
      <c r="BS29" s="412"/>
      <c r="BT29" s="412"/>
      <c r="BU29" s="412"/>
      <c r="BV29" s="534">
        <f t="shared" si="13"/>
        <v>0</v>
      </c>
      <c r="BW29" s="411"/>
      <c r="BX29" s="412"/>
      <c r="BY29" s="412"/>
      <c r="BZ29" s="412"/>
      <c r="CA29" s="534">
        <f t="shared" si="14"/>
        <v>0</v>
      </c>
      <c r="CB29" s="411"/>
      <c r="CC29" s="412"/>
      <c r="CD29" s="412"/>
      <c r="CE29" s="412"/>
      <c r="CF29" s="534">
        <f t="shared" si="15"/>
        <v>0</v>
      </c>
      <c r="CG29" s="162">
        <f>IF(SEMANA29[[#This Row],[1]]="",0,$B$4)</f>
        <v>0</v>
      </c>
      <c r="CH29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29" s="164">
        <f>IF(SEMANA29[[#This Row],[Columna14]]=0,0,(CH29/CG29))</f>
        <v>0</v>
      </c>
      <c r="CJ29" s="163">
        <f>IF(SEMANA29[[#This Row],[1]]="",0,$B$4)</f>
        <v>0</v>
      </c>
      <c r="CK29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29" s="164">
        <f>IF(SEMANA29[[#This Row],[Columna14]]=0,0,(CK29/CJ29))</f>
        <v>0</v>
      </c>
      <c r="CM29" s="162">
        <f>IF(SEMANA29[[#This Row],[1]]="",0,$B$4)</f>
        <v>0</v>
      </c>
      <c r="CN29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29" s="164">
        <f>IF(SEMANA29[[#This Row],[Columna14]]=0,0,(CN29/CM29))</f>
        <v>0</v>
      </c>
      <c r="CP29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29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Row],[Columna25]],$AX$5,BA29,"SF")+COUNTIFS(SEMANA29[[#This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29" s="164">
        <f>IFERROR(IF(SEMANA29[[#This Row],[Columna14]]=0,0,(CQ29/CP29)),0)</f>
        <v>0</v>
      </c>
      <c r="CS29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29" s="93">
        <f>_xlfn.XLOOKUP(SEMANA29[[#This Row],[COD]],SEMANA2[COD],SEMANA2[Columna33])</f>
        <v>69.5</v>
      </c>
      <c r="CU29" s="536">
        <f t="shared" si="16"/>
        <v>69.5</v>
      </c>
      <c r="CV29" s="445" t="str">
        <f>IF(SEMANA29[[#This Row],[TIPO]]="PREMIO",$O$3,"0,00")</f>
        <v>0,00</v>
      </c>
      <c r="CW29" s="515"/>
      <c r="CY29" s="387" t="str">
        <f t="shared" si="17"/>
        <v/>
      </c>
      <c r="CZ29" s="387"/>
      <c r="DA29" s="387" t="str">
        <f t="array" ref="DA29">IF(CZ29="", "", IF((INDEX(E$8:CE$57, MATCH(CZ29, C$8:C$57, 0), ($CZ$25-1)*5 + 1) &amp; "") = (INDEX(E$5:CE$5, 1, ($CZ$25-1)*5 + 1) &amp; ""), 1, IF((INDEX(E$8:CE$57, MATCH(CZ29, C$8:C$57, 0), ($CZ$25-1)*5 + 2) &amp; "") = (INDEX(E$5:CE$5, 1, ($CZ$25-1)*5 + 1) &amp; ""), 2, IF((INDEX(E$8:CE$57, MATCH(CZ29, C$8:C$57, 0), ($CZ$25-1)*5 + 3) &amp; "") = (INDEX(E$5:CE$5, 1, ($CZ$25-1)*5 + 1) &amp; ""), 3, ""))))</f>
        <v/>
      </c>
      <c r="DB29" s="537" t="str">
        <f>SEMANA29[[#This Row],[COD]]</f>
        <v>COD 22</v>
      </c>
      <c r="DC29" s="390" t="str">
        <f t="array" ref="DC29">IFERROR(IF(AND(INDEX($E$8:$CE$57, MATCH($C29, $C$8:$C$57, 0), (COLUMNS($DC29:DC29)-1)*5 + 1) = INDEX($E$5:$CE$5, 1, (COLUMNS($DC29:DC29)-1)*5 + 1), INDEX($E$8:$CE$57, MATCH($C29, $C$8:$C$57, 0), (COLUMNS($DC29:DC29)-1)*5 + 4) = "F"), INDEX($CZ$8:$CZ$23, COLUMNS($DC29:DC29)), "0"), "")</f>
        <v>0</v>
      </c>
      <c r="DD29" s="390" t="str">
        <f t="array" ref="DD29">IFERROR(IF(AND(INDEX($E$8:$CE$57, MATCH($C29, $C$8:$C$57, 0), (COLUMNS($DC29:DD29)-1)*5 + 1) = INDEX($E$5:$CE$5, 1, (COLUMNS($DC29:DD29)-1)*5 + 1), INDEX($E$8:$CE$57, MATCH($C29, $C$8:$C$57, 0), (COLUMNS($DC29:DD29)-1)*5 + 4) = "F"), INDEX($CZ$8:$CZ$23, COLUMNS($DC29:DD29)), "0"), "")</f>
        <v>0</v>
      </c>
      <c r="DE29" s="390" t="str">
        <f t="array" ref="DE29">IFERROR(IF(AND(INDEX($E$8:$CE$57, MATCH($C29, $C$8:$C$57, 0), (COLUMNS($DC29:DE29)-1)*5 + 1) = INDEX($E$5:$CE$5, 1, (COLUMNS($DC29:DE29)-1)*5 + 1), INDEX($E$8:$CE$57, MATCH($C29, $C$8:$C$57, 0), (COLUMNS($DC29:DE29)-1)*5 + 4) = "F"), INDEX($CZ$8:$CZ$23, COLUMNS($DC29:DE29)), "0"), "")</f>
        <v>0</v>
      </c>
      <c r="DF29" s="390" t="str">
        <f t="array" ref="DF29">IFERROR(IF(AND(INDEX($E$8:$CE$57, MATCH($C29, $C$8:$C$57, 0), (COLUMNS($DC29:DF29)-1)*5 + 1) = INDEX($E$5:$CE$5, 1, (COLUMNS($DC29:DF29)-1)*5 + 1), INDEX($E$8:$CE$57, MATCH($C29, $C$8:$C$57, 0), (COLUMNS($DC29:DF29)-1)*5 + 4) = "F"), INDEX($CZ$8:$CZ$23, COLUMNS($DC29:DF29)), "0"), "")</f>
        <v>0</v>
      </c>
      <c r="DG29" s="390" t="str">
        <f t="array" ref="DG29">IFERROR(IF(AND(INDEX($E$8:$CE$57, MATCH($C29, $C$8:$C$57, 0), (COLUMNS($DC29:DG29)-1)*5 + 1) = INDEX($E$5:$CE$5, 1, (COLUMNS($DC29:DG29)-1)*5 + 1), INDEX($E$8:$CE$57, MATCH($C29, $C$8:$C$57, 0), (COLUMNS($DC29:DG29)-1)*5 + 4) = "F"), INDEX($CZ$8:$CZ$23, COLUMNS($DC29:DG29)), "0"), "")</f>
        <v>0</v>
      </c>
      <c r="DH29" s="390" t="str">
        <f t="array" ref="DH29">IFERROR(IF(AND(INDEX($E$8:$CE$57, MATCH($C29, $C$8:$C$57, 0), (COLUMNS($DC29:DH29)-1)*5 + 1) = INDEX($E$5:$CE$5, 1, (COLUMNS($DC29:DH29)-1)*5 + 1), INDEX($E$8:$CE$57, MATCH($C29, $C$8:$C$57, 0), (COLUMNS($DC29:DH29)-1)*5 + 4) = "F"), INDEX($CZ$8:$CZ$23, COLUMNS($DC29:DH29)), "0"), "")</f>
        <v>0</v>
      </c>
      <c r="DI29" s="390" t="str">
        <f t="array" ref="DI29">IFERROR(IF(AND(INDEX($E$8:$CE$57, MATCH($C29, $C$8:$C$57, 0), (COLUMNS($DC29:DI29)-1)*5 + 1) = INDEX($E$5:$CE$5, 1, (COLUMNS($DC29:DI29)-1)*5 + 1), INDEX($E$8:$CE$57, MATCH($C29, $C$8:$C$57, 0), (COLUMNS($DC29:DI29)-1)*5 + 4) = "F"), INDEX($CZ$8:$CZ$23, COLUMNS($DC29:DI29)), "0"), "")</f>
        <v>0</v>
      </c>
      <c r="DJ29" s="390" t="str">
        <f t="array" ref="DJ29">IFERROR(IF(AND(INDEX($E$8:$CE$57, MATCH($C29, $C$8:$C$57, 0), (COLUMNS($DC29:DJ29)-1)*5 + 1) = INDEX($E$5:$CE$5, 1, (COLUMNS($DC29:DJ29)-1)*5 + 1), INDEX($E$8:$CE$57, MATCH($C29, $C$8:$C$57, 0), (COLUMNS($DC29:DJ29)-1)*5 + 4) = "F"), INDEX($CZ$8:$CZ$23, COLUMNS($DC29:DJ29)), "0"), "")</f>
        <v>0</v>
      </c>
      <c r="DK29" s="390" t="str">
        <f t="array" ref="DK29">IFERROR(IF(AND(INDEX($E$8:$CE$57, MATCH($C29, $C$8:$C$57, 0), (COLUMNS($DC29:DK29)-1)*5 + 1) = INDEX($E$5:$CE$5, 1, (COLUMNS($DC29:DK29)-1)*5 + 1), INDEX($E$8:$CE$57, MATCH($C29, $C$8:$C$57, 0), (COLUMNS($DC29:DK29)-1)*5 + 4) = "F"), INDEX($CZ$8:$CZ$23, COLUMNS($DC29:DK29)), "0"), "")</f>
        <v>0</v>
      </c>
      <c r="DL29" s="390" t="str">
        <f t="array" ref="DL29">IFERROR(IF(AND(INDEX($E$8:$CE$57, MATCH($C29, $C$8:$C$57, 0), (COLUMNS($DC29:DL29)-1)*5 + 1) = INDEX($E$5:$CE$5, 1, (COLUMNS($DC29:DL29)-1)*5 + 1), INDEX($E$8:$CE$57, MATCH($C29, $C$8:$C$57, 0), (COLUMNS($DC29:DL29)-1)*5 + 4) = "F"), INDEX($CZ$8:$CZ$23, COLUMNS($DC29:DL29)), "0"), "")</f>
        <v>0</v>
      </c>
      <c r="DM29" s="390" t="str">
        <f t="array" ref="DM29">IFERROR(IF(AND(INDEX($E$8:$CE$57, MATCH($C29, $C$8:$C$57, 0), (COLUMNS($DC29:DM29)-1)*5 + 1) = INDEX($E$5:$CE$5, 1, (COLUMNS($DC29:DM29)-1)*5 + 1), INDEX($E$8:$CE$57, MATCH($C29, $C$8:$C$57, 0), (COLUMNS($DC29:DM29)-1)*5 + 4) = "F"), INDEX($CZ$8:$CZ$23, COLUMNS($DC29:DM29)), "0"), "")</f>
        <v>0</v>
      </c>
      <c r="DN29" s="390" t="str">
        <f t="array" ref="DN29">IFERROR(IF(AND(INDEX($E$8:$CE$57, MATCH($C29, $C$8:$C$57, 0), (COLUMNS($DC29:DN29)-1)*5 + 1) = INDEX($E$5:$CE$5, 1, (COLUMNS($DC29:DN29)-1)*5 + 1), INDEX($E$8:$CE$57, MATCH($C29, $C$8:$C$57, 0), (COLUMNS($DC29:DN29)-1)*5 + 4) = "F"), INDEX($CZ$8:$CZ$23, COLUMNS($DC29:DN29)), "0"), "")</f>
        <v>0</v>
      </c>
      <c r="DO29" s="390" t="str">
        <f t="array" ref="DO29">IFERROR(IF(AND(INDEX($E$8:$CE$57, MATCH($C29, $C$8:$C$57, 0), (COLUMNS($DC29:DO29)-1)*5 + 1) = INDEX($E$5:$CE$5, 1, (COLUMNS($DC29:DO29)-1)*5 + 1), INDEX($E$8:$CE$57, MATCH($C29, $C$8:$C$57, 0), (COLUMNS($DC29:DO29)-1)*5 + 4) = "F"), INDEX($CZ$8:$CZ$23, COLUMNS($DC29:DO29)), "0"), "")</f>
        <v>0</v>
      </c>
      <c r="DP29" s="390" t="str">
        <f t="array" ref="DP29">IFERROR(IF(AND(INDEX($E$8:$CE$57, MATCH($C29, $C$8:$C$57, 0), (COLUMNS($DC29:DP29)-1)*5 + 1) = INDEX($E$5:$CE$5, 1, (COLUMNS($DC29:DP29)-1)*5 + 1), INDEX($E$8:$CE$57, MATCH($C29, $C$8:$C$57, 0), (COLUMNS($DC29:DP29)-1)*5 + 4) = "F"), INDEX($CZ$8:$CZ$23, COLUMNS($DC29:DP29)), "0"), "")</f>
        <v>0</v>
      </c>
      <c r="DQ29" s="390" t="str">
        <f t="array" ref="DQ29">IFERROR(IF(AND(INDEX($E$8:$CE$57, MATCH($C29, $C$8:$C$57, 0), (COLUMNS($DC29:DQ29)-1)*5 + 1) = INDEX($E$5:$CE$5, 1, (COLUMNS($DC29:DQ29)-1)*5 + 1), INDEX($E$8:$CE$57, MATCH($C29, $C$8:$C$57, 0), (COLUMNS($DC29:DQ29)-1)*5 + 4) = "F"), INDEX($CZ$8:$CZ$23, COLUMNS($DC29:DQ29)), "0"), "")</f>
        <v>0</v>
      </c>
      <c r="DR29" s="390" t="str">
        <f t="array" ref="DR29">IFERROR(IF(AND(INDEX($E$8:$CE$57, MATCH($C29, $C$8:$C$57, 0), (COLUMNS($DC29:DR29)-1)*5 + 1) = INDEX($E$5:$CE$5, 1, (COLUMNS($DC29:DR29)-1)*5 + 1), INDEX($E$8:$CE$57, MATCH($C29, $C$8:$C$57, 0), (COLUMNS($DC29:DR29)-1)*5 + 4) = "F"), INDEX($CZ$8:$CZ$23, COLUMNS($DC29:DR29)), "0"), "")</f>
        <v>0</v>
      </c>
      <c r="DT29" s="537" t="str">
        <f>SEMANA29[[#This Row],[COD]]</f>
        <v>COD 22</v>
      </c>
      <c r="DU29" s="390" t="str">
        <f t="array" ref="DU29">IFERROR(IF(AND(INDEX($E$8:$CE$57, MATCH($C29, $C$8:$C$57, 0), (COLUMNS($DU29:DU29)-1)*5 + 1) = INDEX($E$5:$CE$5, 1, (COLUMNS($DU29:DU29)-1)*5 + 1), INDEX($E$8:$CE$57, MATCH($C29, $C$8:$C$57, 0), (COLUMNS($DU29:DU29)-1)*5 + 4) = "SF"), INDEX($CZ$8:$CZ$23, COLUMNS($DU29:DU29)), "0"), "")</f>
        <v>0</v>
      </c>
      <c r="DV29" s="390" t="str">
        <f t="array" ref="DV29">IFERROR(IF(AND(INDEX($E$8:$CE$57, MATCH($C29, $C$8:$C$57, 0), (COLUMNS($DU29:DV29)-1)*5 + 1) = INDEX($E$5:$CE$5, 1, (COLUMNS($DU29:DV29)-1)*5 + 1), INDEX($E$8:$CE$57, MATCH($C29, $C$8:$C$57, 0), (COLUMNS($DU29:DV29)-1)*5 + 4) = "SF"), INDEX($CZ$8:$CZ$23, COLUMNS($DU29:DV29)), "0"), "")</f>
        <v>0</v>
      </c>
      <c r="DW29" s="390" t="str">
        <f t="array" ref="DW29">IFERROR(IF(AND(INDEX($E$8:$CE$57, MATCH($C29, $C$8:$C$57, 0), (COLUMNS($DU29:DW29)-1)*5 + 1) = INDEX($E$5:$CE$5, 1, (COLUMNS($DU29:DW29)-1)*5 + 1), INDEX($E$8:$CE$57, MATCH($C29, $C$8:$C$57, 0), (COLUMNS($DU29:DW29)-1)*5 + 4) = "SF"), INDEX($CZ$8:$CZ$23, COLUMNS($DU29:DW29)), "0"), "")</f>
        <v>0</v>
      </c>
      <c r="DX29" s="390" t="str">
        <f t="array" ref="DX29">IFERROR(IF(AND(INDEX($E$8:$CE$57, MATCH($C29, $C$8:$C$57, 0), (COLUMNS($DU29:DX29)-1)*5 + 1) = INDEX($E$5:$CE$5, 1, (COLUMNS($DU29:DX29)-1)*5 + 1), INDEX($E$8:$CE$57, MATCH($C29, $C$8:$C$57, 0), (COLUMNS($DU29:DX29)-1)*5 + 4) = "SF"), INDEX($CZ$8:$CZ$23, COLUMNS($DU29:DX29)), "0"), "")</f>
        <v>0</v>
      </c>
      <c r="DY29" s="390" t="str">
        <f t="array" ref="DY29">IFERROR(IF(AND(INDEX($E$8:$CE$57, MATCH($C29, $C$8:$C$57, 0), (COLUMNS($DU29:DY29)-1)*5 + 1) = INDEX($E$5:$CE$5, 1, (COLUMNS($DU29:DY29)-1)*5 + 1), INDEX($E$8:$CE$57, MATCH($C29, $C$8:$C$57, 0), (COLUMNS($DU29:DY29)-1)*5 + 4) = "SF"), INDEX($CZ$8:$CZ$23, COLUMNS($DU29:DY29)), "0"), "")</f>
        <v>0</v>
      </c>
      <c r="DZ29" s="390" t="str">
        <f t="array" ref="DZ29">IFERROR(IF(AND(INDEX($E$8:$CE$57, MATCH($C29, $C$8:$C$57, 0), (COLUMNS($DU29:DZ29)-1)*5 + 1) = INDEX($E$5:$CE$5, 1, (COLUMNS($DU29:DZ29)-1)*5 + 1), INDEX($E$8:$CE$57, MATCH($C29, $C$8:$C$57, 0), (COLUMNS($DU29:DZ29)-1)*5 + 4) = "SF"), INDEX($CZ$8:$CZ$23, COLUMNS($DU29:DZ29)), "0"), "")</f>
        <v>0</v>
      </c>
      <c r="EA29" s="390" t="str">
        <f t="array" ref="EA29">IFERROR(IF(AND(INDEX($E$8:$CE$57, MATCH($C29, $C$8:$C$57, 0), (COLUMNS($DU29:EA29)-1)*5 + 1) = INDEX($E$5:$CE$5, 1, (COLUMNS($DU29:EA29)-1)*5 + 1), INDEX($E$8:$CE$57, MATCH($C29, $C$8:$C$57, 0), (COLUMNS($DU29:EA29)-1)*5 + 4) = "SF"), INDEX($CZ$8:$CZ$23, COLUMNS($DU29:EA29)), "0"), "")</f>
        <v>0</v>
      </c>
      <c r="EB29" s="390" t="str">
        <f t="array" ref="EB29">IFERROR(IF(AND(INDEX($E$8:$CE$57, MATCH($C29, $C$8:$C$57, 0), (COLUMNS($DU29:EB29)-1)*5 + 1) = INDEX($E$5:$CE$5, 1, (COLUMNS($DU29:EB29)-1)*5 + 1), INDEX($E$8:$CE$57, MATCH($C29, $C$8:$C$57, 0), (COLUMNS($DU29:EB29)-1)*5 + 4) = "SF"), INDEX($CZ$8:$CZ$23, COLUMNS($DU29:EB29)), "0"), "")</f>
        <v>0</v>
      </c>
      <c r="EC29" s="390" t="str">
        <f t="array" ref="EC29">IFERROR(IF(AND(INDEX($E$8:$CE$57, MATCH($C29, $C$8:$C$57, 0), (COLUMNS($DU29:EC29)-1)*5 + 1) = INDEX($E$5:$CE$5, 1, (COLUMNS($DU29:EC29)-1)*5 + 1), INDEX($E$8:$CE$57, MATCH($C29, $C$8:$C$57, 0), (COLUMNS($DU29:EC29)-1)*5 + 4) = "SF"), INDEX($CZ$8:$CZ$23, COLUMNS($DU29:EC29)), "0"), "")</f>
        <v>0</v>
      </c>
      <c r="ED29" s="390" t="str">
        <f t="array" ref="ED29">IFERROR(IF(AND(INDEX($E$8:$CE$57, MATCH($C29, $C$8:$C$57, 0), (COLUMNS($DU29:ED29)-1)*5 + 1) = INDEX($E$5:$CE$5, 1, (COLUMNS($DU29:ED29)-1)*5 + 1), INDEX($E$8:$CE$57, MATCH($C29, $C$8:$C$57, 0), (COLUMNS($DU29:ED29)-1)*5 + 4) = "SF"), INDEX($CZ$8:$CZ$23, COLUMNS($DU29:ED29)), "0"), "")</f>
        <v>0</v>
      </c>
      <c r="EE29" s="390" t="str">
        <f t="array" ref="EE29">IFERROR(IF(AND(INDEX($E$8:$CE$57, MATCH($C29, $C$8:$C$57, 0), (COLUMNS($DU29:EE29)-1)*5 + 1) = INDEX($E$5:$CE$5, 1, (COLUMNS($DU29:EE29)-1)*5 + 1), INDEX($E$8:$CE$57, MATCH($C29, $C$8:$C$57, 0), (COLUMNS($DU29:EE29)-1)*5 + 4) = "SF"), INDEX($CZ$8:$CZ$23, COLUMNS($DU29:EE29)), "0"), "")</f>
        <v>0</v>
      </c>
      <c r="EF29" s="390" t="str">
        <f t="array" ref="EF29">IFERROR(IF(AND(INDEX($E$8:$CE$57, MATCH($C29, $C$8:$C$57, 0), (COLUMNS($DU29:EF29)-1)*5 + 1) = INDEX($E$5:$CE$5, 1, (COLUMNS($DU29:EF29)-1)*5 + 1), INDEX($E$8:$CE$57, MATCH($C29, $C$8:$C$57, 0), (COLUMNS($DU29:EF29)-1)*5 + 4) = "SF"), INDEX($CZ$8:$CZ$23, COLUMNS($DU29:EF29)), "0"), "")</f>
        <v>0</v>
      </c>
      <c r="EG29" s="390" t="str">
        <f t="array" ref="EG29">IFERROR(IF(AND(INDEX($E$8:$CE$57, MATCH($C29, $C$8:$C$57, 0), (COLUMNS($DU29:EG29)-1)*5 + 1) = INDEX($E$5:$CE$5, 1, (COLUMNS($DU29:EG29)-1)*5 + 1), INDEX($E$8:$CE$57, MATCH($C29, $C$8:$C$57, 0), (COLUMNS($DU29:EG29)-1)*5 + 4) = "SF"), INDEX($CZ$8:$CZ$23, COLUMNS($DU29:EG29)), "0"), "")</f>
        <v>0</v>
      </c>
      <c r="EH29" s="390" t="str">
        <f t="array" ref="EH29">IFERROR(IF(AND(INDEX($E$8:$CE$57, MATCH($C29, $C$8:$C$57, 0), (COLUMNS($DU29:EH29)-1)*5 + 1) = INDEX($E$5:$CE$5, 1, (COLUMNS($DU29:EH29)-1)*5 + 1), INDEX($E$8:$CE$57, MATCH($C29, $C$8:$C$57, 0), (COLUMNS($DU29:EH29)-1)*5 + 4) = "SF"), INDEX($CZ$8:$CZ$23, COLUMNS($DU29:EH29)), "0"), "")</f>
        <v>0</v>
      </c>
      <c r="EI29" s="390" t="str">
        <f t="array" ref="EI29">IFERROR(IF(AND(INDEX($E$8:$CE$57, MATCH($C29, $C$8:$C$57, 0), (COLUMNS($DU29:EI29)-1)*5 + 1) = INDEX($E$5:$CE$5, 1, (COLUMNS($DU29:EI29)-1)*5 + 1), INDEX($E$8:$CE$57, MATCH($C29, $C$8:$C$57, 0), (COLUMNS($DU29:EI29)-1)*5 + 4) = "SF"), INDEX($CZ$8:$CZ$23, COLUMNS($DU29:EI29)), "0"), "")</f>
        <v>0</v>
      </c>
      <c r="EJ29" s="390" t="str">
        <f t="array" ref="EJ29">IFERROR(IF(AND(INDEX($E$8:$CE$57, MATCH($C29, $C$8:$C$57, 0), (COLUMNS($DU29:EJ29)-1)*5 + 1) = INDEX($E$5:$CE$5, 1, (COLUMNS($DU29:EJ29)-1)*5 + 1), INDEX($E$8:$CE$57, MATCH($C29, $C$8:$C$57, 0), (COLUMNS($DU29:EJ29)-1)*5 + 4) = "SF"), INDEX($CZ$8:$CZ$23, COLUMNS($DU29:EJ29)), "0"), "")</f>
        <v>0</v>
      </c>
    </row>
    <row r="30" spans="1:140" ht="19.5" customHeight="1" x14ac:dyDescent="0.35">
      <c r="A30" s="515"/>
      <c r="B30" s="444">
        <f>IF(SEMANA29[[#This Row],[COD]]&lt;&gt;"",B29+1,"")</f>
        <v>23</v>
      </c>
      <c r="C30" s="554" t="s">
        <v>77</v>
      </c>
      <c r="D30" s="410" t="str">
        <f t="array" ref="D30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30" s="411"/>
      <c r="F30" s="413"/>
      <c r="G30" s="413"/>
      <c r="H30" s="413"/>
      <c r="I30" s="534">
        <f t="shared" si="0"/>
        <v>0</v>
      </c>
      <c r="J30" s="411"/>
      <c r="K30" s="413"/>
      <c r="L30" s="413"/>
      <c r="M30" s="413"/>
      <c r="N30" s="534">
        <f t="shared" si="1"/>
        <v>0</v>
      </c>
      <c r="O30" s="411"/>
      <c r="P30" s="413"/>
      <c r="Q30" s="413"/>
      <c r="R30" s="413"/>
      <c r="S30" s="534">
        <f t="shared" si="2"/>
        <v>0</v>
      </c>
      <c r="T30" s="411"/>
      <c r="U30" s="413"/>
      <c r="V30" s="413"/>
      <c r="W30" s="413"/>
      <c r="X30" s="534">
        <f t="shared" si="3"/>
        <v>0</v>
      </c>
      <c r="Y30" s="411"/>
      <c r="Z30" s="413"/>
      <c r="AA30" s="413"/>
      <c r="AB30" s="413"/>
      <c r="AC30" s="534">
        <f t="shared" si="4"/>
        <v>0</v>
      </c>
      <c r="AD30" s="411"/>
      <c r="AE30" s="413"/>
      <c r="AF30" s="413"/>
      <c r="AG30" s="413"/>
      <c r="AH30" s="534">
        <f t="shared" si="5"/>
        <v>0</v>
      </c>
      <c r="AI30" s="411"/>
      <c r="AJ30" s="413"/>
      <c r="AK30" s="413"/>
      <c r="AL30" s="413"/>
      <c r="AM30" s="534">
        <f t="shared" si="6"/>
        <v>0</v>
      </c>
      <c r="AN30" s="411"/>
      <c r="AO30" s="413"/>
      <c r="AP30" s="413"/>
      <c r="AQ30" s="413"/>
      <c r="AR30" s="534">
        <f t="shared" si="7"/>
        <v>0</v>
      </c>
      <c r="AS30" s="411"/>
      <c r="AT30" s="413"/>
      <c r="AU30" s="413"/>
      <c r="AV30" s="413"/>
      <c r="AW30" s="534">
        <f t="shared" si="8"/>
        <v>0</v>
      </c>
      <c r="AX30" s="411"/>
      <c r="AY30" s="413"/>
      <c r="AZ30" s="413"/>
      <c r="BA30" s="413"/>
      <c r="BB30" s="534">
        <f t="shared" si="9"/>
        <v>0</v>
      </c>
      <c r="BC30" s="411"/>
      <c r="BD30" s="413"/>
      <c r="BE30" s="413"/>
      <c r="BF30" s="413"/>
      <c r="BG30" s="534">
        <f t="shared" si="10"/>
        <v>0</v>
      </c>
      <c r="BH30" s="411"/>
      <c r="BI30" s="413"/>
      <c r="BJ30" s="413"/>
      <c r="BK30" s="413"/>
      <c r="BL30" s="534">
        <f t="shared" si="11"/>
        <v>0</v>
      </c>
      <c r="BM30" s="411"/>
      <c r="BN30" s="413"/>
      <c r="BO30" s="413"/>
      <c r="BP30" s="413"/>
      <c r="BQ30" s="534">
        <f t="shared" si="12"/>
        <v>0</v>
      </c>
      <c r="BR30" s="411"/>
      <c r="BS30" s="413"/>
      <c r="BT30" s="413"/>
      <c r="BU30" s="413"/>
      <c r="BV30" s="534">
        <f t="shared" si="13"/>
        <v>0</v>
      </c>
      <c r="BW30" s="411"/>
      <c r="BX30" s="413"/>
      <c r="BY30" s="413"/>
      <c r="BZ30" s="413"/>
      <c r="CA30" s="534">
        <f t="shared" si="14"/>
        <v>0</v>
      </c>
      <c r="CB30" s="411"/>
      <c r="CC30" s="413"/>
      <c r="CD30" s="413"/>
      <c r="CE30" s="413"/>
      <c r="CF30" s="534">
        <f t="shared" si="15"/>
        <v>0</v>
      </c>
      <c r="CG30" s="162">
        <f>IF(SEMANA29[[#This Row],[1]]="",0,$B$4)</f>
        <v>0</v>
      </c>
      <c r="CH30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30" s="164">
        <f>IF(SEMANA29[[#This Row],[Columna14]]=0,0,(CH30/CG30))</f>
        <v>0</v>
      </c>
      <c r="CJ30" s="163">
        <f>IF(SEMANA29[[#This Row],[1]]="",0,$B$4)</f>
        <v>0</v>
      </c>
      <c r="CK30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30" s="164">
        <f>IF(SEMANA29[[#This Row],[Columna14]]=0,0,(CK30/CJ30))</f>
        <v>0</v>
      </c>
      <c r="CM30" s="162">
        <f>IF(SEMANA29[[#This Row],[1]]="",0,$B$4)</f>
        <v>0</v>
      </c>
      <c r="CN30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30" s="164">
        <f>IF(SEMANA29[[#This Row],[Columna14]]=0,0,(CN30/CM30))</f>
        <v>0</v>
      </c>
      <c r="CP30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30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Row],[Columna25]],$AX$5,BA30,"SF")+COUNTIFS(SEMANA29[[#This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30" s="164">
        <f>IFERROR(IF(SEMANA29[[#This Row],[Columna14]]=0,0,(CQ30/CP30)),0)</f>
        <v>0</v>
      </c>
      <c r="CS30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30" s="93">
        <f>_xlfn.XLOOKUP(SEMANA29[[#This Row],[COD]],SEMANA2[COD],SEMANA2[Columna33])</f>
        <v>68.5</v>
      </c>
      <c r="CU30" s="536">
        <f t="shared" si="16"/>
        <v>68.5</v>
      </c>
      <c r="CV30" s="445" t="str">
        <f>IF(SEMANA29[[#This Row],[TIPO]]="PREMIO",$O$3,"0,00")</f>
        <v>0,00</v>
      </c>
      <c r="CW30" s="515"/>
      <c r="CY30" s="387" t="str">
        <f t="shared" si="17"/>
        <v/>
      </c>
      <c r="CZ30" s="387"/>
      <c r="DA30" s="387" t="str">
        <f t="array" ref="DA30">IF(CZ30="", "", IF((INDEX(E$8:CE$57, MATCH(CZ30, C$8:C$57, 0), ($CZ$25-1)*5 + 1) &amp; "") = (INDEX(E$5:CE$5, 1, ($CZ$25-1)*5 + 1) &amp; ""), 1, IF((INDEX(E$8:CE$57, MATCH(CZ30, C$8:C$57, 0), ($CZ$25-1)*5 + 2) &amp; "") = (INDEX(E$5:CE$5, 1, ($CZ$25-1)*5 + 1) &amp; ""), 2, IF((INDEX(E$8:CE$57, MATCH(CZ30, C$8:C$57, 0), ($CZ$25-1)*5 + 3) &amp; "") = (INDEX(E$5:CE$5, 1, ($CZ$25-1)*5 + 1) &amp; ""), 3, ""))))</f>
        <v/>
      </c>
      <c r="DB30" s="537" t="str">
        <f>SEMANA29[[#This Row],[COD]]</f>
        <v>COD 23</v>
      </c>
      <c r="DC30" s="390" t="str">
        <f t="array" ref="DC30">IFERROR(IF(AND(INDEX($E$8:$CE$57, MATCH($C30, $C$8:$C$57, 0), (COLUMNS($DC30:DC30)-1)*5 + 1) = INDEX($E$5:$CE$5, 1, (COLUMNS($DC30:DC30)-1)*5 + 1), INDEX($E$8:$CE$57, MATCH($C30, $C$8:$C$57, 0), (COLUMNS($DC30:DC30)-1)*5 + 4) = "F"), INDEX($CZ$8:$CZ$23, COLUMNS($DC30:DC30)), "0"), "")</f>
        <v>0</v>
      </c>
      <c r="DD30" s="390" t="str">
        <f t="array" ref="DD30">IFERROR(IF(AND(INDEX($E$8:$CE$57, MATCH($C30, $C$8:$C$57, 0), (COLUMNS($DC30:DD30)-1)*5 + 1) = INDEX($E$5:$CE$5, 1, (COLUMNS($DC30:DD30)-1)*5 + 1), INDEX($E$8:$CE$57, MATCH($C30, $C$8:$C$57, 0), (COLUMNS($DC30:DD30)-1)*5 + 4) = "F"), INDEX($CZ$8:$CZ$23, COLUMNS($DC30:DD30)), "0"), "")</f>
        <v>0</v>
      </c>
      <c r="DE30" s="390" t="str">
        <f t="array" ref="DE30">IFERROR(IF(AND(INDEX($E$8:$CE$57, MATCH($C30, $C$8:$C$57, 0), (COLUMNS($DC30:DE30)-1)*5 + 1) = INDEX($E$5:$CE$5, 1, (COLUMNS($DC30:DE30)-1)*5 + 1), INDEX($E$8:$CE$57, MATCH($C30, $C$8:$C$57, 0), (COLUMNS($DC30:DE30)-1)*5 + 4) = "F"), INDEX($CZ$8:$CZ$23, COLUMNS($DC30:DE30)), "0"), "")</f>
        <v>0</v>
      </c>
      <c r="DF30" s="390" t="str">
        <f t="array" ref="DF30">IFERROR(IF(AND(INDEX($E$8:$CE$57, MATCH($C30, $C$8:$C$57, 0), (COLUMNS($DC30:DF30)-1)*5 + 1) = INDEX($E$5:$CE$5, 1, (COLUMNS($DC30:DF30)-1)*5 + 1), INDEX($E$8:$CE$57, MATCH($C30, $C$8:$C$57, 0), (COLUMNS($DC30:DF30)-1)*5 + 4) = "F"), INDEX($CZ$8:$CZ$23, COLUMNS($DC30:DF30)), "0"), "")</f>
        <v>0</v>
      </c>
      <c r="DG30" s="390" t="str">
        <f t="array" ref="DG30">IFERROR(IF(AND(INDEX($E$8:$CE$57, MATCH($C30, $C$8:$C$57, 0), (COLUMNS($DC30:DG30)-1)*5 + 1) = INDEX($E$5:$CE$5, 1, (COLUMNS($DC30:DG30)-1)*5 + 1), INDEX($E$8:$CE$57, MATCH($C30, $C$8:$C$57, 0), (COLUMNS($DC30:DG30)-1)*5 + 4) = "F"), INDEX($CZ$8:$CZ$23, COLUMNS($DC30:DG30)), "0"), "")</f>
        <v>0</v>
      </c>
      <c r="DH30" s="390" t="str">
        <f t="array" ref="DH30">IFERROR(IF(AND(INDEX($E$8:$CE$57, MATCH($C30, $C$8:$C$57, 0), (COLUMNS($DC30:DH30)-1)*5 + 1) = INDEX($E$5:$CE$5, 1, (COLUMNS($DC30:DH30)-1)*5 + 1), INDEX($E$8:$CE$57, MATCH($C30, $C$8:$C$57, 0), (COLUMNS($DC30:DH30)-1)*5 + 4) = "F"), INDEX($CZ$8:$CZ$23, COLUMNS($DC30:DH30)), "0"), "")</f>
        <v>0</v>
      </c>
      <c r="DI30" s="390" t="str">
        <f t="array" ref="DI30">IFERROR(IF(AND(INDEX($E$8:$CE$57, MATCH($C30, $C$8:$C$57, 0), (COLUMNS($DC30:DI30)-1)*5 + 1) = INDEX($E$5:$CE$5, 1, (COLUMNS($DC30:DI30)-1)*5 + 1), INDEX($E$8:$CE$57, MATCH($C30, $C$8:$C$57, 0), (COLUMNS($DC30:DI30)-1)*5 + 4) = "F"), INDEX($CZ$8:$CZ$23, COLUMNS($DC30:DI30)), "0"), "")</f>
        <v>0</v>
      </c>
      <c r="DJ30" s="390" t="str">
        <f t="array" ref="DJ30">IFERROR(IF(AND(INDEX($E$8:$CE$57, MATCH($C30, $C$8:$C$57, 0), (COLUMNS($DC30:DJ30)-1)*5 + 1) = INDEX($E$5:$CE$5, 1, (COLUMNS($DC30:DJ30)-1)*5 + 1), INDEX($E$8:$CE$57, MATCH($C30, $C$8:$C$57, 0), (COLUMNS($DC30:DJ30)-1)*5 + 4) = "F"), INDEX($CZ$8:$CZ$23, COLUMNS($DC30:DJ30)), "0"), "")</f>
        <v>0</v>
      </c>
      <c r="DK30" s="390" t="str">
        <f t="array" ref="DK30">IFERROR(IF(AND(INDEX($E$8:$CE$57, MATCH($C30, $C$8:$C$57, 0), (COLUMNS($DC30:DK30)-1)*5 + 1) = INDEX($E$5:$CE$5, 1, (COLUMNS($DC30:DK30)-1)*5 + 1), INDEX($E$8:$CE$57, MATCH($C30, $C$8:$C$57, 0), (COLUMNS($DC30:DK30)-1)*5 + 4) = "F"), INDEX($CZ$8:$CZ$23, COLUMNS($DC30:DK30)), "0"), "")</f>
        <v>0</v>
      </c>
      <c r="DL30" s="390" t="str">
        <f t="array" ref="DL30">IFERROR(IF(AND(INDEX($E$8:$CE$57, MATCH($C30, $C$8:$C$57, 0), (COLUMNS($DC30:DL30)-1)*5 + 1) = INDEX($E$5:$CE$5, 1, (COLUMNS($DC30:DL30)-1)*5 + 1), INDEX($E$8:$CE$57, MATCH($C30, $C$8:$C$57, 0), (COLUMNS($DC30:DL30)-1)*5 + 4) = "F"), INDEX($CZ$8:$CZ$23, COLUMNS($DC30:DL30)), "0"), "")</f>
        <v>0</v>
      </c>
      <c r="DM30" s="390" t="str">
        <f t="array" ref="DM30">IFERROR(IF(AND(INDEX($E$8:$CE$57, MATCH($C30, $C$8:$C$57, 0), (COLUMNS($DC30:DM30)-1)*5 + 1) = INDEX($E$5:$CE$5, 1, (COLUMNS($DC30:DM30)-1)*5 + 1), INDEX($E$8:$CE$57, MATCH($C30, $C$8:$C$57, 0), (COLUMNS($DC30:DM30)-1)*5 + 4) = "F"), INDEX($CZ$8:$CZ$23, COLUMNS($DC30:DM30)), "0"), "")</f>
        <v>0</v>
      </c>
      <c r="DN30" s="390" t="str">
        <f t="array" ref="DN30">IFERROR(IF(AND(INDEX($E$8:$CE$57, MATCH($C30, $C$8:$C$57, 0), (COLUMNS($DC30:DN30)-1)*5 + 1) = INDEX($E$5:$CE$5, 1, (COLUMNS($DC30:DN30)-1)*5 + 1), INDEX($E$8:$CE$57, MATCH($C30, $C$8:$C$57, 0), (COLUMNS($DC30:DN30)-1)*5 + 4) = "F"), INDEX($CZ$8:$CZ$23, COLUMNS($DC30:DN30)), "0"), "")</f>
        <v>0</v>
      </c>
      <c r="DO30" s="390" t="str">
        <f t="array" ref="DO30">IFERROR(IF(AND(INDEX($E$8:$CE$57, MATCH($C30, $C$8:$C$57, 0), (COLUMNS($DC30:DO30)-1)*5 + 1) = INDEX($E$5:$CE$5, 1, (COLUMNS($DC30:DO30)-1)*5 + 1), INDEX($E$8:$CE$57, MATCH($C30, $C$8:$C$57, 0), (COLUMNS($DC30:DO30)-1)*5 + 4) = "F"), INDEX($CZ$8:$CZ$23, COLUMNS($DC30:DO30)), "0"), "")</f>
        <v>0</v>
      </c>
      <c r="DP30" s="390" t="str">
        <f t="array" ref="DP30">IFERROR(IF(AND(INDEX($E$8:$CE$57, MATCH($C30, $C$8:$C$57, 0), (COLUMNS($DC30:DP30)-1)*5 + 1) = INDEX($E$5:$CE$5, 1, (COLUMNS($DC30:DP30)-1)*5 + 1), INDEX($E$8:$CE$57, MATCH($C30, $C$8:$C$57, 0), (COLUMNS($DC30:DP30)-1)*5 + 4) = "F"), INDEX($CZ$8:$CZ$23, COLUMNS($DC30:DP30)), "0"), "")</f>
        <v>0</v>
      </c>
      <c r="DQ30" s="390" t="str">
        <f t="array" ref="DQ30">IFERROR(IF(AND(INDEX($E$8:$CE$57, MATCH($C30, $C$8:$C$57, 0), (COLUMNS($DC30:DQ30)-1)*5 + 1) = INDEX($E$5:$CE$5, 1, (COLUMNS($DC30:DQ30)-1)*5 + 1), INDEX($E$8:$CE$57, MATCH($C30, $C$8:$C$57, 0), (COLUMNS($DC30:DQ30)-1)*5 + 4) = "F"), INDEX($CZ$8:$CZ$23, COLUMNS($DC30:DQ30)), "0"), "")</f>
        <v>0</v>
      </c>
      <c r="DR30" s="390" t="str">
        <f t="array" ref="DR30">IFERROR(IF(AND(INDEX($E$8:$CE$57, MATCH($C30, $C$8:$C$57, 0), (COLUMNS($DC30:DR30)-1)*5 + 1) = INDEX($E$5:$CE$5, 1, (COLUMNS($DC30:DR30)-1)*5 + 1), INDEX($E$8:$CE$57, MATCH($C30, $C$8:$C$57, 0), (COLUMNS($DC30:DR30)-1)*5 + 4) = "F"), INDEX($CZ$8:$CZ$23, COLUMNS($DC30:DR30)), "0"), "")</f>
        <v>0</v>
      </c>
      <c r="DT30" s="537" t="str">
        <f>SEMANA29[[#This Row],[COD]]</f>
        <v>COD 23</v>
      </c>
      <c r="DU30" s="390" t="str">
        <f t="array" ref="DU30">IFERROR(IF(AND(INDEX($E$8:$CE$57, MATCH($C30, $C$8:$C$57, 0), (COLUMNS($DU30:DU30)-1)*5 + 1) = INDEX($E$5:$CE$5, 1, (COLUMNS($DU30:DU30)-1)*5 + 1), INDEX($E$8:$CE$57, MATCH($C30, $C$8:$C$57, 0), (COLUMNS($DU30:DU30)-1)*5 + 4) = "SF"), INDEX($CZ$8:$CZ$23, COLUMNS($DU30:DU30)), "0"), "")</f>
        <v>0</v>
      </c>
      <c r="DV30" s="390" t="str">
        <f t="array" ref="DV30">IFERROR(IF(AND(INDEX($E$8:$CE$57, MATCH($C30, $C$8:$C$57, 0), (COLUMNS($DU30:DV30)-1)*5 + 1) = INDEX($E$5:$CE$5, 1, (COLUMNS($DU30:DV30)-1)*5 + 1), INDEX($E$8:$CE$57, MATCH($C30, $C$8:$C$57, 0), (COLUMNS($DU30:DV30)-1)*5 + 4) = "SF"), INDEX($CZ$8:$CZ$23, COLUMNS($DU30:DV30)), "0"), "")</f>
        <v>0</v>
      </c>
      <c r="DW30" s="390" t="str">
        <f t="array" ref="DW30">IFERROR(IF(AND(INDEX($E$8:$CE$57, MATCH($C30, $C$8:$C$57, 0), (COLUMNS($DU30:DW30)-1)*5 + 1) = INDEX($E$5:$CE$5, 1, (COLUMNS($DU30:DW30)-1)*5 + 1), INDEX($E$8:$CE$57, MATCH($C30, $C$8:$C$57, 0), (COLUMNS($DU30:DW30)-1)*5 + 4) = "SF"), INDEX($CZ$8:$CZ$23, COLUMNS($DU30:DW30)), "0"), "")</f>
        <v>0</v>
      </c>
      <c r="DX30" s="390" t="str">
        <f t="array" ref="DX30">IFERROR(IF(AND(INDEX($E$8:$CE$57, MATCH($C30, $C$8:$C$57, 0), (COLUMNS($DU30:DX30)-1)*5 + 1) = INDEX($E$5:$CE$5, 1, (COLUMNS($DU30:DX30)-1)*5 + 1), INDEX($E$8:$CE$57, MATCH($C30, $C$8:$C$57, 0), (COLUMNS($DU30:DX30)-1)*5 + 4) = "SF"), INDEX($CZ$8:$CZ$23, COLUMNS($DU30:DX30)), "0"), "")</f>
        <v>0</v>
      </c>
      <c r="DY30" s="390" t="str">
        <f t="array" ref="DY30">IFERROR(IF(AND(INDEX($E$8:$CE$57, MATCH($C30, $C$8:$C$57, 0), (COLUMNS($DU30:DY30)-1)*5 + 1) = INDEX($E$5:$CE$5, 1, (COLUMNS($DU30:DY30)-1)*5 + 1), INDEX($E$8:$CE$57, MATCH($C30, $C$8:$C$57, 0), (COLUMNS($DU30:DY30)-1)*5 + 4) = "SF"), INDEX($CZ$8:$CZ$23, COLUMNS($DU30:DY30)), "0"), "")</f>
        <v>0</v>
      </c>
      <c r="DZ30" s="390" t="str">
        <f t="array" ref="DZ30">IFERROR(IF(AND(INDEX($E$8:$CE$57, MATCH($C30, $C$8:$C$57, 0), (COLUMNS($DU30:DZ30)-1)*5 + 1) = INDEX($E$5:$CE$5, 1, (COLUMNS($DU30:DZ30)-1)*5 + 1), INDEX($E$8:$CE$57, MATCH($C30, $C$8:$C$57, 0), (COLUMNS($DU30:DZ30)-1)*5 + 4) = "SF"), INDEX($CZ$8:$CZ$23, COLUMNS($DU30:DZ30)), "0"), "")</f>
        <v>0</v>
      </c>
      <c r="EA30" s="390" t="str">
        <f t="array" ref="EA30">IFERROR(IF(AND(INDEX($E$8:$CE$57, MATCH($C30, $C$8:$C$57, 0), (COLUMNS($DU30:EA30)-1)*5 + 1) = INDEX($E$5:$CE$5, 1, (COLUMNS($DU30:EA30)-1)*5 + 1), INDEX($E$8:$CE$57, MATCH($C30, $C$8:$C$57, 0), (COLUMNS($DU30:EA30)-1)*5 + 4) = "SF"), INDEX($CZ$8:$CZ$23, COLUMNS($DU30:EA30)), "0"), "")</f>
        <v>0</v>
      </c>
      <c r="EB30" s="390" t="str">
        <f t="array" ref="EB30">IFERROR(IF(AND(INDEX($E$8:$CE$57, MATCH($C30, $C$8:$C$57, 0), (COLUMNS($DU30:EB30)-1)*5 + 1) = INDEX($E$5:$CE$5, 1, (COLUMNS($DU30:EB30)-1)*5 + 1), INDEX($E$8:$CE$57, MATCH($C30, $C$8:$C$57, 0), (COLUMNS($DU30:EB30)-1)*5 + 4) = "SF"), INDEX($CZ$8:$CZ$23, COLUMNS($DU30:EB30)), "0"), "")</f>
        <v>0</v>
      </c>
      <c r="EC30" s="390" t="str">
        <f t="array" ref="EC30">IFERROR(IF(AND(INDEX($E$8:$CE$57, MATCH($C30, $C$8:$C$57, 0), (COLUMNS($DU30:EC30)-1)*5 + 1) = INDEX($E$5:$CE$5, 1, (COLUMNS($DU30:EC30)-1)*5 + 1), INDEX($E$8:$CE$57, MATCH($C30, $C$8:$C$57, 0), (COLUMNS($DU30:EC30)-1)*5 + 4) = "SF"), INDEX($CZ$8:$CZ$23, COLUMNS($DU30:EC30)), "0"), "")</f>
        <v>0</v>
      </c>
      <c r="ED30" s="390" t="str">
        <f t="array" ref="ED30">IFERROR(IF(AND(INDEX($E$8:$CE$57, MATCH($C30, $C$8:$C$57, 0), (COLUMNS($DU30:ED30)-1)*5 + 1) = INDEX($E$5:$CE$5, 1, (COLUMNS($DU30:ED30)-1)*5 + 1), INDEX($E$8:$CE$57, MATCH($C30, $C$8:$C$57, 0), (COLUMNS($DU30:ED30)-1)*5 + 4) = "SF"), INDEX($CZ$8:$CZ$23, COLUMNS($DU30:ED30)), "0"), "")</f>
        <v>0</v>
      </c>
      <c r="EE30" s="390" t="str">
        <f t="array" ref="EE30">IFERROR(IF(AND(INDEX($E$8:$CE$57, MATCH($C30, $C$8:$C$57, 0), (COLUMNS($DU30:EE30)-1)*5 + 1) = INDEX($E$5:$CE$5, 1, (COLUMNS($DU30:EE30)-1)*5 + 1), INDEX($E$8:$CE$57, MATCH($C30, $C$8:$C$57, 0), (COLUMNS($DU30:EE30)-1)*5 + 4) = "SF"), INDEX($CZ$8:$CZ$23, COLUMNS($DU30:EE30)), "0"), "")</f>
        <v>0</v>
      </c>
      <c r="EF30" s="390" t="str">
        <f t="array" ref="EF30">IFERROR(IF(AND(INDEX($E$8:$CE$57, MATCH($C30, $C$8:$C$57, 0), (COLUMNS($DU30:EF30)-1)*5 + 1) = INDEX($E$5:$CE$5, 1, (COLUMNS($DU30:EF30)-1)*5 + 1), INDEX($E$8:$CE$57, MATCH($C30, $C$8:$C$57, 0), (COLUMNS($DU30:EF30)-1)*5 + 4) = "SF"), INDEX($CZ$8:$CZ$23, COLUMNS($DU30:EF30)), "0"), "")</f>
        <v>0</v>
      </c>
      <c r="EG30" s="390" t="str">
        <f t="array" ref="EG30">IFERROR(IF(AND(INDEX($E$8:$CE$57, MATCH($C30, $C$8:$C$57, 0), (COLUMNS($DU30:EG30)-1)*5 + 1) = INDEX($E$5:$CE$5, 1, (COLUMNS($DU30:EG30)-1)*5 + 1), INDEX($E$8:$CE$57, MATCH($C30, $C$8:$C$57, 0), (COLUMNS($DU30:EG30)-1)*5 + 4) = "SF"), INDEX($CZ$8:$CZ$23, COLUMNS($DU30:EG30)), "0"), "")</f>
        <v>0</v>
      </c>
      <c r="EH30" s="390" t="str">
        <f t="array" ref="EH30">IFERROR(IF(AND(INDEX($E$8:$CE$57, MATCH($C30, $C$8:$C$57, 0), (COLUMNS($DU30:EH30)-1)*5 + 1) = INDEX($E$5:$CE$5, 1, (COLUMNS($DU30:EH30)-1)*5 + 1), INDEX($E$8:$CE$57, MATCH($C30, $C$8:$C$57, 0), (COLUMNS($DU30:EH30)-1)*5 + 4) = "SF"), INDEX($CZ$8:$CZ$23, COLUMNS($DU30:EH30)), "0"), "")</f>
        <v>0</v>
      </c>
      <c r="EI30" s="390" t="str">
        <f t="array" ref="EI30">IFERROR(IF(AND(INDEX($E$8:$CE$57, MATCH($C30, $C$8:$C$57, 0), (COLUMNS($DU30:EI30)-1)*5 + 1) = INDEX($E$5:$CE$5, 1, (COLUMNS($DU30:EI30)-1)*5 + 1), INDEX($E$8:$CE$57, MATCH($C30, $C$8:$C$57, 0), (COLUMNS($DU30:EI30)-1)*5 + 4) = "SF"), INDEX($CZ$8:$CZ$23, COLUMNS($DU30:EI30)), "0"), "")</f>
        <v>0</v>
      </c>
      <c r="EJ30" s="390" t="str">
        <f t="array" ref="EJ30">IFERROR(IF(AND(INDEX($E$8:$CE$57, MATCH($C30, $C$8:$C$57, 0), (COLUMNS($DU30:EJ30)-1)*5 + 1) = INDEX($E$5:$CE$5, 1, (COLUMNS($DU30:EJ30)-1)*5 + 1), INDEX($E$8:$CE$57, MATCH($C30, $C$8:$C$57, 0), (COLUMNS($DU30:EJ30)-1)*5 + 4) = "SF"), INDEX($CZ$8:$CZ$23, COLUMNS($DU30:EJ30)), "0"), "")</f>
        <v>0</v>
      </c>
    </row>
    <row r="31" spans="1:140" ht="19.5" customHeight="1" x14ac:dyDescent="0.35">
      <c r="A31" s="515"/>
      <c r="B31" s="444">
        <f>IF(SEMANA29[[#This Row],[COD]]&lt;&gt;"",B30+1,"")</f>
        <v>24</v>
      </c>
      <c r="C31" s="554" t="s">
        <v>79</v>
      </c>
      <c r="D31" s="410" t="str">
        <f t="array" ref="D31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31" s="411"/>
      <c r="F31" s="413"/>
      <c r="G31" s="413"/>
      <c r="H31" s="413"/>
      <c r="I31" s="534">
        <f t="shared" si="0"/>
        <v>0</v>
      </c>
      <c r="J31" s="411"/>
      <c r="K31" s="413"/>
      <c r="L31" s="413"/>
      <c r="M31" s="413"/>
      <c r="N31" s="534">
        <f t="shared" si="1"/>
        <v>0</v>
      </c>
      <c r="O31" s="411"/>
      <c r="P31" s="413"/>
      <c r="Q31" s="413"/>
      <c r="R31" s="413"/>
      <c r="S31" s="534">
        <f t="shared" si="2"/>
        <v>0</v>
      </c>
      <c r="T31" s="411"/>
      <c r="U31" s="413"/>
      <c r="V31" s="413"/>
      <c r="W31" s="413"/>
      <c r="X31" s="534">
        <f t="shared" si="3"/>
        <v>0</v>
      </c>
      <c r="Y31" s="411"/>
      <c r="Z31" s="413"/>
      <c r="AA31" s="413"/>
      <c r="AB31" s="413"/>
      <c r="AC31" s="534">
        <f t="shared" si="4"/>
        <v>0</v>
      </c>
      <c r="AD31" s="411"/>
      <c r="AE31" s="413"/>
      <c r="AF31" s="413"/>
      <c r="AG31" s="413"/>
      <c r="AH31" s="534">
        <f t="shared" si="5"/>
        <v>0</v>
      </c>
      <c r="AI31" s="411"/>
      <c r="AJ31" s="413"/>
      <c r="AK31" s="413"/>
      <c r="AL31" s="413"/>
      <c r="AM31" s="534">
        <f t="shared" si="6"/>
        <v>0</v>
      </c>
      <c r="AN31" s="411"/>
      <c r="AO31" s="413"/>
      <c r="AP31" s="413"/>
      <c r="AQ31" s="413"/>
      <c r="AR31" s="534">
        <f t="shared" si="7"/>
        <v>0</v>
      </c>
      <c r="AS31" s="411"/>
      <c r="AT31" s="413"/>
      <c r="AU31" s="413"/>
      <c r="AV31" s="413"/>
      <c r="AW31" s="534">
        <f t="shared" si="8"/>
        <v>0</v>
      </c>
      <c r="AX31" s="411"/>
      <c r="AY31" s="413"/>
      <c r="AZ31" s="413"/>
      <c r="BA31" s="413"/>
      <c r="BB31" s="534">
        <f t="shared" si="9"/>
        <v>0</v>
      </c>
      <c r="BC31" s="411"/>
      <c r="BD31" s="413"/>
      <c r="BE31" s="413"/>
      <c r="BF31" s="413"/>
      <c r="BG31" s="534">
        <f t="shared" si="10"/>
        <v>0</v>
      </c>
      <c r="BH31" s="411"/>
      <c r="BI31" s="413"/>
      <c r="BJ31" s="413"/>
      <c r="BK31" s="413"/>
      <c r="BL31" s="534">
        <f t="shared" si="11"/>
        <v>0</v>
      </c>
      <c r="BM31" s="411"/>
      <c r="BN31" s="413"/>
      <c r="BO31" s="413"/>
      <c r="BP31" s="413"/>
      <c r="BQ31" s="534">
        <f t="shared" si="12"/>
        <v>0</v>
      </c>
      <c r="BR31" s="411"/>
      <c r="BS31" s="413"/>
      <c r="BT31" s="413"/>
      <c r="BU31" s="413"/>
      <c r="BV31" s="534">
        <f t="shared" si="13"/>
        <v>0</v>
      </c>
      <c r="BW31" s="411"/>
      <c r="BX31" s="413"/>
      <c r="BY31" s="413"/>
      <c r="BZ31" s="413"/>
      <c r="CA31" s="534">
        <f t="shared" si="14"/>
        <v>0</v>
      </c>
      <c r="CB31" s="411"/>
      <c r="CC31" s="413"/>
      <c r="CD31" s="413"/>
      <c r="CE31" s="413"/>
      <c r="CF31" s="534">
        <f t="shared" si="15"/>
        <v>0</v>
      </c>
      <c r="CG31" s="162">
        <f>IF(SEMANA29[[#This Row],[1]]="",0,$B$4)</f>
        <v>0</v>
      </c>
      <c r="CH31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31" s="164">
        <f>IF(SEMANA29[[#This Row],[Columna14]]=0,0,(CH31/CG31))</f>
        <v>0</v>
      </c>
      <c r="CJ31" s="163">
        <f>IF(SEMANA29[[#This Row],[1]]="",0,$B$4)</f>
        <v>0</v>
      </c>
      <c r="CK31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31" s="164">
        <f>IF(SEMANA29[[#This Row],[Columna14]]=0,0,(CK31/CJ31))</f>
        <v>0</v>
      </c>
      <c r="CM31" s="162">
        <f>IF(SEMANA29[[#This Row],[1]]="",0,$B$4)</f>
        <v>0</v>
      </c>
      <c r="CN31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31" s="164">
        <f>IF(SEMANA29[[#This Row],[Columna14]]=0,0,(CN31/CM31))</f>
        <v>0</v>
      </c>
      <c r="CP31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31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Row],[Columna25]],$AX$5,BA31,"SF")+COUNTIFS(SEMANA29[[#This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31" s="164">
        <f>IFERROR(IF(SEMANA29[[#This Row],[Columna14]]=0,0,(CQ31/CP31)),0)</f>
        <v>0</v>
      </c>
      <c r="CS31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31" s="93">
        <f>_xlfn.XLOOKUP(SEMANA29[[#This Row],[COD]],SEMANA2[COD],SEMANA2[Columna33])</f>
        <v>53.5</v>
      </c>
      <c r="CU31" s="536">
        <f t="shared" si="16"/>
        <v>53.5</v>
      </c>
      <c r="CV31" s="445" t="str">
        <f>IF(SEMANA29[[#This Row],[TIPO]]="PREMIO",$O$3,"0,00")</f>
        <v>0,00</v>
      </c>
      <c r="CW31" s="515"/>
      <c r="CY31" s="387" t="str">
        <f t="shared" si="17"/>
        <v/>
      </c>
      <c r="CZ31" s="387"/>
      <c r="DA31" s="387" t="str">
        <f t="array" ref="DA31">IF(CZ31="", "", IF((INDEX(E$8:CE$57, MATCH(CZ31, C$8:C$57, 0), ($CZ$25-1)*5 + 1) &amp; "") = (INDEX(E$5:CE$5, 1, ($CZ$25-1)*5 + 1) &amp; ""), 1, IF((INDEX(E$8:CE$57, MATCH(CZ31, C$8:C$57, 0), ($CZ$25-1)*5 + 2) &amp; "") = (INDEX(E$5:CE$5, 1, ($CZ$25-1)*5 + 1) &amp; ""), 2, IF((INDEX(E$8:CE$57, MATCH(CZ31, C$8:C$57, 0), ($CZ$25-1)*5 + 3) &amp; "") = (INDEX(E$5:CE$5, 1, ($CZ$25-1)*5 + 1) &amp; ""), 3, ""))))</f>
        <v/>
      </c>
      <c r="DB31" s="537" t="str">
        <f>SEMANA29[[#This Row],[COD]]</f>
        <v>COD 24</v>
      </c>
      <c r="DC31" s="390" t="str">
        <f t="array" ref="DC31">IFERROR(IF(AND(INDEX($E$8:$CE$57, MATCH($C31, $C$8:$C$57, 0), (COLUMNS($DC31:DC31)-1)*5 + 1) = INDEX($E$5:$CE$5, 1, (COLUMNS($DC31:DC31)-1)*5 + 1), INDEX($E$8:$CE$57, MATCH($C31, $C$8:$C$57, 0), (COLUMNS($DC31:DC31)-1)*5 + 4) = "F"), INDEX($CZ$8:$CZ$23, COLUMNS($DC31:DC31)), "0"), "")</f>
        <v>0</v>
      </c>
      <c r="DD31" s="390" t="str">
        <f t="array" ref="DD31">IFERROR(IF(AND(INDEX($E$8:$CE$57, MATCH($C31, $C$8:$C$57, 0), (COLUMNS($DC31:DD31)-1)*5 + 1) = INDEX($E$5:$CE$5, 1, (COLUMNS($DC31:DD31)-1)*5 + 1), INDEX($E$8:$CE$57, MATCH($C31, $C$8:$C$57, 0), (COLUMNS($DC31:DD31)-1)*5 + 4) = "F"), INDEX($CZ$8:$CZ$23, COLUMNS($DC31:DD31)), "0"), "")</f>
        <v>0</v>
      </c>
      <c r="DE31" s="390" t="str">
        <f t="array" ref="DE31">IFERROR(IF(AND(INDEX($E$8:$CE$57, MATCH($C31, $C$8:$C$57, 0), (COLUMNS($DC31:DE31)-1)*5 + 1) = INDEX($E$5:$CE$5, 1, (COLUMNS($DC31:DE31)-1)*5 + 1), INDEX($E$8:$CE$57, MATCH($C31, $C$8:$C$57, 0), (COLUMNS($DC31:DE31)-1)*5 + 4) = "F"), INDEX($CZ$8:$CZ$23, COLUMNS($DC31:DE31)), "0"), "")</f>
        <v>0</v>
      </c>
      <c r="DF31" s="390" t="str">
        <f t="array" ref="DF31">IFERROR(IF(AND(INDEX($E$8:$CE$57, MATCH($C31, $C$8:$C$57, 0), (COLUMNS($DC31:DF31)-1)*5 + 1) = INDEX($E$5:$CE$5, 1, (COLUMNS($DC31:DF31)-1)*5 + 1), INDEX($E$8:$CE$57, MATCH($C31, $C$8:$C$57, 0), (COLUMNS($DC31:DF31)-1)*5 + 4) = "F"), INDEX($CZ$8:$CZ$23, COLUMNS($DC31:DF31)), "0"), "")</f>
        <v>0</v>
      </c>
      <c r="DG31" s="390" t="str">
        <f t="array" ref="DG31">IFERROR(IF(AND(INDEX($E$8:$CE$57, MATCH($C31, $C$8:$C$57, 0), (COLUMNS($DC31:DG31)-1)*5 + 1) = INDEX($E$5:$CE$5, 1, (COLUMNS($DC31:DG31)-1)*5 + 1), INDEX($E$8:$CE$57, MATCH($C31, $C$8:$C$57, 0), (COLUMNS($DC31:DG31)-1)*5 + 4) = "F"), INDEX($CZ$8:$CZ$23, COLUMNS($DC31:DG31)), "0"), "")</f>
        <v>0</v>
      </c>
      <c r="DH31" s="390" t="str">
        <f t="array" ref="DH31">IFERROR(IF(AND(INDEX($E$8:$CE$57, MATCH($C31, $C$8:$C$57, 0), (COLUMNS($DC31:DH31)-1)*5 + 1) = INDEX($E$5:$CE$5, 1, (COLUMNS($DC31:DH31)-1)*5 + 1), INDEX($E$8:$CE$57, MATCH($C31, $C$8:$C$57, 0), (COLUMNS($DC31:DH31)-1)*5 + 4) = "F"), INDEX($CZ$8:$CZ$23, COLUMNS($DC31:DH31)), "0"), "")</f>
        <v>0</v>
      </c>
      <c r="DI31" s="390" t="str">
        <f t="array" ref="DI31">IFERROR(IF(AND(INDEX($E$8:$CE$57, MATCH($C31, $C$8:$C$57, 0), (COLUMNS($DC31:DI31)-1)*5 + 1) = INDEX($E$5:$CE$5, 1, (COLUMNS($DC31:DI31)-1)*5 + 1), INDEX($E$8:$CE$57, MATCH($C31, $C$8:$C$57, 0), (COLUMNS($DC31:DI31)-1)*5 + 4) = "F"), INDEX($CZ$8:$CZ$23, COLUMNS($DC31:DI31)), "0"), "")</f>
        <v>0</v>
      </c>
      <c r="DJ31" s="390" t="str">
        <f t="array" ref="DJ31">IFERROR(IF(AND(INDEX($E$8:$CE$57, MATCH($C31, $C$8:$C$57, 0), (COLUMNS($DC31:DJ31)-1)*5 + 1) = INDEX($E$5:$CE$5, 1, (COLUMNS($DC31:DJ31)-1)*5 + 1), INDEX($E$8:$CE$57, MATCH($C31, $C$8:$C$57, 0), (COLUMNS($DC31:DJ31)-1)*5 + 4) = "F"), INDEX($CZ$8:$CZ$23, COLUMNS($DC31:DJ31)), "0"), "")</f>
        <v>0</v>
      </c>
      <c r="DK31" s="390" t="str">
        <f t="array" ref="DK31">IFERROR(IF(AND(INDEX($E$8:$CE$57, MATCH($C31, $C$8:$C$57, 0), (COLUMNS($DC31:DK31)-1)*5 + 1) = INDEX($E$5:$CE$5, 1, (COLUMNS($DC31:DK31)-1)*5 + 1), INDEX($E$8:$CE$57, MATCH($C31, $C$8:$C$57, 0), (COLUMNS($DC31:DK31)-1)*5 + 4) = "F"), INDEX($CZ$8:$CZ$23, COLUMNS($DC31:DK31)), "0"), "")</f>
        <v>0</v>
      </c>
      <c r="DL31" s="390" t="str">
        <f t="array" ref="DL31">IFERROR(IF(AND(INDEX($E$8:$CE$57, MATCH($C31, $C$8:$C$57, 0), (COLUMNS($DC31:DL31)-1)*5 + 1) = INDEX($E$5:$CE$5, 1, (COLUMNS($DC31:DL31)-1)*5 + 1), INDEX($E$8:$CE$57, MATCH($C31, $C$8:$C$57, 0), (COLUMNS($DC31:DL31)-1)*5 + 4) = "F"), INDEX($CZ$8:$CZ$23, COLUMNS($DC31:DL31)), "0"), "")</f>
        <v>0</v>
      </c>
      <c r="DM31" s="390" t="str">
        <f t="array" ref="DM31">IFERROR(IF(AND(INDEX($E$8:$CE$57, MATCH($C31, $C$8:$C$57, 0), (COLUMNS($DC31:DM31)-1)*5 + 1) = INDEX($E$5:$CE$5, 1, (COLUMNS($DC31:DM31)-1)*5 + 1), INDEX($E$8:$CE$57, MATCH($C31, $C$8:$C$57, 0), (COLUMNS($DC31:DM31)-1)*5 + 4) = "F"), INDEX($CZ$8:$CZ$23, COLUMNS($DC31:DM31)), "0"), "")</f>
        <v>0</v>
      </c>
      <c r="DN31" s="390" t="str">
        <f t="array" ref="DN31">IFERROR(IF(AND(INDEX($E$8:$CE$57, MATCH($C31, $C$8:$C$57, 0), (COLUMNS($DC31:DN31)-1)*5 + 1) = INDEX($E$5:$CE$5, 1, (COLUMNS($DC31:DN31)-1)*5 + 1), INDEX($E$8:$CE$57, MATCH($C31, $C$8:$C$57, 0), (COLUMNS($DC31:DN31)-1)*5 + 4) = "F"), INDEX($CZ$8:$CZ$23, COLUMNS($DC31:DN31)), "0"), "")</f>
        <v>0</v>
      </c>
      <c r="DO31" s="390" t="str">
        <f t="array" ref="DO31">IFERROR(IF(AND(INDEX($E$8:$CE$57, MATCH($C31, $C$8:$C$57, 0), (COLUMNS($DC31:DO31)-1)*5 + 1) = INDEX($E$5:$CE$5, 1, (COLUMNS($DC31:DO31)-1)*5 + 1), INDEX($E$8:$CE$57, MATCH($C31, $C$8:$C$57, 0), (COLUMNS($DC31:DO31)-1)*5 + 4) = "F"), INDEX($CZ$8:$CZ$23, COLUMNS($DC31:DO31)), "0"), "")</f>
        <v>0</v>
      </c>
      <c r="DP31" s="390" t="str">
        <f t="array" ref="DP31">IFERROR(IF(AND(INDEX($E$8:$CE$57, MATCH($C31, $C$8:$C$57, 0), (COLUMNS($DC31:DP31)-1)*5 + 1) = INDEX($E$5:$CE$5, 1, (COLUMNS($DC31:DP31)-1)*5 + 1), INDEX($E$8:$CE$57, MATCH($C31, $C$8:$C$57, 0), (COLUMNS($DC31:DP31)-1)*5 + 4) = "F"), INDEX($CZ$8:$CZ$23, COLUMNS($DC31:DP31)), "0"), "")</f>
        <v>0</v>
      </c>
      <c r="DQ31" s="390" t="str">
        <f t="array" ref="DQ31">IFERROR(IF(AND(INDEX($E$8:$CE$57, MATCH($C31, $C$8:$C$57, 0), (COLUMNS($DC31:DQ31)-1)*5 + 1) = INDEX($E$5:$CE$5, 1, (COLUMNS($DC31:DQ31)-1)*5 + 1), INDEX($E$8:$CE$57, MATCH($C31, $C$8:$C$57, 0), (COLUMNS($DC31:DQ31)-1)*5 + 4) = "F"), INDEX($CZ$8:$CZ$23, COLUMNS($DC31:DQ31)), "0"), "")</f>
        <v>0</v>
      </c>
      <c r="DR31" s="390" t="str">
        <f t="array" ref="DR31">IFERROR(IF(AND(INDEX($E$8:$CE$57, MATCH($C31, $C$8:$C$57, 0), (COLUMNS($DC31:DR31)-1)*5 + 1) = INDEX($E$5:$CE$5, 1, (COLUMNS($DC31:DR31)-1)*5 + 1), INDEX($E$8:$CE$57, MATCH($C31, $C$8:$C$57, 0), (COLUMNS($DC31:DR31)-1)*5 + 4) = "F"), INDEX($CZ$8:$CZ$23, COLUMNS($DC31:DR31)), "0"), "")</f>
        <v>0</v>
      </c>
      <c r="DT31" s="537" t="str">
        <f>SEMANA29[[#This Row],[COD]]</f>
        <v>COD 24</v>
      </c>
      <c r="DU31" s="390" t="str">
        <f t="array" ref="DU31">IFERROR(IF(AND(INDEX($E$8:$CE$57, MATCH($C31, $C$8:$C$57, 0), (COLUMNS($DU31:DU31)-1)*5 + 1) = INDEX($E$5:$CE$5, 1, (COLUMNS($DU31:DU31)-1)*5 + 1), INDEX($E$8:$CE$57, MATCH($C31, $C$8:$C$57, 0), (COLUMNS($DU31:DU31)-1)*5 + 4) = "SF"), INDEX($CZ$8:$CZ$23, COLUMNS($DU31:DU31)), "0"), "")</f>
        <v>0</v>
      </c>
      <c r="DV31" s="390" t="str">
        <f t="array" ref="DV31">IFERROR(IF(AND(INDEX($E$8:$CE$57, MATCH($C31, $C$8:$C$57, 0), (COLUMNS($DU31:DV31)-1)*5 + 1) = INDEX($E$5:$CE$5, 1, (COLUMNS($DU31:DV31)-1)*5 + 1), INDEX($E$8:$CE$57, MATCH($C31, $C$8:$C$57, 0), (COLUMNS($DU31:DV31)-1)*5 + 4) = "SF"), INDEX($CZ$8:$CZ$23, COLUMNS($DU31:DV31)), "0"), "")</f>
        <v>0</v>
      </c>
      <c r="DW31" s="390" t="str">
        <f t="array" ref="DW31">IFERROR(IF(AND(INDEX($E$8:$CE$57, MATCH($C31, $C$8:$C$57, 0), (COLUMNS($DU31:DW31)-1)*5 + 1) = INDEX($E$5:$CE$5, 1, (COLUMNS($DU31:DW31)-1)*5 + 1), INDEX($E$8:$CE$57, MATCH($C31, $C$8:$C$57, 0), (COLUMNS($DU31:DW31)-1)*5 + 4) = "SF"), INDEX($CZ$8:$CZ$23, COLUMNS($DU31:DW31)), "0"), "")</f>
        <v>0</v>
      </c>
      <c r="DX31" s="390" t="str">
        <f t="array" ref="DX31">IFERROR(IF(AND(INDEX($E$8:$CE$57, MATCH($C31, $C$8:$C$57, 0), (COLUMNS($DU31:DX31)-1)*5 + 1) = INDEX($E$5:$CE$5, 1, (COLUMNS($DU31:DX31)-1)*5 + 1), INDEX($E$8:$CE$57, MATCH($C31, $C$8:$C$57, 0), (COLUMNS($DU31:DX31)-1)*5 + 4) = "SF"), INDEX($CZ$8:$CZ$23, COLUMNS($DU31:DX31)), "0"), "")</f>
        <v>0</v>
      </c>
      <c r="DY31" s="390" t="str">
        <f t="array" ref="DY31">IFERROR(IF(AND(INDEX($E$8:$CE$57, MATCH($C31, $C$8:$C$57, 0), (COLUMNS($DU31:DY31)-1)*5 + 1) = INDEX($E$5:$CE$5, 1, (COLUMNS($DU31:DY31)-1)*5 + 1), INDEX($E$8:$CE$57, MATCH($C31, $C$8:$C$57, 0), (COLUMNS($DU31:DY31)-1)*5 + 4) = "SF"), INDEX($CZ$8:$CZ$23, COLUMNS($DU31:DY31)), "0"), "")</f>
        <v>0</v>
      </c>
      <c r="DZ31" s="390" t="str">
        <f t="array" ref="DZ31">IFERROR(IF(AND(INDEX($E$8:$CE$57, MATCH($C31, $C$8:$C$57, 0), (COLUMNS($DU31:DZ31)-1)*5 + 1) = INDEX($E$5:$CE$5, 1, (COLUMNS($DU31:DZ31)-1)*5 + 1), INDEX($E$8:$CE$57, MATCH($C31, $C$8:$C$57, 0), (COLUMNS($DU31:DZ31)-1)*5 + 4) = "SF"), INDEX($CZ$8:$CZ$23, COLUMNS($DU31:DZ31)), "0"), "")</f>
        <v>0</v>
      </c>
      <c r="EA31" s="390" t="str">
        <f t="array" ref="EA31">IFERROR(IF(AND(INDEX($E$8:$CE$57, MATCH($C31, $C$8:$C$57, 0), (COLUMNS($DU31:EA31)-1)*5 + 1) = INDEX($E$5:$CE$5, 1, (COLUMNS($DU31:EA31)-1)*5 + 1), INDEX($E$8:$CE$57, MATCH($C31, $C$8:$C$57, 0), (COLUMNS($DU31:EA31)-1)*5 + 4) = "SF"), INDEX($CZ$8:$CZ$23, COLUMNS($DU31:EA31)), "0"), "")</f>
        <v>0</v>
      </c>
      <c r="EB31" s="390" t="str">
        <f t="array" ref="EB31">IFERROR(IF(AND(INDEX($E$8:$CE$57, MATCH($C31, $C$8:$C$57, 0), (COLUMNS($DU31:EB31)-1)*5 + 1) = INDEX($E$5:$CE$5, 1, (COLUMNS($DU31:EB31)-1)*5 + 1), INDEX($E$8:$CE$57, MATCH($C31, $C$8:$C$57, 0), (COLUMNS($DU31:EB31)-1)*5 + 4) = "SF"), INDEX($CZ$8:$CZ$23, COLUMNS($DU31:EB31)), "0"), "")</f>
        <v>0</v>
      </c>
      <c r="EC31" s="390" t="str">
        <f t="array" ref="EC31">IFERROR(IF(AND(INDEX($E$8:$CE$57, MATCH($C31, $C$8:$C$57, 0), (COLUMNS($DU31:EC31)-1)*5 + 1) = INDEX($E$5:$CE$5, 1, (COLUMNS($DU31:EC31)-1)*5 + 1), INDEX($E$8:$CE$57, MATCH($C31, $C$8:$C$57, 0), (COLUMNS($DU31:EC31)-1)*5 + 4) = "SF"), INDEX($CZ$8:$CZ$23, COLUMNS($DU31:EC31)), "0"), "")</f>
        <v>0</v>
      </c>
      <c r="ED31" s="390" t="str">
        <f t="array" ref="ED31">IFERROR(IF(AND(INDEX($E$8:$CE$57, MATCH($C31, $C$8:$C$57, 0), (COLUMNS($DU31:ED31)-1)*5 + 1) = INDEX($E$5:$CE$5, 1, (COLUMNS($DU31:ED31)-1)*5 + 1), INDEX($E$8:$CE$57, MATCH($C31, $C$8:$C$57, 0), (COLUMNS($DU31:ED31)-1)*5 + 4) = "SF"), INDEX($CZ$8:$CZ$23, COLUMNS($DU31:ED31)), "0"), "")</f>
        <v>0</v>
      </c>
      <c r="EE31" s="390" t="str">
        <f t="array" ref="EE31">IFERROR(IF(AND(INDEX($E$8:$CE$57, MATCH($C31, $C$8:$C$57, 0), (COLUMNS($DU31:EE31)-1)*5 + 1) = INDEX($E$5:$CE$5, 1, (COLUMNS($DU31:EE31)-1)*5 + 1), INDEX($E$8:$CE$57, MATCH($C31, $C$8:$C$57, 0), (COLUMNS($DU31:EE31)-1)*5 + 4) = "SF"), INDEX($CZ$8:$CZ$23, COLUMNS($DU31:EE31)), "0"), "")</f>
        <v>0</v>
      </c>
      <c r="EF31" s="390" t="str">
        <f t="array" ref="EF31">IFERROR(IF(AND(INDEX($E$8:$CE$57, MATCH($C31, $C$8:$C$57, 0), (COLUMNS($DU31:EF31)-1)*5 + 1) = INDEX($E$5:$CE$5, 1, (COLUMNS($DU31:EF31)-1)*5 + 1), INDEX($E$8:$CE$57, MATCH($C31, $C$8:$C$57, 0), (COLUMNS($DU31:EF31)-1)*5 + 4) = "SF"), INDEX($CZ$8:$CZ$23, COLUMNS($DU31:EF31)), "0"), "")</f>
        <v>0</v>
      </c>
      <c r="EG31" s="390" t="str">
        <f t="array" ref="EG31">IFERROR(IF(AND(INDEX($E$8:$CE$57, MATCH($C31, $C$8:$C$57, 0), (COLUMNS($DU31:EG31)-1)*5 + 1) = INDEX($E$5:$CE$5, 1, (COLUMNS($DU31:EG31)-1)*5 + 1), INDEX($E$8:$CE$57, MATCH($C31, $C$8:$C$57, 0), (COLUMNS($DU31:EG31)-1)*5 + 4) = "SF"), INDEX($CZ$8:$CZ$23, COLUMNS($DU31:EG31)), "0"), "")</f>
        <v>0</v>
      </c>
      <c r="EH31" s="390" t="str">
        <f t="array" ref="EH31">IFERROR(IF(AND(INDEX($E$8:$CE$57, MATCH($C31, $C$8:$C$57, 0), (COLUMNS($DU31:EH31)-1)*5 + 1) = INDEX($E$5:$CE$5, 1, (COLUMNS($DU31:EH31)-1)*5 + 1), INDEX($E$8:$CE$57, MATCH($C31, $C$8:$C$57, 0), (COLUMNS($DU31:EH31)-1)*5 + 4) = "SF"), INDEX($CZ$8:$CZ$23, COLUMNS($DU31:EH31)), "0"), "")</f>
        <v>0</v>
      </c>
      <c r="EI31" s="390" t="str">
        <f t="array" ref="EI31">IFERROR(IF(AND(INDEX($E$8:$CE$57, MATCH($C31, $C$8:$C$57, 0), (COLUMNS($DU31:EI31)-1)*5 + 1) = INDEX($E$5:$CE$5, 1, (COLUMNS($DU31:EI31)-1)*5 + 1), INDEX($E$8:$CE$57, MATCH($C31, $C$8:$C$57, 0), (COLUMNS($DU31:EI31)-1)*5 + 4) = "SF"), INDEX($CZ$8:$CZ$23, COLUMNS($DU31:EI31)), "0"), "")</f>
        <v>0</v>
      </c>
      <c r="EJ31" s="390" t="str">
        <f t="array" ref="EJ31">IFERROR(IF(AND(INDEX($E$8:$CE$57, MATCH($C31, $C$8:$C$57, 0), (COLUMNS($DU31:EJ31)-1)*5 + 1) = INDEX($E$5:$CE$5, 1, (COLUMNS($DU31:EJ31)-1)*5 + 1), INDEX($E$8:$CE$57, MATCH($C31, $C$8:$C$57, 0), (COLUMNS($DU31:EJ31)-1)*5 + 4) = "SF"), INDEX($CZ$8:$CZ$23, COLUMNS($DU31:EJ31)), "0"), "")</f>
        <v>0</v>
      </c>
    </row>
    <row r="32" spans="1:140" ht="19.5" customHeight="1" x14ac:dyDescent="0.35">
      <c r="A32" s="515"/>
      <c r="B32" s="444">
        <f>IF(SEMANA29[[#This Row],[COD]]&lt;&gt;"",B31+1,"")</f>
        <v>25</v>
      </c>
      <c r="C32" s="554" t="s">
        <v>80</v>
      </c>
      <c r="D32" s="410" t="str">
        <f t="array" ref="D32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32" s="411"/>
      <c r="F32" s="413"/>
      <c r="G32" s="413"/>
      <c r="H32" s="413"/>
      <c r="I32" s="534">
        <f t="shared" si="0"/>
        <v>0</v>
      </c>
      <c r="J32" s="411"/>
      <c r="K32" s="413"/>
      <c r="L32" s="413"/>
      <c r="M32" s="413"/>
      <c r="N32" s="534">
        <f t="shared" si="1"/>
        <v>0</v>
      </c>
      <c r="O32" s="411"/>
      <c r="P32" s="413"/>
      <c r="Q32" s="413"/>
      <c r="R32" s="413"/>
      <c r="S32" s="534">
        <f t="shared" si="2"/>
        <v>0</v>
      </c>
      <c r="T32" s="411"/>
      <c r="U32" s="413"/>
      <c r="V32" s="413"/>
      <c r="W32" s="413"/>
      <c r="X32" s="534">
        <f t="shared" si="3"/>
        <v>0</v>
      </c>
      <c r="Y32" s="411"/>
      <c r="Z32" s="413"/>
      <c r="AA32" s="413"/>
      <c r="AB32" s="413"/>
      <c r="AC32" s="534">
        <f t="shared" si="4"/>
        <v>0</v>
      </c>
      <c r="AD32" s="411"/>
      <c r="AE32" s="413"/>
      <c r="AF32" s="413"/>
      <c r="AG32" s="413"/>
      <c r="AH32" s="534">
        <f t="shared" si="5"/>
        <v>0</v>
      </c>
      <c r="AI32" s="411"/>
      <c r="AJ32" s="413"/>
      <c r="AK32" s="413"/>
      <c r="AL32" s="413"/>
      <c r="AM32" s="534">
        <f t="shared" si="6"/>
        <v>0</v>
      </c>
      <c r="AN32" s="411"/>
      <c r="AO32" s="413"/>
      <c r="AP32" s="413"/>
      <c r="AQ32" s="413"/>
      <c r="AR32" s="534">
        <f t="shared" si="7"/>
        <v>0</v>
      </c>
      <c r="AS32" s="411"/>
      <c r="AT32" s="413"/>
      <c r="AU32" s="413"/>
      <c r="AV32" s="413"/>
      <c r="AW32" s="534">
        <f t="shared" si="8"/>
        <v>0</v>
      </c>
      <c r="AX32" s="411"/>
      <c r="AY32" s="413"/>
      <c r="AZ32" s="413"/>
      <c r="BA32" s="413"/>
      <c r="BB32" s="534">
        <f t="shared" si="9"/>
        <v>0</v>
      </c>
      <c r="BC32" s="411"/>
      <c r="BD32" s="413"/>
      <c r="BE32" s="413"/>
      <c r="BF32" s="413"/>
      <c r="BG32" s="534">
        <f t="shared" si="10"/>
        <v>0</v>
      </c>
      <c r="BH32" s="411"/>
      <c r="BI32" s="413"/>
      <c r="BJ32" s="413"/>
      <c r="BK32" s="413"/>
      <c r="BL32" s="534">
        <f t="shared" si="11"/>
        <v>0</v>
      </c>
      <c r="BM32" s="411"/>
      <c r="BN32" s="413"/>
      <c r="BO32" s="413"/>
      <c r="BP32" s="413"/>
      <c r="BQ32" s="534">
        <f t="shared" si="12"/>
        <v>0</v>
      </c>
      <c r="BR32" s="411"/>
      <c r="BS32" s="413"/>
      <c r="BT32" s="413"/>
      <c r="BU32" s="413"/>
      <c r="BV32" s="534">
        <f t="shared" si="13"/>
        <v>0</v>
      </c>
      <c r="BW32" s="411"/>
      <c r="BX32" s="413"/>
      <c r="BY32" s="413"/>
      <c r="BZ32" s="413"/>
      <c r="CA32" s="534">
        <f t="shared" si="14"/>
        <v>0</v>
      </c>
      <c r="CB32" s="411"/>
      <c r="CC32" s="413"/>
      <c r="CD32" s="413"/>
      <c r="CE32" s="413"/>
      <c r="CF32" s="534">
        <f t="shared" si="15"/>
        <v>0</v>
      </c>
      <c r="CG32" s="162">
        <f>IF(SEMANA29[[#This Row],[1]]="",0,$B$4)</f>
        <v>0</v>
      </c>
      <c r="CH32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32" s="164">
        <f>IF(SEMANA29[[#This Row],[Columna14]]=0,0,(CH32/CG32))</f>
        <v>0</v>
      </c>
      <c r="CJ32" s="163">
        <f>IF(SEMANA29[[#This Row],[1]]="",0,$B$4)</f>
        <v>0</v>
      </c>
      <c r="CK32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32" s="164">
        <f>IF(SEMANA29[[#This Row],[Columna14]]=0,0,(CK32/CJ32))</f>
        <v>0</v>
      </c>
      <c r="CM32" s="162">
        <f>IF(SEMANA29[[#This Row],[1]]="",0,$B$4)</f>
        <v>0</v>
      </c>
      <c r="CN32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32" s="164">
        <f>IF(SEMANA29[[#This Row],[Columna14]]=0,0,(CN32/CM32))</f>
        <v>0</v>
      </c>
      <c r="CP32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32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Row],[Columna25]],$AX$5,BA32,"SF")+COUNTIFS(SEMANA29[[#This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32" s="164">
        <f>IFERROR(IF(SEMANA29[[#This Row],[Columna14]]=0,0,(CQ32/CP32)),0)</f>
        <v>0</v>
      </c>
      <c r="CS32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32" s="93">
        <f>_xlfn.XLOOKUP(SEMANA29[[#This Row],[COD]],SEMANA2[COD],SEMANA2[Columna33])</f>
        <v>73.5</v>
      </c>
      <c r="CU32" s="536">
        <f t="shared" si="16"/>
        <v>73.5</v>
      </c>
      <c r="CV32" s="445" t="str">
        <f>IF(SEMANA29[[#This Row],[TIPO]]="PREMIO",$O$3,"0,00")</f>
        <v>0,00</v>
      </c>
      <c r="CW32" s="515"/>
      <c r="CY32" s="387" t="str">
        <f t="shared" si="17"/>
        <v/>
      </c>
      <c r="CZ32" s="387"/>
      <c r="DA32" s="387" t="str">
        <f t="array" ref="DA32">IF(CZ32="", "", IF((INDEX(E$8:CE$57, MATCH(CZ32, C$8:C$57, 0), ($CZ$25-1)*5 + 1) &amp; "") = (INDEX(E$5:CE$5, 1, ($CZ$25-1)*5 + 1) &amp; ""), 1, IF((INDEX(E$8:CE$57, MATCH(CZ32, C$8:C$57, 0), ($CZ$25-1)*5 + 2) &amp; "") = (INDEX(E$5:CE$5, 1, ($CZ$25-1)*5 + 1) &amp; ""), 2, IF((INDEX(E$8:CE$57, MATCH(CZ32, C$8:C$57, 0), ($CZ$25-1)*5 + 3) &amp; "") = (INDEX(E$5:CE$5, 1, ($CZ$25-1)*5 + 1) &amp; ""), 3, ""))))</f>
        <v/>
      </c>
      <c r="DB32" s="537" t="str">
        <f>SEMANA29[[#This Row],[COD]]</f>
        <v>COD 25</v>
      </c>
      <c r="DC32" s="390" t="str">
        <f t="array" ref="DC32">IFERROR(IF(AND(INDEX($E$8:$CE$57, MATCH($C32, $C$8:$C$57, 0), (COLUMNS($DC32:DC32)-1)*5 + 1) = INDEX($E$5:$CE$5, 1, (COLUMNS($DC32:DC32)-1)*5 + 1), INDEX($E$8:$CE$57, MATCH($C32, $C$8:$C$57, 0), (COLUMNS($DC32:DC32)-1)*5 + 4) = "F"), INDEX($CZ$8:$CZ$23, COLUMNS($DC32:DC32)), "0"), "")</f>
        <v>0</v>
      </c>
      <c r="DD32" s="390" t="str">
        <f t="array" ref="DD32">IFERROR(IF(AND(INDEX($E$8:$CE$57, MATCH($C32, $C$8:$C$57, 0), (COLUMNS($DC32:DD32)-1)*5 + 1) = INDEX($E$5:$CE$5, 1, (COLUMNS($DC32:DD32)-1)*5 + 1), INDEX($E$8:$CE$57, MATCH($C32, $C$8:$C$57, 0), (COLUMNS($DC32:DD32)-1)*5 + 4) = "F"), INDEX($CZ$8:$CZ$23, COLUMNS($DC32:DD32)), "0"), "")</f>
        <v>0</v>
      </c>
      <c r="DE32" s="390" t="str">
        <f t="array" ref="DE32">IFERROR(IF(AND(INDEX($E$8:$CE$57, MATCH($C32, $C$8:$C$57, 0), (COLUMNS($DC32:DE32)-1)*5 + 1) = INDEX($E$5:$CE$5, 1, (COLUMNS($DC32:DE32)-1)*5 + 1), INDEX($E$8:$CE$57, MATCH($C32, $C$8:$C$57, 0), (COLUMNS($DC32:DE32)-1)*5 + 4) = "F"), INDEX($CZ$8:$CZ$23, COLUMNS($DC32:DE32)), "0"), "")</f>
        <v>0</v>
      </c>
      <c r="DF32" s="390" t="str">
        <f t="array" ref="DF32">IFERROR(IF(AND(INDEX($E$8:$CE$57, MATCH($C32, $C$8:$C$57, 0), (COLUMNS($DC32:DF32)-1)*5 + 1) = INDEX($E$5:$CE$5, 1, (COLUMNS($DC32:DF32)-1)*5 + 1), INDEX($E$8:$CE$57, MATCH($C32, $C$8:$C$57, 0), (COLUMNS($DC32:DF32)-1)*5 + 4) = "F"), INDEX($CZ$8:$CZ$23, COLUMNS($DC32:DF32)), "0"), "")</f>
        <v>0</v>
      </c>
      <c r="DG32" s="390" t="str">
        <f t="array" ref="DG32">IFERROR(IF(AND(INDEX($E$8:$CE$57, MATCH($C32, $C$8:$C$57, 0), (COLUMNS($DC32:DG32)-1)*5 + 1) = INDEX($E$5:$CE$5, 1, (COLUMNS($DC32:DG32)-1)*5 + 1), INDEX($E$8:$CE$57, MATCH($C32, $C$8:$C$57, 0), (COLUMNS($DC32:DG32)-1)*5 + 4) = "F"), INDEX($CZ$8:$CZ$23, COLUMNS($DC32:DG32)), "0"), "")</f>
        <v>0</v>
      </c>
      <c r="DH32" s="390" t="str">
        <f t="array" ref="DH32">IFERROR(IF(AND(INDEX($E$8:$CE$57, MATCH($C32, $C$8:$C$57, 0), (COLUMNS($DC32:DH32)-1)*5 + 1) = INDEX($E$5:$CE$5, 1, (COLUMNS($DC32:DH32)-1)*5 + 1), INDEX($E$8:$CE$57, MATCH($C32, $C$8:$C$57, 0), (COLUMNS($DC32:DH32)-1)*5 + 4) = "F"), INDEX($CZ$8:$CZ$23, COLUMNS($DC32:DH32)), "0"), "")</f>
        <v>0</v>
      </c>
      <c r="DI32" s="390" t="str">
        <f t="array" ref="DI32">IFERROR(IF(AND(INDEX($E$8:$CE$57, MATCH($C32, $C$8:$C$57, 0), (COLUMNS($DC32:DI32)-1)*5 + 1) = INDEX($E$5:$CE$5, 1, (COLUMNS($DC32:DI32)-1)*5 + 1), INDEX($E$8:$CE$57, MATCH($C32, $C$8:$C$57, 0), (COLUMNS($DC32:DI32)-1)*5 + 4) = "F"), INDEX($CZ$8:$CZ$23, COLUMNS($DC32:DI32)), "0"), "")</f>
        <v>0</v>
      </c>
      <c r="DJ32" s="390" t="str">
        <f t="array" ref="DJ32">IFERROR(IF(AND(INDEX($E$8:$CE$57, MATCH($C32, $C$8:$C$57, 0), (COLUMNS($DC32:DJ32)-1)*5 + 1) = INDEX($E$5:$CE$5, 1, (COLUMNS($DC32:DJ32)-1)*5 + 1), INDEX($E$8:$CE$57, MATCH($C32, $C$8:$C$57, 0), (COLUMNS($DC32:DJ32)-1)*5 + 4) = "F"), INDEX($CZ$8:$CZ$23, COLUMNS($DC32:DJ32)), "0"), "")</f>
        <v>0</v>
      </c>
      <c r="DK32" s="390" t="str">
        <f t="array" ref="DK32">IFERROR(IF(AND(INDEX($E$8:$CE$57, MATCH($C32, $C$8:$C$57, 0), (COLUMNS($DC32:DK32)-1)*5 + 1) = INDEX($E$5:$CE$5, 1, (COLUMNS($DC32:DK32)-1)*5 + 1), INDEX($E$8:$CE$57, MATCH($C32, $C$8:$C$57, 0), (COLUMNS($DC32:DK32)-1)*5 + 4) = "F"), INDEX($CZ$8:$CZ$23, COLUMNS($DC32:DK32)), "0"), "")</f>
        <v>0</v>
      </c>
      <c r="DL32" s="390" t="str">
        <f t="array" ref="DL32">IFERROR(IF(AND(INDEX($E$8:$CE$57, MATCH($C32, $C$8:$C$57, 0), (COLUMNS($DC32:DL32)-1)*5 + 1) = INDEX($E$5:$CE$5, 1, (COLUMNS($DC32:DL32)-1)*5 + 1), INDEX($E$8:$CE$57, MATCH($C32, $C$8:$C$57, 0), (COLUMNS($DC32:DL32)-1)*5 + 4) = "F"), INDEX($CZ$8:$CZ$23, COLUMNS($DC32:DL32)), "0"), "")</f>
        <v>0</v>
      </c>
      <c r="DM32" s="390" t="str">
        <f t="array" ref="DM32">IFERROR(IF(AND(INDEX($E$8:$CE$57, MATCH($C32, $C$8:$C$57, 0), (COLUMNS($DC32:DM32)-1)*5 + 1) = INDEX($E$5:$CE$5, 1, (COLUMNS($DC32:DM32)-1)*5 + 1), INDEX($E$8:$CE$57, MATCH($C32, $C$8:$C$57, 0), (COLUMNS($DC32:DM32)-1)*5 + 4) = "F"), INDEX($CZ$8:$CZ$23, COLUMNS($DC32:DM32)), "0"), "")</f>
        <v>0</v>
      </c>
      <c r="DN32" s="390" t="str">
        <f t="array" ref="DN32">IFERROR(IF(AND(INDEX($E$8:$CE$57, MATCH($C32, $C$8:$C$57, 0), (COLUMNS($DC32:DN32)-1)*5 + 1) = INDEX($E$5:$CE$5, 1, (COLUMNS($DC32:DN32)-1)*5 + 1), INDEX($E$8:$CE$57, MATCH($C32, $C$8:$C$57, 0), (COLUMNS($DC32:DN32)-1)*5 + 4) = "F"), INDEX($CZ$8:$CZ$23, COLUMNS($DC32:DN32)), "0"), "")</f>
        <v>0</v>
      </c>
      <c r="DO32" s="390" t="str">
        <f t="array" ref="DO32">IFERROR(IF(AND(INDEX($E$8:$CE$57, MATCH($C32, $C$8:$C$57, 0), (COLUMNS($DC32:DO32)-1)*5 + 1) = INDEX($E$5:$CE$5, 1, (COLUMNS($DC32:DO32)-1)*5 + 1), INDEX($E$8:$CE$57, MATCH($C32, $C$8:$C$57, 0), (COLUMNS($DC32:DO32)-1)*5 + 4) = "F"), INDEX($CZ$8:$CZ$23, COLUMNS($DC32:DO32)), "0"), "")</f>
        <v>0</v>
      </c>
      <c r="DP32" s="390" t="str">
        <f t="array" ref="DP32">IFERROR(IF(AND(INDEX($E$8:$CE$57, MATCH($C32, $C$8:$C$57, 0), (COLUMNS($DC32:DP32)-1)*5 + 1) = INDEX($E$5:$CE$5, 1, (COLUMNS($DC32:DP32)-1)*5 + 1), INDEX($E$8:$CE$57, MATCH($C32, $C$8:$C$57, 0), (COLUMNS($DC32:DP32)-1)*5 + 4) = "F"), INDEX($CZ$8:$CZ$23, COLUMNS($DC32:DP32)), "0"), "")</f>
        <v>0</v>
      </c>
      <c r="DQ32" s="390" t="str">
        <f t="array" ref="DQ32">IFERROR(IF(AND(INDEX($E$8:$CE$57, MATCH($C32, $C$8:$C$57, 0), (COLUMNS($DC32:DQ32)-1)*5 + 1) = INDEX($E$5:$CE$5, 1, (COLUMNS($DC32:DQ32)-1)*5 + 1), INDEX($E$8:$CE$57, MATCH($C32, $C$8:$C$57, 0), (COLUMNS($DC32:DQ32)-1)*5 + 4) = "F"), INDEX($CZ$8:$CZ$23, COLUMNS($DC32:DQ32)), "0"), "")</f>
        <v>0</v>
      </c>
      <c r="DR32" s="390" t="str">
        <f t="array" ref="DR32">IFERROR(IF(AND(INDEX($E$8:$CE$57, MATCH($C32, $C$8:$C$57, 0), (COLUMNS($DC32:DR32)-1)*5 + 1) = INDEX($E$5:$CE$5, 1, (COLUMNS($DC32:DR32)-1)*5 + 1), INDEX($E$8:$CE$57, MATCH($C32, $C$8:$C$57, 0), (COLUMNS($DC32:DR32)-1)*5 + 4) = "F"), INDEX($CZ$8:$CZ$23, COLUMNS($DC32:DR32)), "0"), "")</f>
        <v>0</v>
      </c>
      <c r="DT32" s="537" t="str">
        <f>SEMANA29[[#This Row],[COD]]</f>
        <v>COD 25</v>
      </c>
      <c r="DU32" s="390" t="str">
        <f t="array" ref="DU32">IFERROR(IF(AND(INDEX($E$8:$CE$57, MATCH($C32, $C$8:$C$57, 0), (COLUMNS($DU32:DU32)-1)*5 + 1) = INDEX($E$5:$CE$5, 1, (COLUMNS($DU32:DU32)-1)*5 + 1), INDEX($E$8:$CE$57, MATCH($C32, $C$8:$C$57, 0), (COLUMNS($DU32:DU32)-1)*5 + 4) = "SF"), INDEX($CZ$8:$CZ$23, COLUMNS($DU32:DU32)), "0"), "")</f>
        <v>0</v>
      </c>
      <c r="DV32" s="390" t="str">
        <f t="array" ref="DV32">IFERROR(IF(AND(INDEX($E$8:$CE$57, MATCH($C32, $C$8:$C$57, 0), (COLUMNS($DU32:DV32)-1)*5 + 1) = INDEX($E$5:$CE$5, 1, (COLUMNS($DU32:DV32)-1)*5 + 1), INDEX($E$8:$CE$57, MATCH($C32, $C$8:$C$57, 0), (COLUMNS($DU32:DV32)-1)*5 + 4) = "SF"), INDEX($CZ$8:$CZ$23, COLUMNS($DU32:DV32)), "0"), "")</f>
        <v>0</v>
      </c>
      <c r="DW32" s="390" t="str">
        <f t="array" ref="DW32">IFERROR(IF(AND(INDEX($E$8:$CE$57, MATCH($C32, $C$8:$C$57, 0), (COLUMNS($DU32:DW32)-1)*5 + 1) = INDEX($E$5:$CE$5, 1, (COLUMNS($DU32:DW32)-1)*5 + 1), INDEX($E$8:$CE$57, MATCH($C32, $C$8:$C$57, 0), (COLUMNS($DU32:DW32)-1)*5 + 4) = "SF"), INDEX($CZ$8:$CZ$23, COLUMNS($DU32:DW32)), "0"), "")</f>
        <v>0</v>
      </c>
      <c r="DX32" s="390" t="str">
        <f t="array" ref="DX32">IFERROR(IF(AND(INDEX($E$8:$CE$57, MATCH($C32, $C$8:$C$57, 0), (COLUMNS($DU32:DX32)-1)*5 + 1) = INDEX($E$5:$CE$5, 1, (COLUMNS($DU32:DX32)-1)*5 + 1), INDEX($E$8:$CE$57, MATCH($C32, $C$8:$C$57, 0), (COLUMNS($DU32:DX32)-1)*5 + 4) = "SF"), INDEX($CZ$8:$CZ$23, COLUMNS($DU32:DX32)), "0"), "")</f>
        <v>0</v>
      </c>
      <c r="DY32" s="390" t="str">
        <f t="array" ref="DY32">IFERROR(IF(AND(INDEX($E$8:$CE$57, MATCH($C32, $C$8:$C$57, 0), (COLUMNS($DU32:DY32)-1)*5 + 1) = INDEX($E$5:$CE$5, 1, (COLUMNS($DU32:DY32)-1)*5 + 1), INDEX($E$8:$CE$57, MATCH($C32, $C$8:$C$57, 0), (COLUMNS($DU32:DY32)-1)*5 + 4) = "SF"), INDEX($CZ$8:$CZ$23, COLUMNS($DU32:DY32)), "0"), "")</f>
        <v>0</v>
      </c>
      <c r="DZ32" s="390" t="str">
        <f t="array" ref="DZ32">IFERROR(IF(AND(INDEX($E$8:$CE$57, MATCH($C32, $C$8:$C$57, 0), (COLUMNS($DU32:DZ32)-1)*5 + 1) = INDEX($E$5:$CE$5, 1, (COLUMNS($DU32:DZ32)-1)*5 + 1), INDEX($E$8:$CE$57, MATCH($C32, $C$8:$C$57, 0), (COLUMNS($DU32:DZ32)-1)*5 + 4) = "SF"), INDEX($CZ$8:$CZ$23, COLUMNS($DU32:DZ32)), "0"), "")</f>
        <v>0</v>
      </c>
      <c r="EA32" s="390" t="str">
        <f t="array" ref="EA32">IFERROR(IF(AND(INDEX($E$8:$CE$57, MATCH($C32, $C$8:$C$57, 0), (COLUMNS($DU32:EA32)-1)*5 + 1) = INDEX($E$5:$CE$5, 1, (COLUMNS($DU32:EA32)-1)*5 + 1), INDEX($E$8:$CE$57, MATCH($C32, $C$8:$C$57, 0), (COLUMNS($DU32:EA32)-1)*5 + 4) = "SF"), INDEX($CZ$8:$CZ$23, COLUMNS($DU32:EA32)), "0"), "")</f>
        <v>0</v>
      </c>
      <c r="EB32" s="390" t="str">
        <f t="array" ref="EB32">IFERROR(IF(AND(INDEX($E$8:$CE$57, MATCH($C32, $C$8:$C$57, 0), (COLUMNS($DU32:EB32)-1)*5 + 1) = INDEX($E$5:$CE$5, 1, (COLUMNS($DU32:EB32)-1)*5 + 1), INDEX($E$8:$CE$57, MATCH($C32, $C$8:$C$57, 0), (COLUMNS($DU32:EB32)-1)*5 + 4) = "SF"), INDEX($CZ$8:$CZ$23, COLUMNS($DU32:EB32)), "0"), "")</f>
        <v>0</v>
      </c>
      <c r="EC32" s="390" t="str">
        <f t="array" ref="EC32">IFERROR(IF(AND(INDEX($E$8:$CE$57, MATCH($C32, $C$8:$C$57, 0), (COLUMNS($DU32:EC32)-1)*5 + 1) = INDEX($E$5:$CE$5, 1, (COLUMNS($DU32:EC32)-1)*5 + 1), INDEX($E$8:$CE$57, MATCH($C32, $C$8:$C$57, 0), (COLUMNS($DU32:EC32)-1)*5 + 4) = "SF"), INDEX($CZ$8:$CZ$23, COLUMNS($DU32:EC32)), "0"), "")</f>
        <v>0</v>
      </c>
      <c r="ED32" s="390" t="str">
        <f t="array" ref="ED32">IFERROR(IF(AND(INDEX($E$8:$CE$57, MATCH($C32, $C$8:$C$57, 0), (COLUMNS($DU32:ED32)-1)*5 + 1) = INDEX($E$5:$CE$5, 1, (COLUMNS($DU32:ED32)-1)*5 + 1), INDEX($E$8:$CE$57, MATCH($C32, $C$8:$C$57, 0), (COLUMNS($DU32:ED32)-1)*5 + 4) = "SF"), INDEX($CZ$8:$CZ$23, COLUMNS($DU32:ED32)), "0"), "")</f>
        <v>0</v>
      </c>
      <c r="EE32" s="390" t="str">
        <f t="array" ref="EE32">IFERROR(IF(AND(INDEX($E$8:$CE$57, MATCH($C32, $C$8:$C$57, 0), (COLUMNS($DU32:EE32)-1)*5 + 1) = INDEX($E$5:$CE$5, 1, (COLUMNS($DU32:EE32)-1)*5 + 1), INDEX($E$8:$CE$57, MATCH($C32, $C$8:$C$57, 0), (COLUMNS($DU32:EE32)-1)*5 + 4) = "SF"), INDEX($CZ$8:$CZ$23, COLUMNS($DU32:EE32)), "0"), "")</f>
        <v>0</v>
      </c>
      <c r="EF32" s="390" t="str">
        <f t="array" ref="EF32">IFERROR(IF(AND(INDEX($E$8:$CE$57, MATCH($C32, $C$8:$C$57, 0), (COLUMNS($DU32:EF32)-1)*5 + 1) = INDEX($E$5:$CE$5, 1, (COLUMNS($DU32:EF32)-1)*5 + 1), INDEX($E$8:$CE$57, MATCH($C32, $C$8:$C$57, 0), (COLUMNS($DU32:EF32)-1)*5 + 4) = "SF"), INDEX($CZ$8:$CZ$23, COLUMNS($DU32:EF32)), "0"), "")</f>
        <v>0</v>
      </c>
      <c r="EG32" s="390" t="str">
        <f t="array" ref="EG32">IFERROR(IF(AND(INDEX($E$8:$CE$57, MATCH($C32, $C$8:$C$57, 0), (COLUMNS($DU32:EG32)-1)*5 + 1) = INDEX($E$5:$CE$5, 1, (COLUMNS($DU32:EG32)-1)*5 + 1), INDEX($E$8:$CE$57, MATCH($C32, $C$8:$C$57, 0), (COLUMNS($DU32:EG32)-1)*5 + 4) = "SF"), INDEX($CZ$8:$CZ$23, COLUMNS($DU32:EG32)), "0"), "")</f>
        <v>0</v>
      </c>
      <c r="EH32" s="390" t="str">
        <f t="array" ref="EH32">IFERROR(IF(AND(INDEX($E$8:$CE$57, MATCH($C32, $C$8:$C$57, 0), (COLUMNS($DU32:EH32)-1)*5 + 1) = INDEX($E$5:$CE$5, 1, (COLUMNS($DU32:EH32)-1)*5 + 1), INDEX($E$8:$CE$57, MATCH($C32, $C$8:$C$57, 0), (COLUMNS($DU32:EH32)-1)*5 + 4) = "SF"), INDEX($CZ$8:$CZ$23, COLUMNS($DU32:EH32)), "0"), "")</f>
        <v>0</v>
      </c>
      <c r="EI32" s="390" t="str">
        <f t="array" ref="EI32">IFERROR(IF(AND(INDEX($E$8:$CE$57, MATCH($C32, $C$8:$C$57, 0), (COLUMNS($DU32:EI32)-1)*5 + 1) = INDEX($E$5:$CE$5, 1, (COLUMNS($DU32:EI32)-1)*5 + 1), INDEX($E$8:$CE$57, MATCH($C32, $C$8:$C$57, 0), (COLUMNS($DU32:EI32)-1)*5 + 4) = "SF"), INDEX($CZ$8:$CZ$23, COLUMNS($DU32:EI32)), "0"), "")</f>
        <v>0</v>
      </c>
      <c r="EJ32" s="390" t="str">
        <f t="array" ref="EJ32">IFERROR(IF(AND(INDEX($E$8:$CE$57, MATCH($C32, $C$8:$C$57, 0), (COLUMNS($DU32:EJ32)-1)*5 + 1) = INDEX($E$5:$CE$5, 1, (COLUMNS($DU32:EJ32)-1)*5 + 1), INDEX($E$8:$CE$57, MATCH($C32, $C$8:$C$57, 0), (COLUMNS($DU32:EJ32)-1)*5 + 4) = "SF"), INDEX($CZ$8:$CZ$23, COLUMNS($DU32:EJ32)), "0"), "")</f>
        <v>0</v>
      </c>
    </row>
    <row r="33" spans="1:140" ht="19.5" customHeight="1" x14ac:dyDescent="0.35">
      <c r="A33" s="515"/>
      <c r="B33" s="444">
        <f>IF(SEMANA29[[#This Row],[COD]]&lt;&gt;"",B32+1,"")</f>
        <v>26</v>
      </c>
      <c r="C33" s="554" t="s">
        <v>82</v>
      </c>
      <c r="D33" s="410" t="str">
        <f t="array" ref="D33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33" s="411"/>
      <c r="F33" s="413"/>
      <c r="G33" s="413"/>
      <c r="H33" s="413"/>
      <c r="I33" s="534">
        <f t="shared" si="0"/>
        <v>0</v>
      </c>
      <c r="J33" s="411"/>
      <c r="K33" s="413"/>
      <c r="L33" s="413"/>
      <c r="M33" s="413"/>
      <c r="N33" s="534">
        <f t="shared" si="1"/>
        <v>0</v>
      </c>
      <c r="O33" s="411"/>
      <c r="P33" s="413"/>
      <c r="Q33" s="413"/>
      <c r="R33" s="413"/>
      <c r="S33" s="534">
        <f t="shared" si="2"/>
        <v>0</v>
      </c>
      <c r="T33" s="411"/>
      <c r="U33" s="413"/>
      <c r="V33" s="413"/>
      <c r="W33" s="413"/>
      <c r="X33" s="534">
        <f t="shared" si="3"/>
        <v>0</v>
      </c>
      <c r="Y33" s="411"/>
      <c r="Z33" s="413"/>
      <c r="AA33" s="413"/>
      <c r="AB33" s="413"/>
      <c r="AC33" s="534">
        <f t="shared" si="4"/>
        <v>0</v>
      </c>
      <c r="AD33" s="411"/>
      <c r="AE33" s="413"/>
      <c r="AF33" s="413"/>
      <c r="AG33" s="413"/>
      <c r="AH33" s="534">
        <f t="shared" si="5"/>
        <v>0</v>
      </c>
      <c r="AI33" s="411"/>
      <c r="AJ33" s="413"/>
      <c r="AK33" s="413"/>
      <c r="AL33" s="413"/>
      <c r="AM33" s="534">
        <f t="shared" si="6"/>
        <v>0</v>
      </c>
      <c r="AN33" s="411"/>
      <c r="AO33" s="413"/>
      <c r="AP33" s="413"/>
      <c r="AQ33" s="413"/>
      <c r="AR33" s="534">
        <f t="shared" si="7"/>
        <v>0</v>
      </c>
      <c r="AS33" s="411"/>
      <c r="AT33" s="413"/>
      <c r="AU33" s="413"/>
      <c r="AV33" s="413"/>
      <c r="AW33" s="534">
        <f t="shared" si="8"/>
        <v>0</v>
      </c>
      <c r="AX33" s="411"/>
      <c r="AY33" s="413"/>
      <c r="AZ33" s="413"/>
      <c r="BA33" s="413"/>
      <c r="BB33" s="534">
        <f t="shared" si="9"/>
        <v>0</v>
      </c>
      <c r="BC33" s="411"/>
      <c r="BD33" s="413"/>
      <c r="BE33" s="413"/>
      <c r="BF33" s="413"/>
      <c r="BG33" s="534">
        <f t="shared" si="10"/>
        <v>0</v>
      </c>
      <c r="BH33" s="411"/>
      <c r="BI33" s="413"/>
      <c r="BJ33" s="413"/>
      <c r="BK33" s="413"/>
      <c r="BL33" s="534">
        <f t="shared" si="11"/>
        <v>0</v>
      </c>
      <c r="BM33" s="411"/>
      <c r="BN33" s="413"/>
      <c r="BO33" s="413"/>
      <c r="BP33" s="413"/>
      <c r="BQ33" s="534">
        <f t="shared" si="12"/>
        <v>0</v>
      </c>
      <c r="BR33" s="411"/>
      <c r="BS33" s="413"/>
      <c r="BT33" s="413"/>
      <c r="BU33" s="413"/>
      <c r="BV33" s="534">
        <f t="shared" si="13"/>
        <v>0</v>
      </c>
      <c r="BW33" s="411"/>
      <c r="BX33" s="413"/>
      <c r="BY33" s="413"/>
      <c r="BZ33" s="413"/>
      <c r="CA33" s="534">
        <f t="shared" si="14"/>
        <v>0</v>
      </c>
      <c r="CB33" s="411"/>
      <c r="CC33" s="413"/>
      <c r="CD33" s="413"/>
      <c r="CE33" s="413"/>
      <c r="CF33" s="534">
        <f t="shared" si="15"/>
        <v>0</v>
      </c>
      <c r="CG33" s="162">
        <f>IF(SEMANA29[[#This Row],[1]]="",0,$B$4)</f>
        <v>0</v>
      </c>
      <c r="CH33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33" s="164">
        <f>IF(SEMANA29[[#This Row],[Columna14]]=0,0,(CH33/CG33))</f>
        <v>0</v>
      </c>
      <c r="CJ33" s="163">
        <f>IF(SEMANA29[[#This Row],[1]]="",0,$B$4)</f>
        <v>0</v>
      </c>
      <c r="CK33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33" s="164">
        <f>IF(SEMANA29[[#This Row],[Columna14]]=0,0,(CK33/CJ33))</f>
        <v>0</v>
      </c>
      <c r="CM33" s="162">
        <f>IF(SEMANA29[[#This Row],[1]]="",0,$B$4)</f>
        <v>0</v>
      </c>
      <c r="CN33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33" s="164">
        <f>IF(SEMANA29[[#This Row],[Columna14]]=0,0,(CN33/CM33))</f>
        <v>0</v>
      </c>
      <c r="CP33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33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Row],[Columna25]],$AX$5,BA33,"SF")+COUNTIFS(SEMANA29[[#This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33" s="164">
        <f>IFERROR(IF(SEMANA29[[#This Row],[Columna14]]=0,0,(CQ33/CP33)),0)</f>
        <v>0</v>
      </c>
      <c r="CS33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33" s="93">
        <f>_xlfn.XLOOKUP(SEMANA29[[#This Row],[COD]],SEMANA2[COD],SEMANA2[Columna33])</f>
        <v>58.5</v>
      </c>
      <c r="CU33" s="536">
        <f t="shared" si="16"/>
        <v>58.5</v>
      </c>
      <c r="CV33" s="445" t="str">
        <f>IF(SEMANA29[[#This Row],[TIPO]]="PREMIO",$O$3,"0,00")</f>
        <v>0,00</v>
      </c>
      <c r="CW33" s="515"/>
      <c r="CY33" s="387" t="str">
        <f t="shared" si="17"/>
        <v/>
      </c>
      <c r="CZ33" s="387"/>
      <c r="DA33" s="387" t="str">
        <f t="array" ref="DA33">IF(CZ33="", "", IF((INDEX(E$8:CE$57, MATCH(CZ33, C$8:C$57, 0), ($CZ$25-1)*5 + 1) &amp; "") = (INDEX(E$5:CE$5, 1, ($CZ$25-1)*5 + 1) &amp; ""), 1, IF((INDEX(E$8:CE$57, MATCH(CZ33, C$8:C$57, 0), ($CZ$25-1)*5 + 2) &amp; "") = (INDEX(E$5:CE$5, 1, ($CZ$25-1)*5 + 1) &amp; ""), 2, IF((INDEX(E$8:CE$57, MATCH(CZ33, C$8:C$57, 0), ($CZ$25-1)*5 + 3) &amp; "") = (INDEX(E$5:CE$5, 1, ($CZ$25-1)*5 + 1) &amp; ""), 3, ""))))</f>
        <v/>
      </c>
      <c r="DB33" s="537" t="str">
        <f>SEMANA29[[#This Row],[COD]]</f>
        <v>COD 26</v>
      </c>
      <c r="DC33" s="390" t="str">
        <f t="array" ref="DC33">IFERROR(IF(AND(INDEX($E$8:$CE$57, MATCH($C33, $C$8:$C$57, 0), (COLUMNS($DC33:DC33)-1)*5 + 1) = INDEX($E$5:$CE$5, 1, (COLUMNS($DC33:DC33)-1)*5 + 1), INDEX($E$8:$CE$57, MATCH($C33, $C$8:$C$57, 0), (COLUMNS($DC33:DC33)-1)*5 + 4) = "F"), INDEX($CZ$8:$CZ$23, COLUMNS($DC33:DC33)), "0"), "")</f>
        <v>0</v>
      </c>
      <c r="DD33" s="390" t="str">
        <f t="array" ref="DD33">IFERROR(IF(AND(INDEX($E$8:$CE$57, MATCH($C33, $C$8:$C$57, 0), (COLUMNS($DC33:DD33)-1)*5 + 1) = INDEX($E$5:$CE$5, 1, (COLUMNS($DC33:DD33)-1)*5 + 1), INDEX($E$8:$CE$57, MATCH($C33, $C$8:$C$57, 0), (COLUMNS($DC33:DD33)-1)*5 + 4) = "F"), INDEX($CZ$8:$CZ$23, COLUMNS($DC33:DD33)), "0"), "")</f>
        <v>0</v>
      </c>
      <c r="DE33" s="390" t="str">
        <f t="array" ref="DE33">IFERROR(IF(AND(INDEX($E$8:$CE$57, MATCH($C33, $C$8:$C$57, 0), (COLUMNS($DC33:DE33)-1)*5 + 1) = INDEX($E$5:$CE$5, 1, (COLUMNS($DC33:DE33)-1)*5 + 1), INDEX($E$8:$CE$57, MATCH($C33, $C$8:$C$57, 0), (COLUMNS($DC33:DE33)-1)*5 + 4) = "F"), INDEX($CZ$8:$CZ$23, COLUMNS($DC33:DE33)), "0"), "")</f>
        <v>0</v>
      </c>
      <c r="DF33" s="390" t="str">
        <f t="array" ref="DF33">IFERROR(IF(AND(INDEX($E$8:$CE$57, MATCH($C33, $C$8:$C$57, 0), (COLUMNS($DC33:DF33)-1)*5 + 1) = INDEX($E$5:$CE$5, 1, (COLUMNS($DC33:DF33)-1)*5 + 1), INDEX($E$8:$CE$57, MATCH($C33, $C$8:$C$57, 0), (COLUMNS($DC33:DF33)-1)*5 + 4) = "F"), INDEX($CZ$8:$CZ$23, COLUMNS($DC33:DF33)), "0"), "")</f>
        <v>0</v>
      </c>
      <c r="DG33" s="390" t="str">
        <f t="array" ref="DG33">IFERROR(IF(AND(INDEX($E$8:$CE$57, MATCH($C33, $C$8:$C$57, 0), (COLUMNS($DC33:DG33)-1)*5 + 1) = INDEX($E$5:$CE$5, 1, (COLUMNS($DC33:DG33)-1)*5 + 1), INDEX($E$8:$CE$57, MATCH($C33, $C$8:$C$57, 0), (COLUMNS($DC33:DG33)-1)*5 + 4) = "F"), INDEX($CZ$8:$CZ$23, COLUMNS($DC33:DG33)), "0"), "")</f>
        <v>0</v>
      </c>
      <c r="DH33" s="390" t="str">
        <f t="array" ref="DH33">IFERROR(IF(AND(INDEX($E$8:$CE$57, MATCH($C33, $C$8:$C$57, 0), (COLUMNS($DC33:DH33)-1)*5 + 1) = INDEX($E$5:$CE$5, 1, (COLUMNS($DC33:DH33)-1)*5 + 1), INDEX($E$8:$CE$57, MATCH($C33, $C$8:$C$57, 0), (COLUMNS($DC33:DH33)-1)*5 + 4) = "F"), INDEX($CZ$8:$CZ$23, COLUMNS($DC33:DH33)), "0"), "")</f>
        <v>0</v>
      </c>
      <c r="DI33" s="390" t="str">
        <f t="array" ref="DI33">IFERROR(IF(AND(INDEX($E$8:$CE$57, MATCH($C33, $C$8:$C$57, 0), (COLUMNS($DC33:DI33)-1)*5 + 1) = INDEX($E$5:$CE$5, 1, (COLUMNS($DC33:DI33)-1)*5 + 1), INDEX($E$8:$CE$57, MATCH($C33, $C$8:$C$57, 0), (COLUMNS($DC33:DI33)-1)*5 + 4) = "F"), INDEX($CZ$8:$CZ$23, COLUMNS($DC33:DI33)), "0"), "")</f>
        <v>0</v>
      </c>
      <c r="DJ33" s="390" t="str">
        <f t="array" ref="DJ33">IFERROR(IF(AND(INDEX($E$8:$CE$57, MATCH($C33, $C$8:$C$57, 0), (COLUMNS($DC33:DJ33)-1)*5 + 1) = INDEX($E$5:$CE$5, 1, (COLUMNS($DC33:DJ33)-1)*5 + 1), INDEX($E$8:$CE$57, MATCH($C33, $C$8:$C$57, 0), (COLUMNS($DC33:DJ33)-1)*5 + 4) = "F"), INDEX($CZ$8:$CZ$23, COLUMNS($DC33:DJ33)), "0"), "")</f>
        <v>0</v>
      </c>
      <c r="DK33" s="390" t="str">
        <f t="array" ref="DK33">IFERROR(IF(AND(INDEX($E$8:$CE$57, MATCH($C33, $C$8:$C$57, 0), (COLUMNS($DC33:DK33)-1)*5 + 1) = INDEX($E$5:$CE$5, 1, (COLUMNS($DC33:DK33)-1)*5 + 1), INDEX($E$8:$CE$57, MATCH($C33, $C$8:$C$57, 0), (COLUMNS($DC33:DK33)-1)*5 + 4) = "F"), INDEX($CZ$8:$CZ$23, COLUMNS($DC33:DK33)), "0"), "")</f>
        <v>0</v>
      </c>
      <c r="DL33" s="390" t="str">
        <f t="array" ref="DL33">IFERROR(IF(AND(INDEX($E$8:$CE$57, MATCH($C33, $C$8:$C$57, 0), (COLUMNS($DC33:DL33)-1)*5 + 1) = INDEX($E$5:$CE$5, 1, (COLUMNS($DC33:DL33)-1)*5 + 1), INDEX($E$8:$CE$57, MATCH($C33, $C$8:$C$57, 0), (COLUMNS($DC33:DL33)-1)*5 + 4) = "F"), INDEX($CZ$8:$CZ$23, COLUMNS($DC33:DL33)), "0"), "")</f>
        <v>0</v>
      </c>
      <c r="DM33" s="390" t="str">
        <f t="array" ref="DM33">IFERROR(IF(AND(INDEX($E$8:$CE$57, MATCH($C33, $C$8:$C$57, 0), (COLUMNS($DC33:DM33)-1)*5 + 1) = INDEX($E$5:$CE$5, 1, (COLUMNS($DC33:DM33)-1)*5 + 1), INDEX($E$8:$CE$57, MATCH($C33, $C$8:$C$57, 0), (COLUMNS($DC33:DM33)-1)*5 + 4) = "F"), INDEX($CZ$8:$CZ$23, COLUMNS($DC33:DM33)), "0"), "")</f>
        <v>0</v>
      </c>
      <c r="DN33" s="390" t="str">
        <f t="array" ref="DN33">IFERROR(IF(AND(INDEX($E$8:$CE$57, MATCH($C33, $C$8:$C$57, 0), (COLUMNS($DC33:DN33)-1)*5 + 1) = INDEX($E$5:$CE$5, 1, (COLUMNS($DC33:DN33)-1)*5 + 1), INDEX($E$8:$CE$57, MATCH($C33, $C$8:$C$57, 0), (COLUMNS($DC33:DN33)-1)*5 + 4) = "F"), INDEX($CZ$8:$CZ$23, COLUMNS($DC33:DN33)), "0"), "")</f>
        <v>0</v>
      </c>
      <c r="DO33" s="390" t="str">
        <f t="array" ref="DO33">IFERROR(IF(AND(INDEX($E$8:$CE$57, MATCH($C33, $C$8:$C$57, 0), (COLUMNS($DC33:DO33)-1)*5 + 1) = INDEX($E$5:$CE$5, 1, (COLUMNS($DC33:DO33)-1)*5 + 1), INDEX($E$8:$CE$57, MATCH($C33, $C$8:$C$57, 0), (COLUMNS($DC33:DO33)-1)*5 + 4) = "F"), INDEX($CZ$8:$CZ$23, COLUMNS($DC33:DO33)), "0"), "")</f>
        <v>0</v>
      </c>
      <c r="DP33" s="390" t="str">
        <f t="array" ref="DP33">IFERROR(IF(AND(INDEX($E$8:$CE$57, MATCH($C33, $C$8:$C$57, 0), (COLUMNS($DC33:DP33)-1)*5 + 1) = INDEX($E$5:$CE$5, 1, (COLUMNS($DC33:DP33)-1)*5 + 1), INDEX($E$8:$CE$57, MATCH($C33, $C$8:$C$57, 0), (COLUMNS($DC33:DP33)-1)*5 + 4) = "F"), INDEX($CZ$8:$CZ$23, COLUMNS($DC33:DP33)), "0"), "")</f>
        <v>0</v>
      </c>
      <c r="DQ33" s="390" t="str">
        <f t="array" ref="DQ33">IFERROR(IF(AND(INDEX($E$8:$CE$57, MATCH($C33, $C$8:$C$57, 0), (COLUMNS($DC33:DQ33)-1)*5 + 1) = INDEX($E$5:$CE$5, 1, (COLUMNS($DC33:DQ33)-1)*5 + 1), INDEX($E$8:$CE$57, MATCH($C33, $C$8:$C$57, 0), (COLUMNS($DC33:DQ33)-1)*5 + 4) = "F"), INDEX($CZ$8:$CZ$23, COLUMNS($DC33:DQ33)), "0"), "")</f>
        <v>0</v>
      </c>
      <c r="DR33" s="390" t="str">
        <f t="array" ref="DR33">IFERROR(IF(AND(INDEX($E$8:$CE$57, MATCH($C33, $C$8:$C$57, 0), (COLUMNS($DC33:DR33)-1)*5 + 1) = INDEX($E$5:$CE$5, 1, (COLUMNS($DC33:DR33)-1)*5 + 1), INDEX($E$8:$CE$57, MATCH($C33, $C$8:$C$57, 0), (COLUMNS($DC33:DR33)-1)*5 + 4) = "F"), INDEX($CZ$8:$CZ$23, COLUMNS($DC33:DR33)), "0"), "")</f>
        <v>0</v>
      </c>
      <c r="DT33" s="537" t="str">
        <f>SEMANA29[[#This Row],[COD]]</f>
        <v>COD 26</v>
      </c>
      <c r="DU33" s="390" t="str">
        <f t="array" ref="DU33">IFERROR(IF(AND(INDEX($E$8:$CE$57, MATCH($C33, $C$8:$C$57, 0), (COLUMNS($DU33:DU33)-1)*5 + 1) = INDEX($E$5:$CE$5, 1, (COLUMNS($DU33:DU33)-1)*5 + 1), INDEX($E$8:$CE$57, MATCH($C33, $C$8:$C$57, 0), (COLUMNS($DU33:DU33)-1)*5 + 4) = "SF"), INDEX($CZ$8:$CZ$23, COLUMNS($DU33:DU33)), "0"), "")</f>
        <v>0</v>
      </c>
      <c r="DV33" s="390" t="str">
        <f t="array" ref="DV33">IFERROR(IF(AND(INDEX($E$8:$CE$57, MATCH($C33, $C$8:$C$57, 0), (COLUMNS($DU33:DV33)-1)*5 + 1) = INDEX($E$5:$CE$5, 1, (COLUMNS($DU33:DV33)-1)*5 + 1), INDEX($E$8:$CE$57, MATCH($C33, $C$8:$C$57, 0), (COLUMNS($DU33:DV33)-1)*5 + 4) = "SF"), INDEX($CZ$8:$CZ$23, COLUMNS($DU33:DV33)), "0"), "")</f>
        <v>0</v>
      </c>
      <c r="DW33" s="390" t="str">
        <f t="array" ref="DW33">IFERROR(IF(AND(INDEX($E$8:$CE$57, MATCH($C33, $C$8:$C$57, 0), (COLUMNS($DU33:DW33)-1)*5 + 1) = INDEX($E$5:$CE$5, 1, (COLUMNS($DU33:DW33)-1)*5 + 1), INDEX($E$8:$CE$57, MATCH($C33, $C$8:$C$57, 0), (COLUMNS($DU33:DW33)-1)*5 + 4) = "SF"), INDEX($CZ$8:$CZ$23, COLUMNS($DU33:DW33)), "0"), "")</f>
        <v>0</v>
      </c>
      <c r="DX33" s="390" t="str">
        <f t="array" ref="DX33">IFERROR(IF(AND(INDEX($E$8:$CE$57, MATCH($C33, $C$8:$C$57, 0), (COLUMNS($DU33:DX33)-1)*5 + 1) = INDEX($E$5:$CE$5, 1, (COLUMNS($DU33:DX33)-1)*5 + 1), INDEX($E$8:$CE$57, MATCH($C33, $C$8:$C$57, 0), (COLUMNS($DU33:DX33)-1)*5 + 4) = "SF"), INDEX($CZ$8:$CZ$23, COLUMNS($DU33:DX33)), "0"), "")</f>
        <v>0</v>
      </c>
      <c r="DY33" s="390" t="str">
        <f t="array" ref="DY33">IFERROR(IF(AND(INDEX($E$8:$CE$57, MATCH($C33, $C$8:$C$57, 0), (COLUMNS($DU33:DY33)-1)*5 + 1) = INDEX($E$5:$CE$5, 1, (COLUMNS($DU33:DY33)-1)*5 + 1), INDEX($E$8:$CE$57, MATCH($C33, $C$8:$C$57, 0), (COLUMNS($DU33:DY33)-1)*5 + 4) = "SF"), INDEX($CZ$8:$CZ$23, COLUMNS($DU33:DY33)), "0"), "")</f>
        <v>0</v>
      </c>
      <c r="DZ33" s="390" t="str">
        <f t="array" ref="DZ33">IFERROR(IF(AND(INDEX($E$8:$CE$57, MATCH($C33, $C$8:$C$57, 0), (COLUMNS($DU33:DZ33)-1)*5 + 1) = INDEX($E$5:$CE$5, 1, (COLUMNS($DU33:DZ33)-1)*5 + 1), INDEX($E$8:$CE$57, MATCH($C33, $C$8:$C$57, 0), (COLUMNS($DU33:DZ33)-1)*5 + 4) = "SF"), INDEX($CZ$8:$CZ$23, COLUMNS($DU33:DZ33)), "0"), "")</f>
        <v>0</v>
      </c>
      <c r="EA33" s="390" t="str">
        <f t="array" ref="EA33">IFERROR(IF(AND(INDEX($E$8:$CE$57, MATCH($C33, $C$8:$C$57, 0), (COLUMNS($DU33:EA33)-1)*5 + 1) = INDEX($E$5:$CE$5, 1, (COLUMNS($DU33:EA33)-1)*5 + 1), INDEX($E$8:$CE$57, MATCH($C33, $C$8:$C$57, 0), (COLUMNS($DU33:EA33)-1)*5 + 4) = "SF"), INDEX($CZ$8:$CZ$23, COLUMNS($DU33:EA33)), "0"), "")</f>
        <v>0</v>
      </c>
      <c r="EB33" s="390" t="str">
        <f t="array" ref="EB33">IFERROR(IF(AND(INDEX($E$8:$CE$57, MATCH($C33, $C$8:$C$57, 0), (COLUMNS($DU33:EB33)-1)*5 + 1) = INDEX($E$5:$CE$5, 1, (COLUMNS($DU33:EB33)-1)*5 + 1), INDEX($E$8:$CE$57, MATCH($C33, $C$8:$C$57, 0), (COLUMNS($DU33:EB33)-1)*5 + 4) = "SF"), INDEX($CZ$8:$CZ$23, COLUMNS($DU33:EB33)), "0"), "")</f>
        <v>0</v>
      </c>
      <c r="EC33" s="390" t="str">
        <f t="array" ref="EC33">IFERROR(IF(AND(INDEX($E$8:$CE$57, MATCH($C33, $C$8:$C$57, 0), (COLUMNS($DU33:EC33)-1)*5 + 1) = INDEX($E$5:$CE$5, 1, (COLUMNS($DU33:EC33)-1)*5 + 1), INDEX($E$8:$CE$57, MATCH($C33, $C$8:$C$57, 0), (COLUMNS($DU33:EC33)-1)*5 + 4) = "SF"), INDEX($CZ$8:$CZ$23, COLUMNS($DU33:EC33)), "0"), "")</f>
        <v>0</v>
      </c>
      <c r="ED33" s="390" t="str">
        <f t="array" ref="ED33">IFERROR(IF(AND(INDEX($E$8:$CE$57, MATCH($C33, $C$8:$C$57, 0), (COLUMNS($DU33:ED33)-1)*5 + 1) = INDEX($E$5:$CE$5, 1, (COLUMNS($DU33:ED33)-1)*5 + 1), INDEX($E$8:$CE$57, MATCH($C33, $C$8:$C$57, 0), (COLUMNS($DU33:ED33)-1)*5 + 4) = "SF"), INDEX($CZ$8:$CZ$23, COLUMNS($DU33:ED33)), "0"), "")</f>
        <v>0</v>
      </c>
      <c r="EE33" s="390" t="str">
        <f t="array" ref="EE33">IFERROR(IF(AND(INDEX($E$8:$CE$57, MATCH($C33, $C$8:$C$57, 0), (COLUMNS($DU33:EE33)-1)*5 + 1) = INDEX($E$5:$CE$5, 1, (COLUMNS($DU33:EE33)-1)*5 + 1), INDEX($E$8:$CE$57, MATCH($C33, $C$8:$C$57, 0), (COLUMNS($DU33:EE33)-1)*5 + 4) = "SF"), INDEX($CZ$8:$CZ$23, COLUMNS($DU33:EE33)), "0"), "")</f>
        <v>0</v>
      </c>
      <c r="EF33" s="390" t="str">
        <f t="array" ref="EF33">IFERROR(IF(AND(INDEX($E$8:$CE$57, MATCH($C33, $C$8:$C$57, 0), (COLUMNS($DU33:EF33)-1)*5 + 1) = INDEX($E$5:$CE$5, 1, (COLUMNS($DU33:EF33)-1)*5 + 1), INDEX($E$8:$CE$57, MATCH($C33, $C$8:$C$57, 0), (COLUMNS($DU33:EF33)-1)*5 + 4) = "SF"), INDEX($CZ$8:$CZ$23, COLUMNS($DU33:EF33)), "0"), "")</f>
        <v>0</v>
      </c>
      <c r="EG33" s="390" t="str">
        <f t="array" ref="EG33">IFERROR(IF(AND(INDEX($E$8:$CE$57, MATCH($C33, $C$8:$C$57, 0), (COLUMNS($DU33:EG33)-1)*5 + 1) = INDEX($E$5:$CE$5, 1, (COLUMNS($DU33:EG33)-1)*5 + 1), INDEX($E$8:$CE$57, MATCH($C33, $C$8:$C$57, 0), (COLUMNS($DU33:EG33)-1)*5 + 4) = "SF"), INDEX($CZ$8:$CZ$23, COLUMNS($DU33:EG33)), "0"), "")</f>
        <v>0</v>
      </c>
      <c r="EH33" s="390" t="str">
        <f t="array" ref="EH33">IFERROR(IF(AND(INDEX($E$8:$CE$57, MATCH($C33, $C$8:$C$57, 0), (COLUMNS($DU33:EH33)-1)*5 + 1) = INDEX($E$5:$CE$5, 1, (COLUMNS($DU33:EH33)-1)*5 + 1), INDEX($E$8:$CE$57, MATCH($C33, $C$8:$C$57, 0), (COLUMNS($DU33:EH33)-1)*5 + 4) = "SF"), INDEX($CZ$8:$CZ$23, COLUMNS($DU33:EH33)), "0"), "")</f>
        <v>0</v>
      </c>
      <c r="EI33" s="390" t="str">
        <f t="array" ref="EI33">IFERROR(IF(AND(INDEX($E$8:$CE$57, MATCH($C33, $C$8:$C$57, 0), (COLUMNS($DU33:EI33)-1)*5 + 1) = INDEX($E$5:$CE$5, 1, (COLUMNS($DU33:EI33)-1)*5 + 1), INDEX($E$8:$CE$57, MATCH($C33, $C$8:$C$57, 0), (COLUMNS($DU33:EI33)-1)*5 + 4) = "SF"), INDEX($CZ$8:$CZ$23, COLUMNS($DU33:EI33)), "0"), "")</f>
        <v>0</v>
      </c>
      <c r="EJ33" s="390" t="str">
        <f t="array" ref="EJ33">IFERROR(IF(AND(INDEX($E$8:$CE$57, MATCH($C33, $C$8:$C$57, 0), (COLUMNS($DU33:EJ33)-1)*5 + 1) = INDEX($E$5:$CE$5, 1, (COLUMNS($DU33:EJ33)-1)*5 + 1), INDEX($E$8:$CE$57, MATCH($C33, $C$8:$C$57, 0), (COLUMNS($DU33:EJ33)-1)*5 + 4) = "SF"), INDEX($CZ$8:$CZ$23, COLUMNS($DU33:EJ33)), "0"), "")</f>
        <v>0</v>
      </c>
    </row>
    <row r="34" spans="1:140" ht="19.5" customHeight="1" x14ac:dyDescent="0.35">
      <c r="A34" s="515"/>
      <c r="B34" s="444">
        <f>IF(SEMANA29[[#This Row],[COD]]&lt;&gt;"",B33+1,"")</f>
        <v>27</v>
      </c>
      <c r="C34" s="554" t="s">
        <v>84</v>
      </c>
      <c r="D34" s="410" t="str">
        <f t="array" ref="D34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34" s="411"/>
      <c r="F34" s="413"/>
      <c r="G34" s="413"/>
      <c r="H34" s="413"/>
      <c r="I34" s="534">
        <f t="shared" si="0"/>
        <v>0</v>
      </c>
      <c r="J34" s="411"/>
      <c r="K34" s="413"/>
      <c r="L34" s="413"/>
      <c r="M34" s="413"/>
      <c r="N34" s="534">
        <f t="shared" si="1"/>
        <v>0</v>
      </c>
      <c r="O34" s="411"/>
      <c r="P34" s="413"/>
      <c r="Q34" s="413"/>
      <c r="R34" s="413"/>
      <c r="S34" s="534">
        <f t="shared" si="2"/>
        <v>0</v>
      </c>
      <c r="T34" s="411"/>
      <c r="U34" s="413"/>
      <c r="V34" s="413"/>
      <c r="W34" s="413"/>
      <c r="X34" s="534">
        <f t="shared" si="3"/>
        <v>0</v>
      </c>
      <c r="Y34" s="411"/>
      <c r="Z34" s="413"/>
      <c r="AA34" s="413"/>
      <c r="AB34" s="413"/>
      <c r="AC34" s="534">
        <f t="shared" si="4"/>
        <v>0</v>
      </c>
      <c r="AD34" s="411"/>
      <c r="AE34" s="413"/>
      <c r="AF34" s="413"/>
      <c r="AG34" s="413"/>
      <c r="AH34" s="534">
        <f t="shared" si="5"/>
        <v>0</v>
      </c>
      <c r="AI34" s="411"/>
      <c r="AJ34" s="413"/>
      <c r="AK34" s="413"/>
      <c r="AL34" s="413"/>
      <c r="AM34" s="534">
        <f t="shared" si="6"/>
        <v>0</v>
      </c>
      <c r="AN34" s="411"/>
      <c r="AO34" s="413"/>
      <c r="AP34" s="413"/>
      <c r="AQ34" s="413"/>
      <c r="AR34" s="534">
        <f t="shared" si="7"/>
        <v>0</v>
      </c>
      <c r="AS34" s="411"/>
      <c r="AT34" s="413"/>
      <c r="AU34" s="413"/>
      <c r="AV34" s="413"/>
      <c r="AW34" s="534">
        <f t="shared" si="8"/>
        <v>0</v>
      </c>
      <c r="AX34" s="411"/>
      <c r="AY34" s="413"/>
      <c r="AZ34" s="413"/>
      <c r="BA34" s="413"/>
      <c r="BB34" s="534">
        <f t="shared" si="9"/>
        <v>0</v>
      </c>
      <c r="BC34" s="411"/>
      <c r="BD34" s="413"/>
      <c r="BE34" s="413"/>
      <c r="BF34" s="413"/>
      <c r="BG34" s="534">
        <f t="shared" si="10"/>
        <v>0</v>
      </c>
      <c r="BH34" s="411"/>
      <c r="BI34" s="413"/>
      <c r="BJ34" s="413"/>
      <c r="BK34" s="413"/>
      <c r="BL34" s="534">
        <f t="shared" si="11"/>
        <v>0</v>
      </c>
      <c r="BM34" s="411"/>
      <c r="BN34" s="413"/>
      <c r="BO34" s="413"/>
      <c r="BP34" s="413"/>
      <c r="BQ34" s="534">
        <f t="shared" si="12"/>
        <v>0</v>
      </c>
      <c r="BR34" s="411"/>
      <c r="BS34" s="413"/>
      <c r="BT34" s="413"/>
      <c r="BU34" s="413"/>
      <c r="BV34" s="534">
        <f t="shared" si="13"/>
        <v>0</v>
      </c>
      <c r="BW34" s="411"/>
      <c r="BX34" s="413"/>
      <c r="BY34" s="413"/>
      <c r="BZ34" s="413"/>
      <c r="CA34" s="534">
        <f t="shared" si="14"/>
        <v>0</v>
      </c>
      <c r="CB34" s="411"/>
      <c r="CC34" s="413"/>
      <c r="CD34" s="413"/>
      <c r="CE34" s="413"/>
      <c r="CF34" s="534">
        <f t="shared" si="15"/>
        <v>0</v>
      </c>
      <c r="CG34" s="162">
        <f>IF(SEMANA29[[#This Row],[1]]="",0,$B$4)</f>
        <v>0</v>
      </c>
      <c r="CH34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34" s="164">
        <f>IF(SEMANA29[[#This Row],[Columna14]]=0,0,(CH34/CG34))</f>
        <v>0</v>
      </c>
      <c r="CJ34" s="163">
        <f>IF(SEMANA29[[#This Row],[1]]="",0,$B$4)</f>
        <v>0</v>
      </c>
      <c r="CK34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34" s="164">
        <f>IF(SEMANA29[[#This Row],[Columna14]]=0,0,(CK34/CJ34))</f>
        <v>0</v>
      </c>
      <c r="CM34" s="162">
        <f>IF(SEMANA29[[#This Row],[1]]="",0,$B$4)</f>
        <v>0</v>
      </c>
      <c r="CN34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34" s="164">
        <f>IF(SEMANA29[[#This Row],[Columna14]]=0,0,(CN34/CM34))</f>
        <v>0</v>
      </c>
      <c r="CP34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34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Row],[Columna25]],$AX$5,BA34,"SF")+COUNTIFS(SEMANA29[[#This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34" s="164">
        <f>IFERROR(IF(SEMANA29[[#This Row],[Columna14]]=0,0,(CQ34/CP34)),0)</f>
        <v>0</v>
      </c>
      <c r="CS34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34" s="93">
        <f>_xlfn.XLOOKUP(SEMANA29[[#This Row],[COD]],SEMANA2[COD],SEMANA2[Columna33])</f>
        <v>70.5</v>
      </c>
      <c r="CU34" s="536">
        <f t="shared" si="16"/>
        <v>70.5</v>
      </c>
      <c r="CV34" s="445" t="str">
        <f>IF(SEMANA29[[#This Row],[TIPO]]="PREMIO",$O$3,"0,00")</f>
        <v>0,00</v>
      </c>
      <c r="CW34" s="515"/>
      <c r="CY34" s="387" t="str">
        <f t="shared" si="17"/>
        <v/>
      </c>
      <c r="CZ34" s="387"/>
      <c r="DA34" s="387" t="str">
        <f t="array" ref="DA34">IF(CZ34="", "", IF((INDEX(E$8:CE$57, MATCH(CZ34, C$8:C$57, 0), ($CZ$25-1)*5 + 1) &amp; "") = (INDEX(E$5:CE$5, 1, ($CZ$25-1)*5 + 1) &amp; ""), 1, IF((INDEX(E$8:CE$57, MATCH(CZ34, C$8:C$57, 0), ($CZ$25-1)*5 + 2) &amp; "") = (INDEX(E$5:CE$5, 1, ($CZ$25-1)*5 + 1) &amp; ""), 2, IF((INDEX(E$8:CE$57, MATCH(CZ34, C$8:C$57, 0), ($CZ$25-1)*5 + 3) &amp; "") = (INDEX(E$5:CE$5, 1, ($CZ$25-1)*5 + 1) &amp; ""), 3, ""))))</f>
        <v/>
      </c>
      <c r="DB34" s="537" t="str">
        <f>SEMANA29[[#This Row],[COD]]</f>
        <v>COD 27</v>
      </c>
      <c r="DC34" s="390" t="str">
        <f t="array" ref="DC34">IFERROR(IF(AND(INDEX($E$8:$CE$57, MATCH($C34, $C$8:$C$57, 0), (COLUMNS($DC34:DC34)-1)*5 + 1) = INDEX($E$5:$CE$5, 1, (COLUMNS($DC34:DC34)-1)*5 + 1), INDEX($E$8:$CE$57, MATCH($C34, $C$8:$C$57, 0), (COLUMNS($DC34:DC34)-1)*5 + 4) = "F"), INDEX($CZ$8:$CZ$23, COLUMNS($DC34:DC34)), "0"), "")</f>
        <v>0</v>
      </c>
      <c r="DD34" s="390" t="str">
        <f t="array" ref="DD34">IFERROR(IF(AND(INDEX($E$8:$CE$57, MATCH($C34, $C$8:$C$57, 0), (COLUMNS($DC34:DD34)-1)*5 + 1) = INDEX($E$5:$CE$5, 1, (COLUMNS($DC34:DD34)-1)*5 + 1), INDEX($E$8:$CE$57, MATCH($C34, $C$8:$C$57, 0), (COLUMNS($DC34:DD34)-1)*5 + 4) = "F"), INDEX($CZ$8:$CZ$23, COLUMNS($DC34:DD34)), "0"), "")</f>
        <v>0</v>
      </c>
      <c r="DE34" s="390" t="str">
        <f t="array" ref="DE34">IFERROR(IF(AND(INDEX($E$8:$CE$57, MATCH($C34, $C$8:$C$57, 0), (COLUMNS($DC34:DE34)-1)*5 + 1) = INDEX($E$5:$CE$5, 1, (COLUMNS($DC34:DE34)-1)*5 + 1), INDEX($E$8:$CE$57, MATCH($C34, $C$8:$C$57, 0), (COLUMNS($DC34:DE34)-1)*5 + 4) = "F"), INDEX($CZ$8:$CZ$23, COLUMNS($DC34:DE34)), "0"), "")</f>
        <v>0</v>
      </c>
      <c r="DF34" s="390" t="str">
        <f t="array" ref="DF34">IFERROR(IF(AND(INDEX($E$8:$CE$57, MATCH($C34, $C$8:$C$57, 0), (COLUMNS($DC34:DF34)-1)*5 + 1) = INDEX($E$5:$CE$5, 1, (COLUMNS($DC34:DF34)-1)*5 + 1), INDEX($E$8:$CE$57, MATCH($C34, $C$8:$C$57, 0), (COLUMNS($DC34:DF34)-1)*5 + 4) = "F"), INDEX($CZ$8:$CZ$23, COLUMNS($DC34:DF34)), "0"), "")</f>
        <v>0</v>
      </c>
      <c r="DG34" s="390" t="str">
        <f t="array" ref="DG34">IFERROR(IF(AND(INDEX($E$8:$CE$57, MATCH($C34, $C$8:$C$57, 0), (COLUMNS($DC34:DG34)-1)*5 + 1) = INDEX($E$5:$CE$5, 1, (COLUMNS($DC34:DG34)-1)*5 + 1), INDEX($E$8:$CE$57, MATCH($C34, $C$8:$C$57, 0), (COLUMNS($DC34:DG34)-1)*5 + 4) = "F"), INDEX($CZ$8:$CZ$23, COLUMNS($DC34:DG34)), "0"), "")</f>
        <v>0</v>
      </c>
      <c r="DH34" s="390" t="str">
        <f t="array" ref="DH34">IFERROR(IF(AND(INDEX($E$8:$CE$57, MATCH($C34, $C$8:$C$57, 0), (COLUMNS($DC34:DH34)-1)*5 + 1) = INDEX($E$5:$CE$5, 1, (COLUMNS($DC34:DH34)-1)*5 + 1), INDEX($E$8:$CE$57, MATCH($C34, $C$8:$C$57, 0), (COLUMNS($DC34:DH34)-1)*5 + 4) = "F"), INDEX($CZ$8:$CZ$23, COLUMNS($DC34:DH34)), "0"), "")</f>
        <v>0</v>
      </c>
      <c r="DI34" s="390" t="str">
        <f t="array" ref="DI34">IFERROR(IF(AND(INDEX($E$8:$CE$57, MATCH($C34, $C$8:$C$57, 0), (COLUMNS($DC34:DI34)-1)*5 + 1) = INDEX($E$5:$CE$5, 1, (COLUMNS($DC34:DI34)-1)*5 + 1), INDEX($E$8:$CE$57, MATCH($C34, $C$8:$C$57, 0), (COLUMNS($DC34:DI34)-1)*5 + 4) = "F"), INDEX($CZ$8:$CZ$23, COLUMNS($DC34:DI34)), "0"), "")</f>
        <v>0</v>
      </c>
      <c r="DJ34" s="390" t="str">
        <f t="array" ref="DJ34">IFERROR(IF(AND(INDEX($E$8:$CE$57, MATCH($C34, $C$8:$C$57, 0), (COLUMNS($DC34:DJ34)-1)*5 + 1) = INDEX($E$5:$CE$5, 1, (COLUMNS($DC34:DJ34)-1)*5 + 1), INDEX($E$8:$CE$57, MATCH($C34, $C$8:$C$57, 0), (COLUMNS($DC34:DJ34)-1)*5 + 4) = "F"), INDEX($CZ$8:$CZ$23, COLUMNS($DC34:DJ34)), "0"), "")</f>
        <v>0</v>
      </c>
      <c r="DK34" s="390" t="str">
        <f t="array" ref="DK34">IFERROR(IF(AND(INDEX($E$8:$CE$57, MATCH($C34, $C$8:$C$57, 0), (COLUMNS($DC34:DK34)-1)*5 + 1) = INDEX($E$5:$CE$5, 1, (COLUMNS($DC34:DK34)-1)*5 + 1), INDEX($E$8:$CE$57, MATCH($C34, $C$8:$C$57, 0), (COLUMNS($DC34:DK34)-1)*5 + 4) = "F"), INDEX($CZ$8:$CZ$23, COLUMNS($DC34:DK34)), "0"), "")</f>
        <v>0</v>
      </c>
      <c r="DL34" s="390" t="str">
        <f t="array" ref="DL34">IFERROR(IF(AND(INDEX($E$8:$CE$57, MATCH($C34, $C$8:$C$57, 0), (COLUMNS($DC34:DL34)-1)*5 + 1) = INDEX($E$5:$CE$5, 1, (COLUMNS($DC34:DL34)-1)*5 + 1), INDEX($E$8:$CE$57, MATCH($C34, $C$8:$C$57, 0), (COLUMNS($DC34:DL34)-1)*5 + 4) = "F"), INDEX($CZ$8:$CZ$23, COLUMNS($DC34:DL34)), "0"), "")</f>
        <v>0</v>
      </c>
      <c r="DM34" s="390" t="str">
        <f t="array" ref="DM34">IFERROR(IF(AND(INDEX($E$8:$CE$57, MATCH($C34, $C$8:$C$57, 0), (COLUMNS($DC34:DM34)-1)*5 + 1) = INDEX($E$5:$CE$5, 1, (COLUMNS($DC34:DM34)-1)*5 + 1), INDEX($E$8:$CE$57, MATCH($C34, $C$8:$C$57, 0), (COLUMNS($DC34:DM34)-1)*5 + 4) = "F"), INDEX($CZ$8:$CZ$23, COLUMNS($DC34:DM34)), "0"), "")</f>
        <v>0</v>
      </c>
      <c r="DN34" s="390" t="str">
        <f t="array" ref="DN34">IFERROR(IF(AND(INDEX($E$8:$CE$57, MATCH($C34, $C$8:$C$57, 0), (COLUMNS($DC34:DN34)-1)*5 + 1) = INDEX($E$5:$CE$5, 1, (COLUMNS($DC34:DN34)-1)*5 + 1), INDEX($E$8:$CE$57, MATCH($C34, $C$8:$C$57, 0), (COLUMNS($DC34:DN34)-1)*5 + 4) = "F"), INDEX($CZ$8:$CZ$23, COLUMNS($DC34:DN34)), "0"), "")</f>
        <v>0</v>
      </c>
      <c r="DO34" s="390" t="str">
        <f t="array" ref="DO34">IFERROR(IF(AND(INDEX($E$8:$CE$57, MATCH($C34, $C$8:$C$57, 0), (COLUMNS($DC34:DO34)-1)*5 + 1) = INDEX($E$5:$CE$5, 1, (COLUMNS($DC34:DO34)-1)*5 + 1), INDEX($E$8:$CE$57, MATCH($C34, $C$8:$C$57, 0), (COLUMNS($DC34:DO34)-1)*5 + 4) = "F"), INDEX($CZ$8:$CZ$23, COLUMNS($DC34:DO34)), "0"), "")</f>
        <v>0</v>
      </c>
      <c r="DP34" s="390" t="str">
        <f t="array" ref="DP34">IFERROR(IF(AND(INDEX($E$8:$CE$57, MATCH($C34, $C$8:$C$57, 0), (COLUMNS($DC34:DP34)-1)*5 + 1) = INDEX($E$5:$CE$5, 1, (COLUMNS($DC34:DP34)-1)*5 + 1), INDEX($E$8:$CE$57, MATCH($C34, $C$8:$C$57, 0), (COLUMNS($DC34:DP34)-1)*5 + 4) = "F"), INDEX($CZ$8:$CZ$23, COLUMNS($DC34:DP34)), "0"), "")</f>
        <v>0</v>
      </c>
      <c r="DQ34" s="390" t="str">
        <f t="array" ref="DQ34">IFERROR(IF(AND(INDEX($E$8:$CE$57, MATCH($C34, $C$8:$C$57, 0), (COLUMNS($DC34:DQ34)-1)*5 + 1) = INDEX($E$5:$CE$5, 1, (COLUMNS($DC34:DQ34)-1)*5 + 1), INDEX($E$8:$CE$57, MATCH($C34, $C$8:$C$57, 0), (COLUMNS($DC34:DQ34)-1)*5 + 4) = "F"), INDEX($CZ$8:$CZ$23, COLUMNS($DC34:DQ34)), "0"), "")</f>
        <v>0</v>
      </c>
      <c r="DR34" s="390" t="str">
        <f t="array" ref="DR34">IFERROR(IF(AND(INDEX($E$8:$CE$57, MATCH($C34, $C$8:$C$57, 0), (COLUMNS($DC34:DR34)-1)*5 + 1) = INDEX($E$5:$CE$5, 1, (COLUMNS($DC34:DR34)-1)*5 + 1), INDEX($E$8:$CE$57, MATCH($C34, $C$8:$C$57, 0), (COLUMNS($DC34:DR34)-1)*5 + 4) = "F"), INDEX($CZ$8:$CZ$23, COLUMNS($DC34:DR34)), "0"), "")</f>
        <v>0</v>
      </c>
      <c r="DT34" s="537" t="str">
        <f>SEMANA29[[#This Row],[COD]]</f>
        <v>COD 27</v>
      </c>
      <c r="DU34" s="390" t="str">
        <f t="array" ref="DU34">IFERROR(IF(AND(INDEX($E$8:$CE$57, MATCH($C34, $C$8:$C$57, 0), (COLUMNS($DU34:DU34)-1)*5 + 1) = INDEX($E$5:$CE$5, 1, (COLUMNS($DU34:DU34)-1)*5 + 1), INDEX($E$8:$CE$57, MATCH($C34, $C$8:$C$57, 0), (COLUMNS($DU34:DU34)-1)*5 + 4) = "SF"), INDEX($CZ$8:$CZ$23, COLUMNS($DU34:DU34)), "0"), "")</f>
        <v>0</v>
      </c>
      <c r="DV34" s="390" t="str">
        <f t="array" ref="DV34">IFERROR(IF(AND(INDEX($E$8:$CE$57, MATCH($C34, $C$8:$C$57, 0), (COLUMNS($DU34:DV34)-1)*5 + 1) = INDEX($E$5:$CE$5, 1, (COLUMNS($DU34:DV34)-1)*5 + 1), INDEX($E$8:$CE$57, MATCH($C34, $C$8:$C$57, 0), (COLUMNS($DU34:DV34)-1)*5 + 4) = "SF"), INDEX($CZ$8:$CZ$23, COLUMNS($DU34:DV34)), "0"), "")</f>
        <v>0</v>
      </c>
      <c r="DW34" s="390" t="str">
        <f t="array" ref="DW34">IFERROR(IF(AND(INDEX($E$8:$CE$57, MATCH($C34, $C$8:$C$57, 0), (COLUMNS($DU34:DW34)-1)*5 + 1) = INDEX($E$5:$CE$5, 1, (COLUMNS($DU34:DW34)-1)*5 + 1), INDEX($E$8:$CE$57, MATCH($C34, $C$8:$C$57, 0), (COLUMNS($DU34:DW34)-1)*5 + 4) = "SF"), INDEX($CZ$8:$CZ$23, COLUMNS($DU34:DW34)), "0"), "")</f>
        <v>0</v>
      </c>
      <c r="DX34" s="390" t="str">
        <f t="array" ref="DX34">IFERROR(IF(AND(INDEX($E$8:$CE$57, MATCH($C34, $C$8:$C$57, 0), (COLUMNS($DU34:DX34)-1)*5 + 1) = INDEX($E$5:$CE$5, 1, (COLUMNS($DU34:DX34)-1)*5 + 1), INDEX($E$8:$CE$57, MATCH($C34, $C$8:$C$57, 0), (COLUMNS($DU34:DX34)-1)*5 + 4) = "SF"), INDEX($CZ$8:$CZ$23, COLUMNS($DU34:DX34)), "0"), "")</f>
        <v>0</v>
      </c>
      <c r="DY34" s="390" t="str">
        <f t="array" ref="DY34">IFERROR(IF(AND(INDEX($E$8:$CE$57, MATCH($C34, $C$8:$C$57, 0), (COLUMNS($DU34:DY34)-1)*5 + 1) = INDEX($E$5:$CE$5, 1, (COLUMNS($DU34:DY34)-1)*5 + 1), INDEX($E$8:$CE$57, MATCH($C34, $C$8:$C$57, 0), (COLUMNS($DU34:DY34)-1)*5 + 4) = "SF"), INDEX($CZ$8:$CZ$23, COLUMNS($DU34:DY34)), "0"), "")</f>
        <v>0</v>
      </c>
      <c r="DZ34" s="390" t="str">
        <f t="array" ref="DZ34">IFERROR(IF(AND(INDEX($E$8:$CE$57, MATCH($C34, $C$8:$C$57, 0), (COLUMNS($DU34:DZ34)-1)*5 + 1) = INDEX($E$5:$CE$5, 1, (COLUMNS($DU34:DZ34)-1)*5 + 1), INDEX($E$8:$CE$57, MATCH($C34, $C$8:$C$57, 0), (COLUMNS($DU34:DZ34)-1)*5 + 4) = "SF"), INDEX($CZ$8:$CZ$23, COLUMNS($DU34:DZ34)), "0"), "")</f>
        <v>0</v>
      </c>
      <c r="EA34" s="390" t="str">
        <f t="array" ref="EA34">IFERROR(IF(AND(INDEX($E$8:$CE$57, MATCH($C34, $C$8:$C$57, 0), (COLUMNS($DU34:EA34)-1)*5 + 1) = INDEX($E$5:$CE$5, 1, (COLUMNS($DU34:EA34)-1)*5 + 1), INDEX($E$8:$CE$57, MATCH($C34, $C$8:$C$57, 0), (COLUMNS($DU34:EA34)-1)*5 + 4) = "SF"), INDEX($CZ$8:$CZ$23, COLUMNS($DU34:EA34)), "0"), "")</f>
        <v>0</v>
      </c>
      <c r="EB34" s="390" t="str">
        <f t="array" ref="EB34">IFERROR(IF(AND(INDEX($E$8:$CE$57, MATCH($C34, $C$8:$C$57, 0), (COLUMNS($DU34:EB34)-1)*5 + 1) = INDEX($E$5:$CE$5, 1, (COLUMNS($DU34:EB34)-1)*5 + 1), INDEX($E$8:$CE$57, MATCH($C34, $C$8:$C$57, 0), (COLUMNS($DU34:EB34)-1)*5 + 4) = "SF"), INDEX($CZ$8:$CZ$23, COLUMNS($DU34:EB34)), "0"), "")</f>
        <v>0</v>
      </c>
      <c r="EC34" s="390" t="str">
        <f t="array" ref="EC34">IFERROR(IF(AND(INDEX($E$8:$CE$57, MATCH($C34, $C$8:$C$57, 0), (COLUMNS($DU34:EC34)-1)*5 + 1) = INDEX($E$5:$CE$5, 1, (COLUMNS($DU34:EC34)-1)*5 + 1), INDEX($E$8:$CE$57, MATCH($C34, $C$8:$C$57, 0), (COLUMNS($DU34:EC34)-1)*5 + 4) = "SF"), INDEX($CZ$8:$CZ$23, COLUMNS($DU34:EC34)), "0"), "")</f>
        <v>0</v>
      </c>
      <c r="ED34" s="390" t="str">
        <f t="array" ref="ED34">IFERROR(IF(AND(INDEX($E$8:$CE$57, MATCH($C34, $C$8:$C$57, 0), (COLUMNS($DU34:ED34)-1)*5 + 1) = INDEX($E$5:$CE$5, 1, (COLUMNS($DU34:ED34)-1)*5 + 1), INDEX($E$8:$CE$57, MATCH($C34, $C$8:$C$57, 0), (COLUMNS($DU34:ED34)-1)*5 + 4) = "SF"), INDEX($CZ$8:$CZ$23, COLUMNS($DU34:ED34)), "0"), "")</f>
        <v>0</v>
      </c>
      <c r="EE34" s="390" t="str">
        <f t="array" ref="EE34">IFERROR(IF(AND(INDEX($E$8:$CE$57, MATCH($C34, $C$8:$C$57, 0), (COLUMNS($DU34:EE34)-1)*5 + 1) = INDEX($E$5:$CE$5, 1, (COLUMNS($DU34:EE34)-1)*5 + 1), INDEX($E$8:$CE$57, MATCH($C34, $C$8:$C$57, 0), (COLUMNS($DU34:EE34)-1)*5 + 4) = "SF"), INDEX($CZ$8:$CZ$23, COLUMNS($DU34:EE34)), "0"), "")</f>
        <v>0</v>
      </c>
      <c r="EF34" s="390" t="str">
        <f t="array" ref="EF34">IFERROR(IF(AND(INDEX($E$8:$CE$57, MATCH($C34, $C$8:$C$57, 0), (COLUMNS($DU34:EF34)-1)*5 + 1) = INDEX($E$5:$CE$5, 1, (COLUMNS($DU34:EF34)-1)*5 + 1), INDEX($E$8:$CE$57, MATCH($C34, $C$8:$C$57, 0), (COLUMNS($DU34:EF34)-1)*5 + 4) = "SF"), INDEX($CZ$8:$CZ$23, COLUMNS($DU34:EF34)), "0"), "")</f>
        <v>0</v>
      </c>
      <c r="EG34" s="390" t="str">
        <f t="array" ref="EG34">IFERROR(IF(AND(INDEX($E$8:$CE$57, MATCH($C34, $C$8:$C$57, 0), (COLUMNS($DU34:EG34)-1)*5 + 1) = INDEX($E$5:$CE$5, 1, (COLUMNS($DU34:EG34)-1)*5 + 1), INDEX($E$8:$CE$57, MATCH($C34, $C$8:$C$57, 0), (COLUMNS($DU34:EG34)-1)*5 + 4) = "SF"), INDEX($CZ$8:$CZ$23, COLUMNS($DU34:EG34)), "0"), "")</f>
        <v>0</v>
      </c>
      <c r="EH34" s="390" t="str">
        <f t="array" ref="EH34">IFERROR(IF(AND(INDEX($E$8:$CE$57, MATCH($C34, $C$8:$C$57, 0), (COLUMNS($DU34:EH34)-1)*5 + 1) = INDEX($E$5:$CE$5, 1, (COLUMNS($DU34:EH34)-1)*5 + 1), INDEX($E$8:$CE$57, MATCH($C34, $C$8:$C$57, 0), (COLUMNS($DU34:EH34)-1)*5 + 4) = "SF"), INDEX($CZ$8:$CZ$23, COLUMNS($DU34:EH34)), "0"), "")</f>
        <v>0</v>
      </c>
      <c r="EI34" s="390" t="str">
        <f t="array" ref="EI34">IFERROR(IF(AND(INDEX($E$8:$CE$57, MATCH($C34, $C$8:$C$57, 0), (COLUMNS($DU34:EI34)-1)*5 + 1) = INDEX($E$5:$CE$5, 1, (COLUMNS($DU34:EI34)-1)*5 + 1), INDEX($E$8:$CE$57, MATCH($C34, $C$8:$C$57, 0), (COLUMNS($DU34:EI34)-1)*5 + 4) = "SF"), INDEX($CZ$8:$CZ$23, COLUMNS($DU34:EI34)), "0"), "")</f>
        <v>0</v>
      </c>
      <c r="EJ34" s="390" t="str">
        <f t="array" ref="EJ34">IFERROR(IF(AND(INDEX($E$8:$CE$57, MATCH($C34, $C$8:$C$57, 0), (COLUMNS($DU34:EJ34)-1)*5 + 1) = INDEX($E$5:$CE$5, 1, (COLUMNS($DU34:EJ34)-1)*5 + 1), INDEX($E$8:$CE$57, MATCH($C34, $C$8:$C$57, 0), (COLUMNS($DU34:EJ34)-1)*5 + 4) = "SF"), INDEX($CZ$8:$CZ$23, COLUMNS($DU34:EJ34)), "0"), "")</f>
        <v>0</v>
      </c>
    </row>
    <row r="35" spans="1:140" ht="19.5" customHeight="1" x14ac:dyDescent="0.35">
      <c r="A35" s="515"/>
      <c r="B35" s="444">
        <f>IF(SEMANA29[[#This Row],[COD]]&lt;&gt;"",B34+1,"")</f>
        <v>28</v>
      </c>
      <c r="C35" s="554" t="s">
        <v>86</v>
      </c>
      <c r="D35" s="410" t="str">
        <f t="array" ref="D35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35" s="411"/>
      <c r="F35" s="413"/>
      <c r="G35" s="413"/>
      <c r="H35" s="413"/>
      <c r="I35" s="534">
        <f t="shared" si="0"/>
        <v>0</v>
      </c>
      <c r="J35" s="411"/>
      <c r="K35" s="413"/>
      <c r="L35" s="413"/>
      <c r="M35" s="413"/>
      <c r="N35" s="534">
        <f t="shared" si="1"/>
        <v>0</v>
      </c>
      <c r="O35" s="411"/>
      <c r="P35" s="413"/>
      <c r="Q35" s="413"/>
      <c r="R35" s="413"/>
      <c r="S35" s="534">
        <f t="shared" si="2"/>
        <v>0</v>
      </c>
      <c r="T35" s="411"/>
      <c r="U35" s="413"/>
      <c r="V35" s="413"/>
      <c r="W35" s="413"/>
      <c r="X35" s="534">
        <f t="shared" si="3"/>
        <v>0</v>
      </c>
      <c r="Y35" s="411"/>
      <c r="Z35" s="413"/>
      <c r="AA35" s="413"/>
      <c r="AB35" s="413"/>
      <c r="AC35" s="534">
        <f t="shared" si="4"/>
        <v>0</v>
      </c>
      <c r="AD35" s="411"/>
      <c r="AE35" s="413"/>
      <c r="AF35" s="413"/>
      <c r="AG35" s="413"/>
      <c r="AH35" s="534">
        <f t="shared" si="5"/>
        <v>0</v>
      </c>
      <c r="AI35" s="411"/>
      <c r="AJ35" s="413"/>
      <c r="AK35" s="413"/>
      <c r="AL35" s="413"/>
      <c r="AM35" s="534">
        <f t="shared" si="6"/>
        <v>0</v>
      </c>
      <c r="AN35" s="411"/>
      <c r="AO35" s="413"/>
      <c r="AP35" s="413"/>
      <c r="AQ35" s="413"/>
      <c r="AR35" s="534">
        <f t="shared" si="7"/>
        <v>0</v>
      </c>
      <c r="AS35" s="411"/>
      <c r="AT35" s="413"/>
      <c r="AU35" s="413"/>
      <c r="AV35" s="413"/>
      <c r="AW35" s="534">
        <f t="shared" si="8"/>
        <v>0</v>
      </c>
      <c r="AX35" s="411"/>
      <c r="AY35" s="413"/>
      <c r="AZ35" s="413"/>
      <c r="BA35" s="413"/>
      <c r="BB35" s="534">
        <f t="shared" si="9"/>
        <v>0</v>
      </c>
      <c r="BC35" s="411"/>
      <c r="BD35" s="413"/>
      <c r="BE35" s="413"/>
      <c r="BF35" s="413"/>
      <c r="BG35" s="534">
        <f t="shared" si="10"/>
        <v>0</v>
      </c>
      <c r="BH35" s="411"/>
      <c r="BI35" s="413"/>
      <c r="BJ35" s="413"/>
      <c r="BK35" s="413"/>
      <c r="BL35" s="534">
        <f t="shared" si="11"/>
        <v>0</v>
      </c>
      <c r="BM35" s="411"/>
      <c r="BN35" s="413"/>
      <c r="BO35" s="413"/>
      <c r="BP35" s="413"/>
      <c r="BQ35" s="534">
        <f t="shared" si="12"/>
        <v>0</v>
      </c>
      <c r="BR35" s="411"/>
      <c r="BS35" s="413"/>
      <c r="BT35" s="413"/>
      <c r="BU35" s="413"/>
      <c r="BV35" s="534">
        <f t="shared" si="13"/>
        <v>0</v>
      </c>
      <c r="BW35" s="411"/>
      <c r="BX35" s="413"/>
      <c r="BY35" s="413"/>
      <c r="BZ35" s="413"/>
      <c r="CA35" s="534">
        <f t="shared" si="14"/>
        <v>0</v>
      </c>
      <c r="CB35" s="411"/>
      <c r="CC35" s="413"/>
      <c r="CD35" s="413"/>
      <c r="CE35" s="413"/>
      <c r="CF35" s="534">
        <f t="shared" si="15"/>
        <v>0</v>
      </c>
      <c r="CG35" s="162">
        <f>IF(SEMANA29[[#This Row],[1]]="",0,$B$4)</f>
        <v>0</v>
      </c>
      <c r="CH35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35" s="164">
        <f>IF(SEMANA29[[#This Row],[Columna14]]=0,0,(CH35/CG35))</f>
        <v>0</v>
      </c>
      <c r="CJ35" s="163">
        <f>IF(SEMANA29[[#This Row],[1]]="",0,$B$4)</f>
        <v>0</v>
      </c>
      <c r="CK35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35" s="164">
        <f>IF(SEMANA29[[#This Row],[Columna14]]=0,0,(CK35/CJ35))</f>
        <v>0</v>
      </c>
      <c r="CM35" s="162">
        <f>IF(SEMANA29[[#This Row],[1]]="",0,$B$4)</f>
        <v>0</v>
      </c>
      <c r="CN35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35" s="164">
        <f>IF(SEMANA29[[#This Row],[Columna14]]=0,0,(CN35/CM35))</f>
        <v>0</v>
      </c>
      <c r="CP35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35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Row],[Columna25]],$AX$5,BA35,"SF")+COUNTIFS(SEMANA29[[#This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35" s="164">
        <f>IFERROR(IF(SEMANA29[[#This Row],[Columna14]]=0,0,(CQ35/CP35)),0)</f>
        <v>0</v>
      </c>
      <c r="CS35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35" s="93">
        <f>_xlfn.XLOOKUP(SEMANA29[[#This Row],[COD]],SEMANA2[COD],SEMANA2[Columna33])</f>
        <v>64.5</v>
      </c>
      <c r="CU35" s="536">
        <f t="shared" si="16"/>
        <v>64.5</v>
      </c>
      <c r="CV35" s="445" t="str">
        <f>IF(SEMANA29[[#This Row],[TIPO]]="PREMIO",$O$3,"0,00")</f>
        <v>0,00</v>
      </c>
      <c r="CW35" s="515"/>
      <c r="CY35" s="387" t="str">
        <f t="shared" si="17"/>
        <v/>
      </c>
      <c r="CZ35" s="387"/>
      <c r="DA35" s="387" t="str">
        <f t="array" ref="DA35">IF(CZ35="", "", IF((INDEX(E$8:CE$57, MATCH(CZ35, C$8:C$57, 0), ($CZ$25-1)*5 + 1) &amp; "") = (INDEX(E$5:CE$5, 1, ($CZ$25-1)*5 + 1) &amp; ""), 1, IF((INDEX(E$8:CE$57, MATCH(CZ35, C$8:C$57, 0), ($CZ$25-1)*5 + 2) &amp; "") = (INDEX(E$5:CE$5, 1, ($CZ$25-1)*5 + 1) &amp; ""), 2, IF((INDEX(E$8:CE$57, MATCH(CZ35, C$8:C$57, 0), ($CZ$25-1)*5 + 3) &amp; "") = (INDEX(E$5:CE$5, 1, ($CZ$25-1)*5 + 1) &amp; ""), 3, ""))))</f>
        <v/>
      </c>
      <c r="DB35" s="537" t="str">
        <f>SEMANA29[[#This Row],[COD]]</f>
        <v>COD 28</v>
      </c>
      <c r="DC35" s="390" t="str">
        <f t="array" ref="DC35">IFERROR(IF(AND(INDEX($E$8:$CE$57, MATCH($C35, $C$8:$C$57, 0), (COLUMNS($DC35:DC35)-1)*5 + 1) = INDEX($E$5:$CE$5, 1, (COLUMNS($DC35:DC35)-1)*5 + 1), INDEX($E$8:$CE$57, MATCH($C35, $C$8:$C$57, 0), (COLUMNS($DC35:DC35)-1)*5 + 4) = "F"), INDEX($CZ$8:$CZ$23, COLUMNS($DC35:DC35)), "0"), "")</f>
        <v>0</v>
      </c>
      <c r="DD35" s="390" t="str">
        <f t="array" ref="DD35">IFERROR(IF(AND(INDEX($E$8:$CE$57, MATCH($C35, $C$8:$C$57, 0), (COLUMNS($DC35:DD35)-1)*5 + 1) = INDEX($E$5:$CE$5, 1, (COLUMNS($DC35:DD35)-1)*5 + 1), INDEX($E$8:$CE$57, MATCH($C35, $C$8:$C$57, 0), (COLUMNS($DC35:DD35)-1)*5 + 4) = "F"), INDEX($CZ$8:$CZ$23, COLUMNS($DC35:DD35)), "0"), "")</f>
        <v>0</v>
      </c>
      <c r="DE35" s="390" t="str">
        <f t="array" ref="DE35">IFERROR(IF(AND(INDEX($E$8:$CE$57, MATCH($C35, $C$8:$C$57, 0), (COLUMNS($DC35:DE35)-1)*5 + 1) = INDEX($E$5:$CE$5, 1, (COLUMNS($DC35:DE35)-1)*5 + 1), INDEX($E$8:$CE$57, MATCH($C35, $C$8:$C$57, 0), (COLUMNS($DC35:DE35)-1)*5 + 4) = "F"), INDEX($CZ$8:$CZ$23, COLUMNS($DC35:DE35)), "0"), "")</f>
        <v>0</v>
      </c>
      <c r="DF35" s="390" t="str">
        <f t="array" ref="DF35">IFERROR(IF(AND(INDEX($E$8:$CE$57, MATCH($C35, $C$8:$C$57, 0), (COLUMNS($DC35:DF35)-1)*5 + 1) = INDEX($E$5:$CE$5, 1, (COLUMNS($DC35:DF35)-1)*5 + 1), INDEX($E$8:$CE$57, MATCH($C35, $C$8:$C$57, 0), (COLUMNS($DC35:DF35)-1)*5 + 4) = "F"), INDEX($CZ$8:$CZ$23, COLUMNS($DC35:DF35)), "0"), "")</f>
        <v>0</v>
      </c>
      <c r="DG35" s="390" t="str">
        <f t="array" ref="DG35">IFERROR(IF(AND(INDEX($E$8:$CE$57, MATCH($C35, $C$8:$C$57, 0), (COLUMNS($DC35:DG35)-1)*5 + 1) = INDEX($E$5:$CE$5, 1, (COLUMNS($DC35:DG35)-1)*5 + 1), INDEX($E$8:$CE$57, MATCH($C35, $C$8:$C$57, 0), (COLUMNS($DC35:DG35)-1)*5 + 4) = "F"), INDEX($CZ$8:$CZ$23, COLUMNS($DC35:DG35)), "0"), "")</f>
        <v>0</v>
      </c>
      <c r="DH35" s="390" t="str">
        <f t="array" ref="DH35">IFERROR(IF(AND(INDEX($E$8:$CE$57, MATCH($C35, $C$8:$C$57, 0), (COLUMNS($DC35:DH35)-1)*5 + 1) = INDEX($E$5:$CE$5, 1, (COLUMNS($DC35:DH35)-1)*5 + 1), INDEX($E$8:$CE$57, MATCH($C35, $C$8:$C$57, 0), (COLUMNS($DC35:DH35)-1)*5 + 4) = "F"), INDEX($CZ$8:$CZ$23, COLUMNS($DC35:DH35)), "0"), "")</f>
        <v>0</v>
      </c>
      <c r="DI35" s="390" t="str">
        <f t="array" ref="DI35">IFERROR(IF(AND(INDEX($E$8:$CE$57, MATCH($C35, $C$8:$C$57, 0), (COLUMNS($DC35:DI35)-1)*5 + 1) = INDEX($E$5:$CE$5, 1, (COLUMNS($DC35:DI35)-1)*5 + 1), INDEX($E$8:$CE$57, MATCH($C35, $C$8:$C$57, 0), (COLUMNS($DC35:DI35)-1)*5 + 4) = "F"), INDEX($CZ$8:$CZ$23, COLUMNS($DC35:DI35)), "0"), "")</f>
        <v>0</v>
      </c>
      <c r="DJ35" s="390" t="str">
        <f t="array" ref="DJ35">IFERROR(IF(AND(INDEX($E$8:$CE$57, MATCH($C35, $C$8:$C$57, 0), (COLUMNS($DC35:DJ35)-1)*5 + 1) = INDEX($E$5:$CE$5, 1, (COLUMNS($DC35:DJ35)-1)*5 + 1), INDEX($E$8:$CE$57, MATCH($C35, $C$8:$C$57, 0), (COLUMNS($DC35:DJ35)-1)*5 + 4) = "F"), INDEX($CZ$8:$CZ$23, COLUMNS($DC35:DJ35)), "0"), "")</f>
        <v>0</v>
      </c>
      <c r="DK35" s="390" t="str">
        <f t="array" ref="DK35">IFERROR(IF(AND(INDEX($E$8:$CE$57, MATCH($C35, $C$8:$C$57, 0), (COLUMNS($DC35:DK35)-1)*5 + 1) = INDEX($E$5:$CE$5, 1, (COLUMNS($DC35:DK35)-1)*5 + 1), INDEX($E$8:$CE$57, MATCH($C35, $C$8:$C$57, 0), (COLUMNS($DC35:DK35)-1)*5 + 4) = "F"), INDEX($CZ$8:$CZ$23, COLUMNS($DC35:DK35)), "0"), "")</f>
        <v>0</v>
      </c>
      <c r="DL35" s="390" t="str">
        <f t="array" ref="DL35">IFERROR(IF(AND(INDEX($E$8:$CE$57, MATCH($C35, $C$8:$C$57, 0), (COLUMNS($DC35:DL35)-1)*5 + 1) = INDEX($E$5:$CE$5, 1, (COLUMNS($DC35:DL35)-1)*5 + 1), INDEX($E$8:$CE$57, MATCH($C35, $C$8:$C$57, 0), (COLUMNS($DC35:DL35)-1)*5 + 4) = "F"), INDEX($CZ$8:$CZ$23, COLUMNS($DC35:DL35)), "0"), "")</f>
        <v>0</v>
      </c>
      <c r="DM35" s="390" t="str">
        <f t="array" ref="DM35">IFERROR(IF(AND(INDEX($E$8:$CE$57, MATCH($C35, $C$8:$C$57, 0), (COLUMNS($DC35:DM35)-1)*5 + 1) = INDEX($E$5:$CE$5, 1, (COLUMNS($DC35:DM35)-1)*5 + 1), INDEX($E$8:$CE$57, MATCH($C35, $C$8:$C$57, 0), (COLUMNS($DC35:DM35)-1)*5 + 4) = "F"), INDEX($CZ$8:$CZ$23, COLUMNS($DC35:DM35)), "0"), "")</f>
        <v>0</v>
      </c>
      <c r="DN35" s="390" t="str">
        <f t="array" ref="DN35">IFERROR(IF(AND(INDEX($E$8:$CE$57, MATCH($C35, $C$8:$C$57, 0), (COLUMNS($DC35:DN35)-1)*5 + 1) = INDEX($E$5:$CE$5, 1, (COLUMNS($DC35:DN35)-1)*5 + 1), INDEX($E$8:$CE$57, MATCH($C35, $C$8:$C$57, 0), (COLUMNS($DC35:DN35)-1)*5 + 4) = "F"), INDEX($CZ$8:$CZ$23, COLUMNS($DC35:DN35)), "0"), "")</f>
        <v>0</v>
      </c>
      <c r="DO35" s="390" t="str">
        <f t="array" ref="DO35">IFERROR(IF(AND(INDEX($E$8:$CE$57, MATCH($C35, $C$8:$C$57, 0), (COLUMNS($DC35:DO35)-1)*5 + 1) = INDEX($E$5:$CE$5, 1, (COLUMNS($DC35:DO35)-1)*5 + 1), INDEX($E$8:$CE$57, MATCH($C35, $C$8:$C$57, 0), (COLUMNS($DC35:DO35)-1)*5 + 4) = "F"), INDEX($CZ$8:$CZ$23, COLUMNS($DC35:DO35)), "0"), "")</f>
        <v>0</v>
      </c>
      <c r="DP35" s="390" t="str">
        <f t="array" ref="DP35">IFERROR(IF(AND(INDEX($E$8:$CE$57, MATCH($C35, $C$8:$C$57, 0), (COLUMNS($DC35:DP35)-1)*5 + 1) = INDEX($E$5:$CE$5, 1, (COLUMNS($DC35:DP35)-1)*5 + 1), INDEX($E$8:$CE$57, MATCH($C35, $C$8:$C$57, 0), (COLUMNS($DC35:DP35)-1)*5 + 4) = "F"), INDEX($CZ$8:$CZ$23, COLUMNS($DC35:DP35)), "0"), "")</f>
        <v>0</v>
      </c>
      <c r="DQ35" s="390" t="str">
        <f t="array" ref="DQ35">IFERROR(IF(AND(INDEX($E$8:$CE$57, MATCH($C35, $C$8:$C$57, 0), (COLUMNS($DC35:DQ35)-1)*5 + 1) = INDEX($E$5:$CE$5, 1, (COLUMNS($DC35:DQ35)-1)*5 + 1), INDEX($E$8:$CE$57, MATCH($C35, $C$8:$C$57, 0), (COLUMNS($DC35:DQ35)-1)*5 + 4) = "F"), INDEX($CZ$8:$CZ$23, COLUMNS($DC35:DQ35)), "0"), "")</f>
        <v>0</v>
      </c>
      <c r="DR35" s="390" t="str">
        <f t="array" ref="DR35">IFERROR(IF(AND(INDEX($E$8:$CE$57, MATCH($C35, $C$8:$C$57, 0), (COLUMNS($DC35:DR35)-1)*5 + 1) = INDEX($E$5:$CE$5, 1, (COLUMNS($DC35:DR35)-1)*5 + 1), INDEX($E$8:$CE$57, MATCH($C35, $C$8:$C$57, 0), (COLUMNS($DC35:DR35)-1)*5 + 4) = "F"), INDEX($CZ$8:$CZ$23, COLUMNS($DC35:DR35)), "0"), "")</f>
        <v>0</v>
      </c>
      <c r="DT35" s="537" t="str">
        <f>SEMANA29[[#This Row],[COD]]</f>
        <v>COD 28</v>
      </c>
      <c r="DU35" s="390" t="str">
        <f t="array" ref="DU35">IFERROR(IF(AND(INDEX($E$8:$CE$57, MATCH($C35, $C$8:$C$57, 0), (COLUMNS($DU35:DU35)-1)*5 + 1) = INDEX($E$5:$CE$5, 1, (COLUMNS($DU35:DU35)-1)*5 + 1), INDEX($E$8:$CE$57, MATCH($C35, $C$8:$C$57, 0), (COLUMNS($DU35:DU35)-1)*5 + 4) = "SF"), INDEX($CZ$8:$CZ$23, COLUMNS($DU35:DU35)), "0"), "")</f>
        <v>0</v>
      </c>
      <c r="DV35" s="390" t="str">
        <f t="array" ref="DV35">IFERROR(IF(AND(INDEX($E$8:$CE$57, MATCH($C35, $C$8:$C$57, 0), (COLUMNS($DU35:DV35)-1)*5 + 1) = INDEX($E$5:$CE$5, 1, (COLUMNS($DU35:DV35)-1)*5 + 1), INDEX($E$8:$CE$57, MATCH($C35, $C$8:$C$57, 0), (COLUMNS($DU35:DV35)-1)*5 + 4) = "SF"), INDEX($CZ$8:$CZ$23, COLUMNS($DU35:DV35)), "0"), "")</f>
        <v>0</v>
      </c>
      <c r="DW35" s="390" t="str">
        <f t="array" ref="DW35">IFERROR(IF(AND(INDEX($E$8:$CE$57, MATCH($C35, $C$8:$C$57, 0), (COLUMNS($DU35:DW35)-1)*5 + 1) = INDEX($E$5:$CE$5, 1, (COLUMNS($DU35:DW35)-1)*5 + 1), INDEX($E$8:$CE$57, MATCH($C35, $C$8:$C$57, 0), (COLUMNS($DU35:DW35)-1)*5 + 4) = "SF"), INDEX($CZ$8:$CZ$23, COLUMNS($DU35:DW35)), "0"), "")</f>
        <v>0</v>
      </c>
      <c r="DX35" s="390" t="str">
        <f t="array" ref="DX35">IFERROR(IF(AND(INDEX($E$8:$CE$57, MATCH($C35, $C$8:$C$57, 0), (COLUMNS($DU35:DX35)-1)*5 + 1) = INDEX($E$5:$CE$5, 1, (COLUMNS($DU35:DX35)-1)*5 + 1), INDEX($E$8:$CE$57, MATCH($C35, $C$8:$C$57, 0), (COLUMNS($DU35:DX35)-1)*5 + 4) = "SF"), INDEX($CZ$8:$CZ$23, COLUMNS($DU35:DX35)), "0"), "")</f>
        <v>0</v>
      </c>
      <c r="DY35" s="390" t="str">
        <f t="array" ref="DY35">IFERROR(IF(AND(INDEX($E$8:$CE$57, MATCH($C35, $C$8:$C$57, 0), (COLUMNS($DU35:DY35)-1)*5 + 1) = INDEX($E$5:$CE$5, 1, (COLUMNS($DU35:DY35)-1)*5 + 1), INDEX($E$8:$CE$57, MATCH($C35, $C$8:$C$57, 0), (COLUMNS($DU35:DY35)-1)*5 + 4) = "SF"), INDEX($CZ$8:$CZ$23, COLUMNS($DU35:DY35)), "0"), "")</f>
        <v>0</v>
      </c>
      <c r="DZ35" s="390" t="str">
        <f t="array" ref="DZ35">IFERROR(IF(AND(INDEX($E$8:$CE$57, MATCH($C35, $C$8:$C$57, 0), (COLUMNS($DU35:DZ35)-1)*5 + 1) = INDEX($E$5:$CE$5, 1, (COLUMNS($DU35:DZ35)-1)*5 + 1), INDEX($E$8:$CE$57, MATCH($C35, $C$8:$C$57, 0), (COLUMNS($DU35:DZ35)-1)*5 + 4) = "SF"), INDEX($CZ$8:$CZ$23, COLUMNS($DU35:DZ35)), "0"), "")</f>
        <v>0</v>
      </c>
      <c r="EA35" s="390" t="str">
        <f t="array" ref="EA35">IFERROR(IF(AND(INDEX($E$8:$CE$57, MATCH($C35, $C$8:$C$57, 0), (COLUMNS($DU35:EA35)-1)*5 + 1) = INDEX($E$5:$CE$5, 1, (COLUMNS($DU35:EA35)-1)*5 + 1), INDEX($E$8:$CE$57, MATCH($C35, $C$8:$C$57, 0), (COLUMNS($DU35:EA35)-1)*5 + 4) = "SF"), INDEX($CZ$8:$CZ$23, COLUMNS($DU35:EA35)), "0"), "")</f>
        <v>0</v>
      </c>
      <c r="EB35" s="390" t="str">
        <f t="array" ref="EB35">IFERROR(IF(AND(INDEX($E$8:$CE$57, MATCH($C35, $C$8:$C$57, 0), (COLUMNS($DU35:EB35)-1)*5 + 1) = INDEX($E$5:$CE$5, 1, (COLUMNS($DU35:EB35)-1)*5 + 1), INDEX($E$8:$CE$57, MATCH($C35, $C$8:$C$57, 0), (COLUMNS($DU35:EB35)-1)*5 + 4) = "SF"), INDEX($CZ$8:$CZ$23, COLUMNS($DU35:EB35)), "0"), "")</f>
        <v>0</v>
      </c>
      <c r="EC35" s="390" t="str">
        <f t="array" ref="EC35">IFERROR(IF(AND(INDEX($E$8:$CE$57, MATCH($C35, $C$8:$C$57, 0), (COLUMNS($DU35:EC35)-1)*5 + 1) = INDEX($E$5:$CE$5, 1, (COLUMNS($DU35:EC35)-1)*5 + 1), INDEX($E$8:$CE$57, MATCH($C35, $C$8:$C$57, 0), (COLUMNS($DU35:EC35)-1)*5 + 4) = "SF"), INDEX($CZ$8:$CZ$23, COLUMNS($DU35:EC35)), "0"), "")</f>
        <v>0</v>
      </c>
      <c r="ED35" s="390" t="str">
        <f t="array" ref="ED35">IFERROR(IF(AND(INDEX($E$8:$CE$57, MATCH($C35, $C$8:$C$57, 0), (COLUMNS($DU35:ED35)-1)*5 + 1) = INDEX($E$5:$CE$5, 1, (COLUMNS($DU35:ED35)-1)*5 + 1), INDEX($E$8:$CE$57, MATCH($C35, $C$8:$C$57, 0), (COLUMNS($DU35:ED35)-1)*5 + 4) = "SF"), INDEX($CZ$8:$CZ$23, COLUMNS($DU35:ED35)), "0"), "")</f>
        <v>0</v>
      </c>
      <c r="EE35" s="390" t="str">
        <f t="array" ref="EE35">IFERROR(IF(AND(INDEX($E$8:$CE$57, MATCH($C35, $C$8:$C$57, 0), (COLUMNS($DU35:EE35)-1)*5 + 1) = INDEX($E$5:$CE$5, 1, (COLUMNS($DU35:EE35)-1)*5 + 1), INDEX($E$8:$CE$57, MATCH($C35, $C$8:$C$57, 0), (COLUMNS($DU35:EE35)-1)*5 + 4) = "SF"), INDEX($CZ$8:$CZ$23, COLUMNS($DU35:EE35)), "0"), "")</f>
        <v>0</v>
      </c>
      <c r="EF35" s="390" t="str">
        <f t="array" ref="EF35">IFERROR(IF(AND(INDEX($E$8:$CE$57, MATCH($C35, $C$8:$C$57, 0), (COLUMNS($DU35:EF35)-1)*5 + 1) = INDEX($E$5:$CE$5, 1, (COLUMNS($DU35:EF35)-1)*5 + 1), INDEX($E$8:$CE$57, MATCH($C35, $C$8:$C$57, 0), (COLUMNS($DU35:EF35)-1)*5 + 4) = "SF"), INDEX($CZ$8:$CZ$23, COLUMNS($DU35:EF35)), "0"), "")</f>
        <v>0</v>
      </c>
      <c r="EG35" s="390" t="str">
        <f t="array" ref="EG35">IFERROR(IF(AND(INDEX($E$8:$CE$57, MATCH($C35, $C$8:$C$57, 0), (COLUMNS($DU35:EG35)-1)*5 + 1) = INDEX($E$5:$CE$5, 1, (COLUMNS($DU35:EG35)-1)*5 + 1), INDEX($E$8:$CE$57, MATCH($C35, $C$8:$C$57, 0), (COLUMNS($DU35:EG35)-1)*5 + 4) = "SF"), INDEX($CZ$8:$CZ$23, COLUMNS($DU35:EG35)), "0"), "")</f>
        <v>0</v>
      </c>
      <c r="EH35" s="390" t="str">
        <f t="array" ref="EH35">IFERROR(IF(AND(INDEX($E$8:$CE$57, MATCH($C35, $C$8:$C$57, 0), (COLUMNS($DU35:EH35)-1)*5 + 1) = INDEX($E$5:$CE$5, 1, (COLUMNS($DU35:EH35)-1)*5 + 1), INDEX($E$8:$CE$57, MATCH($C35, $C$8:$C$57, 0), (COLUMNS($DU35:EH35)-1)*5 + 4) = "SF"), INDEX($CZ$8:$CZ$23, COLUMNS($DU35:EH35)), "0"), "")</f>
        <v>0</v>
      </c>
      <c r="EI35" s="390" t="str">
        <f t="array" ref="EI35">IFERROR(IF(AND(INDEX($E$8:$CE$57, MATCH($C35, $C$8:$C$57, 0), (COLUMNS($DU35:EI35)-1)*5 + 1) = INDEX($E$5:$CE$5, 1, (COLUMNS($DU35:EI35)-1)*5 + 1), INDEX($E$8:$CE$57, MATCH($C35, $C$8:$C$57, 0), (COLUMNS($DU35:EI35)-1)*5 + 4) = "SF"), INDEX($CZ$8:$CZ$23, COLUMNS($DU35:EI35)), "0"), "")</f>
        <v>0</v>
      </c>
      <c r="EJ35" s="390" t="str">
        <f t="array" ref="EJ35">IFERROR(IF(AND(INDEX($E$8:$CE$57, MATCH($C35, $C$8:$C$57, 0), (COLUMNS($DU35:EJ35)-1)*5 + 1) = INDEX($E$5:$CE$5, 1, (COLUMNS($DU35:EJ35)-1)*5 + 1), INDEX($E$8:$CE$57, MATCH($C35, $C$8:$C$57, 0), (COLUMNS($DU35:EJ35)-1)*5 + 4) = "SF"), INDEX($CZ$8:$CZ$23, COLUMNS($DU35:EJ35)), "0"), "")</f>
        <v>0</v>
      </c>
    </row>
    <row r="36" spans="1:140" ht="19.5" customHeight="1" x14ac:dyDescent="0.35">
      <c r="A36" s="515"/>
      <c r="B36" s="444">
        <f>IF(SEMANA29[[#This Row],[COD]]&lt;&gt;"",B35+1,"")</f>
        <v>29</v>
      </c>
      <c r="C36" s="554" t="s">
        <v>88</v>
      </c>
      <c r="D36" s="410" t="str">
        <f t="array" ref="D36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PREMIO</v>
      </c>
      <c r="E36" s="411"/>
      <c r="F36" s="413"/>
      <c r="G36" s="413"/>
      <c r="H36" s="413"/>
      <c r="I36" s="534">
        <f t="shared" si="0"/>
        <v>0</v>
      </c>
      <c r="J36" s="411"/>
      <c r="K36" s="413"/>
      <c r="L36" s="413"/>
      <c r="M36" s="413"/>
      <c r="N36" s="534">
        <f t="shared" si="1"/>
        <v>0</v>
      </c>
      <c r="O36" s="411"/>
      <c r="P36" s="413"/>
      <c r="Q36" s="413"/>
      <c r="R36" s="413"/>
      <c r="S36" s="534">
        <f t="shared" si="2"/>
        <v>0</v>
      </c>
      <c r="T36" s="411"/>
      <c r="U36" s="413"/>
      <c r="V36" s="413"/>
      <c r="W36" s="413"/>
      <c r="X36" s="534">
        <f t="shared" si="3"/>
        <v>0</v>
      </c>
      <c r="Y36" s="411"/>
      <c r="Z36" s="413"/>
      <c r="AA36" s="413"/>
      <c r="AB36" s="413"/>
      <c r="AC36" s="534">
        <f t="shared" si="4"/>
        <v>0</v>
      </c>
      <c r="AD36" s="411"/>
      <c r="AE36" s="413"/>
      <c r="AF36" s="413"/>
      <c r="AG36" s="413"/>
      <c r="AH36" s="534">
        <f t="shared" si="5"/>
        <v>0</v>
      </c>
      <c r="AI36" s="411"/>
      <c r="AJ36" s="413"/>
      <c r="AK36" s="413"/>
      <c r="AL36" s="413"/>
      <c r="AM36" s="534">
        <f t="shared" si="6"/>
        <v>0</v>
      </c>
      <c r="AN36" s="411"/>
      <c r="AO36" s="413"/>
      <c r="AP36" s="413"/>
      <c r="AQ36" s="413"/>
      <c r="AR36" s="534">
        <f t="shared" si="7"/>
        <v>0</v>
      </c>
      <c r="AS36" s="411"/>
      <c r="AT36" s="413"/>
      <c r="AU36" s="413"/>
      <c r="AV36" s="413"/>
      <c r="AW36" s="534">
        <f t="shared" si="8"/>
        <v>0</v>
      </c>
      <c r="AX36" s="411"/>
      <c r="AY36" s="413"/>
      <c r="AZ36" s="413"/>
      <c r="BA36" s="413"/>
      <c r="BB36" s="534">
        <f t="shared" si="9"/>
        <v>0</v>
      </c>
      <c r="BC36" s="411"/>
      <c r="BD36" s="413"/>
      <c r="BE36" s="413"/>
      <c r="BF36" s="413"/>
      <c r="BG36" s="534">
        <f t="shared" si="10"/>
        <v>0</v>
      </c>
      <c r="BH36" s="411"/>
      <c r="BI36" s="413"/>
      <c r="BJ36" s="413"/>
      <c r="BK36" s="413"/>
      <c r="BL36" s="534">
        <f t="shared" si="11"/>
        <v>0</v>
      </c>
      <c r="BM36" s="411"/>
      <c r="BN36" s="413"/>
      <c r="BO36" s="413"/>
      <c r="BP36" s="413"/>
      <c r="BQ36" s="534">
        <f t="shared" si="12"/>
        <v>0</v>
      </c>
      <c r="BR36" s="411"/>
      <c r="BS36" s="413"/>
      <c r="BT36" s="413"/>
      <c r="BU36" s="413"/>
      <c r="BV36" s="534">
        <f t="shared" si="13"/>
        <v>0</v>
      </c>
      <c r="BW36" s="411"/>
      <c r="BX36" s="413"/>
      <c r="BY36" s="413"/>
      <c r="BZ36" s="413"/>
      <c r="CA36" s="534">
        <f t="shared" si="14"/>
        <v>0</v>
      </c>
      <c r="CB36" s="411"/>
      <c r="CC36" s="413"/>
      <c r="CD36" s="413"/>
      <c r="CE36" s="413"/>
      <c r="CF36" s="534">
        <f t="shared" si="15"/>
        <v>0</v>
      </c>
      <c r="CG36" s="162">
        <f>IF(SEMANA29[[#This Row],[1]]="",0,$B$4)</f>
        <v>0</v>
      </c>
      <c r="CH36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36" s="164">
        <f>IF(SEMANA29[[#This Row],[Columna14]]=0,0,(CH36/CG36))</f>
        <v>0</v>
      </c>
      <c r="CJ36" s="163">
        <f>IF(SEMANA29[[#This Row],[1]]="",0,$B$4)</f>
        <v>0</v>
      </c>
      <c r="CK36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36" s="164">
        <f>IF(SEMANA29[[#This Row],[Columna14]]=0,0,(CK36/CJ36))</f>
        <v>0</v>
      </c>
      <c r="CM36" s="162">
        <f>IF(SEMANA29[[#This Row],[1]]="",0,$B$4)</f>
        <v>0</v>
      </c>
      <c r="CN36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36" s="164">
        <f>IF(SEMANA29[[#This Row],[Columna14]]=0,0,(CN36/CM36))</f>
        <v>0</v>
      </c>
      <c r="CP36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36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Row],[Columna25]],$AX$5,BA36,"SF")+COUNTIFS(SEMANA29[[#This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36" s="164">
        <f>IFERROR(IF(SEMANA29[[#This Row],[Columna14]]=0,0,(CQ36/CP36)),0)</f>
        <v>0</v>
      </c>
      <c r="CS36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36" s="93">
        <f>_xlfn.XLOOKUP(SEMANA29[[#This Row],[COD]],SEMANA2[COD],SEMANA2[Columna33])</f>
        <v>64.5</v>
      </c>
      <c r="CU36" s="536">
        <f t="shared" si="16"/>
        <v>64.5</v>
      </c>
      <c r="CV36" s="445">
        <f>IF(SEMANA29[[#This Row],[TIPO]]="PREMIO",$O$3,"0,00")</f>
        <v>1000</v>
      </c>
      <c r="CW36" s="515"/>
      <c r="CY36" s="387" t="str">
        <f t="shared" si="17"/>
        <v/>
      </c>
      <c r="CZ36" s="387"/>
      <c r="DA36" s="387" t="str">
        <f t="array" ref="DA36">IF(CZ36="", "", IF((INDEX(E$8:CE$57, MATCH(CZ36, C$8:C$57, 0), ($CZ$25-1)*5 + 1) &amp; "") = (INDEX(E$5:CE$5, 1, ($CZ$25-1)*5 + 1) &amp; ""), 1, IF((INDEX(E$8:CE$57, MATCH(CZ36, C$8:C$57, 0), ($CZ$25-1)*5 + 2) &amp; "") = (INDEX(E$5:CE$5, 1, ($CZ$25-1)*5 + 1) &amp; ""), 2, IF((INDEX(E$8:CE$57, MATCH(CZ36, C$8:C$57, 0), ($CZ$25-1)*5 + 3) &amp; "") = (INDEX(E$5:CE$5, 1, ($CZ$25-1)*5 + 1) &amp; ""), 3, ""))))</f>
        <v/>
      </c>
      <c r="DB36" s="537" t="str">
        <f>SEMANA29[[#This Row],[COD]]</f>
        <v>COD 29</v>
      </c>
      <c r="DC36" s="390" t="str">
        <f t="array" ref="DC36">IFERROR(IF(AND(INDEX($E$8:$CE$57, MATCH($C36, $C$8:$C$57, 0), (COLUMNS($DC36:DC36)-1)*5 + 1) = INDEX($E$5:$CE$5, 1, (COLUMNS($DC36:DC36)-1)*5 + 1), INDEX($E$8:$CE$57, MATCH($C36, $C$8:$C$57, 0), (COLUMNS($DC36:DC36)-1)*5 + 4) = "F"), INDEX($CZ$8:$CZ$23, COLUMNS($DC36:DC36)), "0"), "")</f>
        <v>0</v>
      </c>
      <c r="DD36" s="390" t="str">
        <f t="array" ref="DD36">IFERROR(IF(AND(INDEX($E$8:$CE$57, MATCH($C36, $C$8:$C$57, 0), (COLUMNS($DC36:DD36)-1)*5 + 1) = INDEX($E$5:$CE$5, 1, (COLUMNS($DC36:DD36)-1)*5 + 1), INDEX($E$8:$CE$57, MATCH($C36, $C$8:$C$57, 0), (COLUMNS($DC36:DD36)-1)*5 + 4) = "F"), INDEX($CZ$8:$CZ$23, COLUMNS($DC36:DD36)), "0"), "")</f>
        <v>0</v>
      </c>
      <c r="DE36" s="390" t="str">
        <f t="array" ref="DE36">IFERROR(IF(AND(INDEX($E$8:$CE$57, MATCH($C36, $C$8:$C$57, 0), (COLUMNS($DC36:DE36)-1)*5 + 1) = INDEX($E$5:$CE$5, 1, (COLUMNS($DC36:DE36)-1)*5 + 1), INDEX($E$8:$CE$57, MATCH($C36, $C$8:$C$57, 0), (COLUMNS($DC36:DE36)-1)*5 + 4) = "F"), INDEX($CZ$8:$CZ$23, COLUMNS($DC36:DE36)), "0"), "")</f>
        <v>0</v>
      </c>
      <c r="DF36" s="390" t="str">
        <f t="array" ref="DF36">IFERROR(IF(AND(INDEX($E$8:$CE$57, MATCH($C36, $C$8:$C$57, 0), (COLUMNS($DC36:DF36)-1)*5 + 1) = INDEX($E$5:$CE$5, 1, (COLUMNS($DC36:DF36)-1)*5 + 1), INDEX($E$8:$CE$57, MATCH($C36, $C$8:$C$57, 0), (COLUMNS($DC36:DF36)-1)*5 + 4) = "F"), INDEX($CZ$8:$CZ$23, COLUMNS($DC36:DF36)), "0"), "")</f>
        <v>0</v>
      </c>
      <c r="DG36" s="390" t="str">
        <f t="array" ref="DG36">IFERROR(IF(AND(INDEX($E$8:$CE$57, MATCH($C36, $C$8:$C$57, 0), (COLUMNS($DC36:DG36)-1)*5 + 1) = INDEX($E$5:$CE$5, 1, (COLUMNS($DC36:DG36)-1)*5 + 1), INDEX($E$8:$CE$57, MATCH($C36, $C$8:$C$57, 0), (COLUMNS($DC36:DG36)-1)*5 + 4) = "F"), INDEX($CZ$8:$CZ$23, COLUMNS($DC36:DG36)), "0"), "")</f>
        <v>0</v>
      </c>
      <c r="DH36" s="390" t="str">
        <f t="array" ref="DH36">IFERROR(IF(AND(INDEX($E$8:$CE$57, MATCH($C36, $C$8:$C$57, 0), (COLUMNS($DC36:DH36)-1)*5 + 1) = INDEX($E$5:$CE$5, 1, (COLUMNS($DC36:DH36)-1)*5 + 1), INDEX($E$8:$CE$57, MATCH($C36, $C$8:$C$57, 0), (COLUMNS($DC36:DH36)-1)*5 + 4) = "F"), INDEX($CZ$8:$CZ$23, COLUMNS($DC36:DH36)), "0"), "")</f>
        <v>0</v>
      </c>
      <c r="DI36" s="390" t="str">
        <f t="array" ref="DI36">IFERROR(IF(AND(INDEX($E$8:$CE$57, MATCH($C36, $C$8:$C$57, 0), (COLUMNS($DC36:DI36)-1)*5 + 1) = INDEX($E$5:$CE$5, 1, (COLUMNS($DC36:DI36)-1)*5 + 1), INDEX($E$8:$CE$57, MATCH($C36, $C$8:$C$57, 0), (COLUMNS($DC36:DI36)-1)*5 + 4) = "F"), INDEX($CZ$8:$CZ$23, COLUMNS($DC36:DI36)), "0"), "")</f>
        <v>0</v>
      </c>
      <c r="DJ36" s="390" t="str">
        <f t="array" ref="DJ36">IFERROR(IF(AND(INDEX($E$8:$CE$57, MATCH($C36, $C$8:$C$57, 0), (COLUMNS($DC36:DJ36)-1)*5 + 1) = INDEX($E$5:$CE$5, 1, (COLUMNS($DC36:DJ36)-1)*5 + 1), INDEX($E$8:$CE$57, MATCH($C36, $C$8:$C$57, 0), (COLUMNS($DC36:DJ36)-1)*5 + 4) = "F"), INDEX($CZ$8:$CZ$23, COLUMNS($DC36:DJ36)), "0"), "")</f>
        <v>0</v>
      </c>
      <c r="DK36" s="390" t="str">
        <f t="array" ref="DK36">IFERROR(IF(AND(INDEX($E$8:$CE$57, MATCH($C36, $C$8:$C$57, 0), (COLUMNS($DC36:DK36)-1)*5 + 1) = INDEX($E$5:$CE$5, 1, (COLUMNS($DC36:DK36)-1)*5 + 1), INDEX($E$8:$CE$57, MATCH($C36, $C$8:$C$57, 0), (COLUMNS($DC36:DK36)-1)*5 + 4) = "F"), INDEX($CZ$8:$CZ$23, COLUMNS($DC36:DK36)), "0"), "")</f>
        <v>0</v>
      </c>
      <c r="DL36" s="390" t="str">
        <f t="array" ref="DL36">IFERROR(IF(AND(INDEX($E$8:$CE$57, MATCH($C36, $C$8:$C$57, 0), (COLUMNS($DC36:DL36)-1)*5 + 1) = INDEX($E$5:$CE$5, 1, (COLUMNS($DC36:DL36)-1)*5 + 1), INDEX($E$8:$CE$57, MATCH($C36, $C$8:$C$57, 0), (COLUMNS($DC36:DL36)-1)*5 + 4) = "F"), INDEX($CZ$8:$CZ$23, COLUMNS($DC36:DL36)), "0"), "")</f>
        <v>0</v>
      </c>
      <c r="DM36" s="390" t="str">
        <f t="array" ref="DM36">IFERROR(IF(AND(INDEX($E$8:$CE$57, MATCH($C36, $C$8:$C$57, 0), (COLUMNS($DC36:DM36)-1)*5 + 1) = INDEX($E$5:$CE$5, 1, (COLUMNS($DC36:DM36)-1)*5 + 1), INDEX($E$8:$CE$57, MATCH($C36, $C$8:$C$57, 0), (COLUMNS($DC36:DM36)-1)*5 + 4) = "F"), INDEX($CZ$8:$CZ$23, COLUMNS($DC36:DM36)), "0"), "")</f>
        <v>0</v>
      </c>
      <c r="DN36" s="390" t="str">
        <f t="array" ref="DN36">IFERROR(IF(AND(INDEX($E$8:$CE$57, MATCH($C36, $C$8:$C$57, 0), (COLUMNS($DC36:DN36)-1)*5 + 1) = INDEX($E$5:$CE$5, 1, (COLUMNS($DC36:DN36)-1)*5 + 1), INDEX($E$8:$CE$57, MATCH($C36, $C$8:$C$57, 0), (COLUMNS($DC36:DN36)-1)*5 + 4) = "F"), INDEX($CZ$8:$CZ$23, COLUMNS($DC36:DN36)), "0"), "")</f>
        <v>0</v>
      </c>
      <c r="DO36" s="390" t="str">
        <f t="array" ref="DO36">IFERROR(IF(AND(INDEX($E$8:$CE$57, MATCH($C36, $C$8:$C$57, 0), (COLUMNS($DC36:DO36)-1)*5 + 1) = INDEX($E$5:$CE$5, 1, (COLUMNS($DC36:DO36)-1)*5 + 1), INDEX($E$8:$CE$57, MATCH($C36, $C$8:$C$57, 0), (COLUMNS($DC36:DO36)-1)*5 + 4) = "F"), INDEX($CZ$8:$CZ$23, COLUMNS($DC36:DO36)), "0"), "")</f>
        <v>0</v>
      </c>
      <c r="DP36" s="390" t="str">
        <f t="array" ref="DP36">IFERROR(IF(AND(INDEX($E$8:$CE$57, MATCH($C36, $C$8:$C$57, 0), (COLUMNS($DC36:DP36)-1)*5 + 1) = INDEX($E$5:$CE$5, 1, (COLUMNS($DC36:DP36)-1)*5 + 1), INDEX($E$8:$CE$57, MATCH($C36, $C$8:$C$57, 0), (COLUMNS($DC36:DP36)-1)*5 + 4) = "F"), INDEX($CZ$8:$CZ$23, COLUMNS($DC36:DP36)), "0"), "")</f>
        <v>0</v>
      </c>
      <c r="DQ36" s="390" t="str">
        <f t="array" ref="DQ36">IFERROR(IF(AND(INDEX($E$8:$CE$57, MATCH($C36, $C$8:$C$57, 0), (COLUMNS($DC36:DQ36)-1)*5 + 1) = INDEX($E$5:$CE$5, 1, (COLUMNS($DC36:DQ36)-1)*5 + 1), INDEX($E$8:$CE$57, MATCH($C36, $C$8:$C$57, 0), (COLUMNS($DC36:DQ36)-1)*5 + 4) = "F"), INDEX($CZ$8:$CZ$23, COLUMNS($DC36:DQ36)), "0"), "")</f>
        <v>0</v>
      </c>
      <c r="DR36" s="390" t="str">
        <f t="array" ref="DR36">IFERROR(IF(AND(INDEX($E$8:$CE$57, MATCH($C36, $C$8:$C$57, 0), (COLUMNS($DC36:DR36)-1)*5 + 1) = INDEX($E$5:$CE$5, 1, (COLUMNS($DC36:DR36)-1)*5 + 1), INDEX($E$8:$CE$57, MATCH($C36, $C$8:$C$57, 0), (COLUMNS($DC36:DR36)-1)*5 + 4) = "F"), INDEX($CZ$8:$CZ$23, COLUMNS($DC36:DR36)), "0"), "")</f>
        <v>0</v>
      </c>
      <c r="DT36" s="537" t="str">
        <f>SEMANA29[[#This Row],[COD]]</f>
        <v>COD 29</v>
      </c>
      <c r="DU36" s="390" t="str">
        <f t="array" ref="DU36">IFERROR(IF(AND(INDEX($E$8:$CE$57, MATCH($C36, $C$8:$C$57, 0), (COLUMNS($DU36:DU36)-1)*5 + 1) = INDEX($E$5:$CE$5, 1, (COLUMNS($DU36:DU36)-1)*5 + 1), INDEX($E$8:$CE$57, MATCH($C36, $C$8:$C$57, 0), (COLUMNS($DU36:DU36)-1)*5 + 4) = "SF"), INDEX($CZ$8:$CZ$23, COLUMNS($DU36:DU36)), "0"), "")</f>
        <v>0</v>
      </c>
      <c r="DV36" s="390" t="str">
        <f t="array" ref="DV36">IFERROR(IF(AND(INDEX($E$8:$CE$57, MATCH($C36, $C$8:$C$57, 0), (COLUMNS($DU36:DV36)-1)*5 + 1) = INDEX($E$5:$CE$5, 1, (COLUMNS($DU36:DV36)-1)*5 + 1), INDEX($E$8:$CE$57, MATCH($C36, $C$8:$C$57, 0), (COLUMNS($DU36:DV36)-1)*5 + 4) = "SF"), INDEX($CZ$8:$CZ$23, COLUMNS($DU36:DV36)), "0"), "")</f>
        <v>0</v>
      </c>
      <c r="DW36" s="390" t="str">
        <f t="array" ref="DW36">IFERROR(IF(AND(INDEX($E$8:$CE$57, MATCH($C36, $C$8:$C$57, 0), (COLUMNS($DU36:DW36)-1)*5 + 1) = INDEX($E$5:$CE$5, 1, (COLUMNS($DU36:DW36)-1)*5 + 1), INDEX($E$8:$CE$57, MATCH($C36, $C$8:$C$57, 0), (COLUMNS($DU36:DW36)-1)*5 + 4) = "SF"), INDEX($CZ$8:$CZ$23, COLUMNS($DU36:DW36)), "0"), "")</f>
        <v>0</v>
      </c>
      <c r="DX36" s="390" t="str">
        <f t="array" ref="DX36">IFERROR(IF(AND(INDEX($E$8:$CE$57, MATCH($C36, $C$8:$C$57, 0), (COLUMNS($DU36:DX36)-1)*5 + 1) = INDEX($E$5:$CE$5, 1, (COLUMNS($DU36:DX36)-1)*5 + 1), INDEX($E$8:$CE$57, MATCH($C36, $C$8:$C$57, 0), (COLUMNS($DU36:DX36)-1)*5 + 4) = "SF"), INDEX($CZ$8:$CZ$23, COLUMNS($DU36:DX36)), "0"), "")</f>
        <v>0</v>
      </c>
      <c r="DY36" s="390" t="str">
        <f t="array" ref="DY36">IFERROR(IF(AND(INDEX($E$8:$CE$57, MATCH($C36, $C$8:$C$57, 0), (COLUMNS($DU36:DY36)-1)*5 + 1) = INDEX($E$5:$CE$5, 1, (COLUMNS($DU36:DY36)-1)*5 + 1), INDEX($E$8:$CE$57, MATCH($C36, $C$8:$C$57, 0), (COLUMNS($DU36:DY36)-1)*5 + 4) = "SF"), INDEX($CZ$8:$CZ$23, COLUMNS($DU36:DY36)), "0"), "")</f>
        <v>0</v>
      </c>
      <c r="DZ36" s="390" t="str">
        <f t="array" ref="DZ36">IFERROR(IF(AND(INDEX($E$8:$CE$57, MATCH($C36, $C$8:$C$57, 0), (COLUMNS($DU36:DZ36)-1)*5 + 1) = INDEX($E$5:$CE$5, 1, (COLUMNS($DU36:DZ36)-1)*5 + 1), INDEX($E$8:$CE$57, MATCH($C36, $C$8:$C$57, 0), (COLUMNS($DU36:DZ36)-1)*5 + 4) = "SF"), INDEX($CZ$8:$CZ$23, COLUMNS($DU36:DZ36)), "0"), "")</f>
        <v>0</v>
      </c>
      <c r="EA36" s="390" t="str">
        <f t="array" ref="EA36">IFERROR(IF(AND(INDEX($E$8:$CE$57, MATCH($C36, $C$8:$C$57, 0), (COLUMNS($DU36:EA36)-1)*5 + 1) = INDEX($E$5:$CE$5, 1, (COLUMNS($DU36:EA36)-1)*5 + 1), INDEX($E$8:$CE$57, MATCH($C36, $C$8:$C$57, 0), (COLUMNS($DU36:EA36)-1)*5 + 4) = "SF"), INDEX($CZ$8:$CZ$23, COLUMNS($DU36:EA36)), "0"), "")</f>
        <v>0</v>
      </c>
      <c r="EB36" s="390" t="str">
        <f t="array" ref="EB36">IFERROR(IF(AND(INDEX($E$8:$CE$57, MATCH($C36, $C$8:$C$57, 0), (COLUMNS($DU36:EB36)-1)*5 + 1) = INDEX($E$5:$CE$5, 1, (COLUMNS($DU36:EB36)-1)*5 + 1), INDEX($E$8:$CE$57, MATCH($C36, $C$8:$C$57, 0), (COLUMNS($DU36:EB36)-1)*5 + 4) = "SF"), INDEX($CZ$8:$CZ$23, COLUMNS($DU36:EB36)), "0"), "")</f>
        <v>0</v>
      </c>
      <c r="EC36" s="390" t="str">
        <f t="array" ref="EC36">IFERROR(IF(AND(INDEX($E$8:$CE$57, MATCH($C36, $C$8:$C$57, 0), (COLUMNS($DU36:EC36)-1)*5 + 1) = INDEX($E$5:$CE$5, 1, (COLUMNS($DU36:EC36)-1)*5 + 1), INDEX($E$8:$CE$57, MATCH($C36, $C$8:$C$57, 0), (COLUMNS($DU36:EC36)-1)*5 + 4) = "SF"), INDEX($CZ$8:$CZ$23, COLUMNS($DU36:EC36)), "0"), "")</f>
        <v>0</v>
      </c>
      <c r="ED36" s="390" t="str">
        <f t="array" ref="ED36">IFERROR(IF(AND(INDEX($E$8:$CE$57, MATCH($C36, $C$8:$C$57, 0), (COLUMNS($DU36:ED36)-1)*5 + 1) = INDEX($E$5:$CE$5, 1, (COLUMNS($DU36:ED36)-1)*5 + 1), INDEX($E$8:$CE$57, MATCH($C36, $C$8:$C$57, 0), (COLUMNS($DU36:ED36)-1)*5 + 4) = "SF"), INDEX($CZ$8:$CZ$23, COLUMNS($DU36:ED36)), "0"), "")</f>
        <v>0</v>
      </c>
      <c r="EE36" s="390" t="str">
        <f t="array" ref="EE36">IFERROR(IF(AND(INDEX($E$8:$CE$57, MATCH($C36, $C$8:$C$57, 0), (COLUMNS($DU36:EE36)-1)*5 + 1) = INDEX($E$5:$CE$5, 1, (COLUMNS($DU36:EE36)-1)*5 + 1), INDEX($E$8:$CE$57, MATCH($C36, $C$8:$C$57, 0), (COLUMNS($DU36:EE36)-1)*5 + 4) = "SF"), INDEX($CZ$8:$CZ$23, COLUMNS($DU36:EE36)), "0"), "")</f>
        <v>0</v>
      </c>
      <c r="EF36" s="390" t="str">
        <f t="array" ref="EF36">IFERROR(IF(AND(INDEX($E$8:$CE$57, MATCH($C36, $C$8:$C$57, 0), (COLUMNS($DU36:EF36)-1)*5 + 1) = INDEX($E$5:$CE$5, 1, (COLUMNS($DU36:EF36)-1)*5 + 1), INDEX($E$8:$CE$57, MATCH($C36, $C$8:$C$57, 0), (COLUMNS($DU36:EF36)-1)*5 + 4) = "SF"), INDEX($CZ$8:$CZ$23, COLUMNS($DU36:EF36)), "0"), "")</f>
        <v>0</v>
      </c>
      <c r="EG36" s="390" t="str">
        <f t="array" ref="EG36">IFERROR(IF(AND(INDEX($E$8:$CE$57, MATCH($C36, $C$8:$C$57, 0), (COLUMNS($DU36:EG36)-1)*5 + 1) = INDEX($E$5:$CE$5, 1, (COLUMNS($DU36:EG36)-1)*5 + 1), INDEX($E$8:$CE$57, MATCH($C36, $C$8:$C$57, 0), (COLUMNS($DU36:EG36)-1)*5 + 4) = "SF"), INDEX($CZ$8:$CZ$23, COLUMNS($DU36:EG36)), "0"), "")</f>
        <v>0</v>
      </c>
      <c r="EH36" s="390" t="str">
        <f t="array" ref="EH36">IFERROR(IF(AND(INDEX($E$8:$CE$57, MATCH($C36, $C$8:$C$57, 0), (COLUMNS($DU36:EH36)-1)*5 + 1) = INDEX($E$5:$CE$5, 1, (COLUMNS($DU36:EH36)-1)*5 + 1), INDEX($E$8:$CE$57, MATCH($C36, $C$8:$C$57, 0), (COLUMNS($DU36:EH36)-1)*5 + 4) = "SF"), INDEX($CZ$8:$CZ$23, COLUMNS($DU36:EH36)), "0"), "")</f>
        <v>0</v>
      </c>
      <c r="EI36" s="390" t="str">
        <f t="array" ref="EI36">IFERROR(IF(AND(INDEX($E$8:$CE$57, MATCH($C36, $C$8:$C$57, 0), (COLUMNS($DU36:EI36)-1)*5 + 1) = INDEX($E$5:$CE$5, 1, (COLUMNS($DU36:EI36)-1)*5 + 1), INDEX($E$8:$CE$57, MATCH($C36, $C$8:$C$57, 0), (COLUMNS($DU36:EI36)-1)*5 + 4) = "SF"), INDEX($CZ$8:$CZ$23, COLUMNS($DU36:EI36)), "0"), "")</f>
        <v>0</v>
      </c>
      <c r="EJ36" s="390" t="str">
        <f t="array" ref="EJ36">IFERROR(IF(AND(INDEX($E$8:$CE$57, MATCH($C36, $C$8:$C$57, 0), (COLUMNS($DU36:EJ36)-1)*5 + 1) = INDEX($E$5:$CE$5, 1, (COLUMNS($DU36:EJ36)-1)*5 + 1), INDEX($E$8:$CE$57, MATCH($C36, $C$8:$C$57, 0), (COLUMNS($DU36:EJ36)-1)*5 + 4) = "SF"), INDEX($CZ$8:$CZ$23, COLUMNS($DU36:EJ36)), "0"), "")</f>
        <v>0</v>
      </c>
    </row>
    <row r="37" spans="1:140" ht="19.5" customHeight="1" x14ac:dyDescent="0.35">
      <c r="A37" s="515"/>
      <c r="B37" s="444">
        <f>IF(SEMANA29[[#This Row],[COD]]&lt;&gt;"",B36+1,"")</f>
        <v>30</v>
      </c>
      <c r="C37" s="554" t="s">
        <v>89</v>
      </c>
      <c r="D37" s="410" t="str">
        <f t="array" ref="D37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37" s="411"/>
      <c r="F37" s="413"/>
      <c r="G37" s="413"/>
      <c r="H37" s="413"/>
      <c r="I37" s="534">
        <f t="shared" si="0"/>
        <v>0</v>
      </c>
      <c r="J37" s="411"/>
      <c r="K37" s="413"/>
      <c r="L37" s="413"/>
      <c r="M37" s="413"/>
      <c r="N37" s="534">
        <f t="shared" si="1"/>
        <v>0</v>
      </c>
      <c r="O37" s="411"/>
      <c r="P37" s="413"/>
      <c r="Q37" s="413"/>
      <c r="R37" s="413"/>
      <c r="S37" s="534">
        <f t="shared" si="2"/>
        <v>0</v>
      </c>
      <c r="T37" s="411"/>
      <c r="U37" s="413"/>
      <c r="V37" s="413"/>
      <c r="W37" s="413"/>
      <c r="X37" s="534">
        <f t="shared" si="3"/>
        <v>0</v>
      </c>
      <c r="Y37" s="411"/>
      <c r="Z37" s="413"/>
      <c r="AA37" s="413"/>
      <c r="AB37" s="413"/>
      <c r="AC37" s="534">
        <f t="shared" si="4"/>
        <v>0</v>
      </c>
      <c r="AD37" s="411"/>
      <c r="AE37" s="413"/>
      <c r="AF37" s="413"/>
      <c r="AG37" s="413"/>
      <c r="AH37" s="534">
        <f t="shared" si="5"/>
        <v>0</v>
      </c>
      <c r="AI37" s="411"/>
      <c r="AJ37" s="413"/>
      <c r="AK37" s="413"/>
      <c r="AL37" s="413"/>
      <c r="AM37" s="534">
        <f t="shared" si="6"/>
        <v>0</v>
      </c>
      <c r="AN37" s="411"/>
      <c r="AO37" s="413"/>
      <c r="AP37" s="413"/>
      <c r="AQ37" s="413"/>
      <c r="AR37" s="534">
        <f t="shared" si="7"/>
        <v>0</v>
      </c>
      <c r="AS37" s="411"/>
      <c r="AT37" s="413"/>
      <c r="AU37" s="413"/>
      <c r="AV37" s="413"/>
      <c r="AW37" s="534">
        <f t="shared" si="8"/>
        <v>0</v>
      </c>
      <c r="AX37" s="411"/>
      <c r="AY37" s="413"/>
      <c r="AZ37" s="413"/>
      <c r="BA37" s="413"/>
      <c r="BB37" s="534">
        <f t="shared" si="9"/>
        <v>0</v>
      </c>
      <c r="BC37" s="411"/>
      <c r="BD37" s="413"/>
      <c r="BE37" s="413"/>
      <c r="BF37" s="413"/>
      <c r="BG37" s="534">
        <f t="shared" si="10"/>
        <v>0</v>
      </c>
      <c r="BH37" s="411"/>
      <c r="BI37" s="413"/>
      <c r="BJ37" s="413"/>
      <c r="BK37" s="413"/>
      <c r="BL37" s="534">
        <f t="shared" si="11"/>
        <v>0</v>
      </c>
      <c r="BM37" s="411"/>
      <c r="BN37" s="413"/>
      <c r="BO37" s="413"/>
      <c r="BP37" s="413"/>
      <c r="BQ37" s="534">
        <f t="shared" si="12"/>
        <v>0</v>
      </c>
      <c r="BR37" s="411"/>
      <c r="BS37" s="413"/>
      <c r="BT37" s="413"/>
      <c r="BU37" s="413"/>
      <c r="BV37" s="534">
        <f t="shared" si="13"/>
        <v>0</v>
      </c>
      <c r="BW37" s="411"/>
      <c r="BX37" s="413"/>
      <c r="BY37" s="413"/>
      <c r="BZ37" s="413"/>
      <c r="CA37" s="534">
        <f t="shared" si="14"/>
        <v>0</v>
      </c>
      <c r="CB37" s="411"/>
      <c r="CC37" s="413"/>
      <c r="CD37" s="413"/>
      <c r="CE37" s="413"/>
      <c r="CF37" s="534">
        <f t="shared" si="15"/>
        <v>0</v>
      </c>
      <c r="CG37" s="162">
        <f>IF(SEMANA29[[#This Row],[1]]="",0,$B$4)</f>
        <v>0</v>
      </c>
      <c r="CH37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37" s="164">
        <f>IF(SEMANA29[[#This Row],[Columna14]]=0,0,(CH37/CG37))</f>
        <v>0</v>
      </c>
      <c r="CJ37" s="163">
        <f>IF(SEMANA29[[#This Row],[1]]="",0,$B$4)</f>
        <v>0</v>
      </c>
      <c r="CK37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37" s="164">
        <f>IF(SEMANA29[[#This Row],[Columna14]]=0,0,(CK37/CJ37))</f>
        <v>0</v>
      </c>
      <c r="CM37" s="162">
        <f>IF(SEMANA29[[#This Row],[1]]="",0,$B$4)</f>
        <v>0</v>
      </c>
      <c r="CN37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37" s="164">
        <f>IF(SEMANA29[[#This Row],[Columna14]]=0,0,(CN37/CM37))</f>
        <v>0</v>
      </c>
      <c r="CP37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37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Row],[Columna25]],$AX$5,BA37,"SF")+COUNTIFS(SEMANA29[[#This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37" s="164">
        <f>IFERROR(IF(SEMANA29[[#This Row],[Columna14]]=0,0,(CQ37/CP37)),0)</f>
        <v>0</v>
      </c>
      <c r="CS37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37" s="93">
        <f>_xlfn.XLOOKUP(SEMANA29[[#This Row],[COD]],SEMANA2[COD],SEMANA2[Columna33])</f>
        <v>46.5</v>
      </c>
      <c r="CU37" s="536">
        <f t="shared" si="16"/>
        <v>46.5</v>
      </c>
      <c r="CV37" s="445" t="str">
        <f>IF(SEMANA29[[#This Row],[TIPO]]="PREMIO",$O$3,"0,00")</f>
        <v>0,00</v>
      </c>
      <c r="CW37" s="515"/>
      <c r="CY37" s="387" t="str">
        <f t="shared" si="17"/>
        <v/>
      </c>
      <c r="CZ37" s="387"/>
      <c r="DA37" s="387" t="str">
        <f t="array" ref="DA37">IF(CZ37="", "", IF((INDEX(E$8:CE$57, MATCH(CZ37, C$8:C$57, 0), ($CZ$25-1)*5 + 1) &amp; "") = (INDEX(E$5:CE$5, 1, ($CZ$25-1)*5 + 1) &amp; ""), 1, IF((INDEX(E$8:CE$57, MATCH(CZ37, C$8:C$57, 0), ($CZ$25-1)*5 + 2) &amp; "") = (INDEX(E$5:CE$5, 1, ($CZ$25-1)*5 + 1) &amp; ""), 2, IF((INDEX(E$8:CE$57, MATCH(CZ37, C$8:C$57, 0), ($CZ$25-1)*5 + 3) &amp; "") = (INDEX(E$5:CE$5, 1, ($CZ$25-1)*5 + 1) &amp; ""), 3, ""))))</f>
        <v/>
      </c>
      <c r="DB37" s="537" t="str">
        <f>SEMANA29[[#This Row],[COD]]</f>
        <v>COD 30</v>
      </c>
      <c r="DC37" s="390" t="str">
        <f t="array" ref="DC37">IFERROR(IF(AND(INDEX($E$8:$CE$57, MATCH($C37, $C$8:$C$57, 0), (COLUMNS($DC37:DC37)-1)*5 + 1) = INDEX($E$5:$CE$5, 1, (COLUMNS($DC37:DC37)-1)*5 + 1), INDEX($E$8:$CE$57, MATCH($C37, $C$8:$C$57, 0), (COLUMNS($DC37:DC37)-1)*5 + 4) = "F"), INDEX($CZ$8:$CZ$23, COLUMNS($DC37:DC37)), "0"), "")</f>
        <v>0</v>
      </c>
      <c r="DD37" s="390" t="str">
        <f t="array" ref="DD37">IFERROR(IF(AND(INDEX($E$8:$CE$57, MATCH($C37, $C$8:$C$57, 0), (COLUMNS($DC37:DD37)-1)*5 + 1) = INDEX($E$5:$CE$5, 1, (COLUMNS($DC37:DD37)-1)*5 + 1), INDEX($E$8:$CE$57, MATCH($C37, $C$8:$C$57, 0), (COLUMNS($DC37:DD37)-1)*5 + 4) = "F"), INDEX($CZ$8:$CZ$23, COLUMNS($DC37:DD37)), "0"), "")</f>
        <v>0</v>
      </c>
      <c r="DE37" s="390" t="str">
        <f t="array" ref="DE37">IFERROR(IF(AND(INDEX($E$8:$CE$57, MATCH($C37, $C$8:$C$57, 0), (COLUMNS($DC37:DE37)-1)*5 + 1) = INDEX($E$5:$CE$5, 1, (COLUMNS($DC37:DE37)-1)*5 + 1), INDEX($E$8:$CE$57, MATCH($C37, $C$8:$C$57, 0), (COLUMNS($DC37:DE37)-1)*5 + 4) = "F"), INDEX($CZ$8:$CZ$23, COLUMNS($DC37:DE37)), "0"), "")</f>
        <v>0</v>
      </c>
      <c r="DF37" s="390" t="str">
        <f t="array" ref="DF37">IFERROR(IF(AND(INDEX($E$8:$CE$57, MATCH($C37, $C$8:$C$57, 0), (COLUMNS($DC37:DF37)-1)*5 + 1) = INDEX($E$5:$CE$5, 1, (COLUMNS($DC37:DF37)-1)*5 + 1), INDEX($E$8:$CE$57, MATCH($C37, $C$8:$C$57, 0), (COLUMNS($DC37:DF37)-1)*5 + 4) = "F"), INDEX($CZ$8:$CZ$23, COLUMNS($DC37:DF37)), "0"), "")</f>
        <v>0</v>
      </c>
      <c r="DG37" s="390" t="str">
        <f t="array" ref="DG37">IFERROR(IF(AND(INDEX($E$8:$CE$57, MATCH($C37, $C$8:$C$57, 0), (COLUMNS($DC37:DG37)-1)*5 + 1) = INDEX($E$5:$CE$5, 1, (COLUMNS($DC37:DG37)-1)*5 + 1), INDEX($E$8:$CE$57, MATCH($C37, $C$8:$C$57, 0), (COLUMNS($DC37:DG37)-1)*5 + 4) = "F"), INDEX($CZ$8:$CZ$23, COLUMNS($DC37:DG37)), "0"), "")</f>
        <v>0</v>
      </c>
      <c r="DH37" s="390" t="str">
        <f t="array" ref="DH37">IFERROR(IF(AND(INDEX($E$8:$CE$57, MATCH($C37, $C$8:$C$57, 0), (COLUMNS($DC37:DH37)-1)*5 + 1) = INDEX($E$5:$CE$5, 1, (COLUMNS($DC37:DH37)-1)*5 + 1), INDEX($E$8:$CE$57, MATCH($C37, $C$8:$C$57, 0), (COLUMNS($DC37:DH37)-1)*5 + 4) = "F"), INDEX($CZ$8:$CZ$23, COLUMNS($DC37:DH37)), "0"), "")</f>
        <v>0</v>
      </c>
      <c r="DI37" s="390" t="str">
        <f t="array" ref="DI37">IFERROR(IF(AND(INDEX($E$8:$CE$57, MATCH($C37, $C$8:$C$57, 0), (COLUMNS($DC37:DI37)-1)*5 + 1) = INDEX($E$5:$CE$5, 1, (COLUMNS($DC37:DI37)-1)*5 + 1), INDEX($E$8:$CE$57, MATCH($C37, $C$8:$C$57, 0), (COLUMNS($DC37:DI37)-1)*5 + 4) = "F"), INDEX($CZ$8:$CZ$23, COLUMNS($DC37:DI37)), "0"), "")</f>
        <v>0</v>
      </c>
      <c r="DJ37" s="390" t="str">
        <f t="array" ref="DJ37">IFERROR(IF(AND(INDEX($E$8:$CE$57, MATCH($C37, $C$8:$C$57, 0), (COLUMNS($DC37:DJ37)-1)*5 + 1) = INDEX($E$5:$CE$5, 1, (COLUMNS($DC37:DJ37)-1)*5 + 1), INDEX($E$8:$CE$57, MATCH($C37, $C$8:$C$57, 0), (COLUMNS($DC37:DJ37)-1)*5 + 4) = "F"), INDEX($CZ$8:$CZ$23, COLUMNS($DC37:DJ37)), "0"), "")</f>
        <v>0</v>
      </c>
      <c r="DK37" s="390" t="str">
        <f t="array" ref="DK37">IFERROR(IF(AND(INDEX($E$8:$CE$57, MATCH($C37, $C$8:$C$57, 0), (COLUMNS($DC37:DK37)-1)*5 + 1) = INDEX($E$5:$CE$5, 1, (COLUMNS($DC37:DK37)-1)*5 + 1), INDEX($E$8:$CE$57, MATCH($C37, $C$8:$C$57, 0), (COLUMNS($DC37:DK37)-1)*5 + 4) = "F"), INDEX($CZ$8:$CZ$23, COLUMNS($DC37:DK37)), "0"), "")</f>
        <v>0</v>
      </c>
      <c r="DL37" s="390" t="str">
        <f t="array" ref="DL37">IFERROR(IF(AND(INDEX($E$8:$CE$57, MATCH($C37, $C$8:$C$57, 0), (COLUMNS($DC37:DL37)-1)*5 + 1) = INDEX($E$5:$CE$5, 1, (COLUMNS($DC37:DL37)-1)*5 + 1), INDEX($E$8:$CE$57, MATCH($C37, $C$8:$C$57, 0), (COLUMNS($DC37:DL37)-1)*5 + 4) = "F"), INDEX($CZ$8:$CZ$23, COLUMNS($DC37:DL37)), "0"), "")</f>
        <v>0</v>
      </c>
      <c r="DM37" s="390" t="str">
        <f t="array" ref="DM37">IFERROR(IF(AND(INDEX($E$8:$CE$57, MATCH($C37, $C$8:$C$57, 0), (COLUMNS($DC37:DM37)-1)*5 + 1) = INDEX($E$5:$CE$5, 1, (COLUMNS($DC37:DM37)-1)*5 + 1), INDEX($E$8:$CE$57, MATCH($C37, $C$8:$C$57, 0), (COLUMNS($DC37:DM37)-1)*5 + 4) = "F"), INDEX($CZ$8:$CZ$23, COLUMNS($DC37:DM37)), "0"), "")</f>
        <v>0</v>
      </c>
      <c r="DN37" s="390" t="str">
        <f t="array" ref="DN37">IFERROR(IF(AND(INDEX($E$8:$CE$57, MATCH($C37, $C$8:$C$57, 0), (COLUMNS($DC37:DN37)-1)*5 + 1) = INDEX($E$5:$CE$5, 1, (COLUMNS($DC37:DN37)-1)*5 + 1), INDEX($E$8:$CE$57, MATCH($C37, $C$8:$C$57, 0), (COLUMNS($DC37:DN37)-1)*5 + 4) = "F"), INDEX($CZ$8:$CZ$23, COLUMNS($DC37:DN37)), "0"), "")</f>
        <v>0</v>
      </c>
      <c r="DO37" s="390" t="str">
        <f t="array" ref="DO37">IFERROR(IF(AND(INDEX($E$8:$CE$57, MATCH($C37, $C$8:$C$57, 0), (COLUMNS($DC37:DO37)-1)*5 + 1) = INDEX($E$5:$CE$5, 1, (COLUMNS($DC37:DO37)-1)*5 + 1), INDEX($E$8:$CE$57, MATCH($C37, $C$8:$C$57, 0), (COLUMNS($DC37:DO37)-1)*5 + 4) = "F"), INDEX($CZ$8:$CZ$23, COLUMNS($DC37:DO37)), "0"), "")</f>
        <v>0</v>
      </c>
      <c r="DP37" s="390" t="str">
        <f t="array" ref="DP37">IFERROR(IF(AND(INDEX($E$8:$CE$57, MATCH($C37, $C$8:$C$57, 0), (COLUMNS($DC37:DP37)-1)*5 + 1) = INDEX($E$5:$CE$5, 1, (COLUMNS($DC37:DP37)-1)*5 + 1), INDEX($E$8:$CE$57, MATCH($C37, $C$8:$C$57, 0), (COLUMNS($DC37:DP37)-1)*5 + 4) = "F"), INDEX($CZ$8:$CZ$23, COLUMNS($DC37:DP37)), "0"), "")</f>
        <v>0</v>
      </c>
      <c r="DQ37" s="390" t="str">
        <f t="array" ref="DQ37">IFERROR(IF(AND(INDEX($E$8:$CE$57, MATCH($C37, $C$8:$C$57, 0), (COLUMNS($DC37:DQ37)-1)*5 + 1) = INDEX($E$5:$CE$5, 1, (COLUMNS($DC37:DQ37)-1)*5 + 1), INDEX($E$8:$CE$57, MATCH($C37, $C$8:$C$57, 0), (COLUMNS($DC37:DQ37)-1)*5 + 4) = "F"), INDEX($CZ$8:$CZ$23, COLUMNS($DC37:DQ37)), "0"), "")</f>
        <v>0</v>
      </c>
      <c r="DR37" s="390" t="str">
        <f t="array" ref="DR37">IFERROR(IF(AND(INDEX($E$8:$CE$57, MATCH($C37, $C$8:$C$57, 0), (COLUMNS($DC37:DR37)-1)*5 + 1) = INDEX($E$5:$CE$5, 1, (COLUMNS($DC37:DR37)-1)*5 + 1), INDEX($E$8:$CE$57, MATCH($C37, $C$8:$C$57, 0), (COLUMNS($DC37:DR37)-1)*5 + 4) = "F"), INDEX($CZ$8:$CZ$23, COLUMNS($DC37:DR37)), "0"), "")</f>
        <v>0</v>
      </c>
      <c r="DT37" s="537" t="str">
        <f>SEMANA29[[#This Row],[COD]]</f>
        <v>COD 30</v>
      </c>
      <c r="DU37" s="390" t="str">
        <f t="array" ref="DU37">IFERROR(IF(AND(INDEX($E$8:$CE$57, MATCH($C37, $C$8:$C$57, 0), (COLUMNS($DU37:DU37)-1)*5 + 1) = INDEX($E$5:$CE$5, 1, (COLUMNS($DU37:DU37)-1)*5 + 1), INDEX($E$8:$CE$57, MATCH($C37, $C$8:$C$57, 0), (COLUMNS($DU37:DU37)-1)*5 + 4) = "SF"), INDEX($CZ$8:$CZ$23, COLUMNS($DU37:DU37)), "0"), "")</f>
        <v>0</v>
      </c>
      <c r="DV37" s="390" t="str">
        <f t="array" ref="DV37">IFERROR(IF(AND(INDEX($E$8:$CE$57, MATCH($C37, $C$8:$C$57, 0), (COLUMNS($DU37:DV37)-1)*5 + 1) = INDEX($E$5:$CE$5, 1, (COLUMNS($DU37:DV37)-1)*5 + 1), INDEX($E$8:$CE$57, MATCH($C37, $C$8:$C$57, 0), (COLUMNS($DU37:DV37)-1)*5 + 4) = "SF"), INDEX($CZ$8:$CZ$23, COLUMNS($DU37:DV37)), "0"), "")</f>
        <v>0</v>
      </c>
      <c r="DW37" s="390" t="str">
        <f t="array" ref="DW37">IFERROR(IF(AND(INDEX($E$8:$CE$57, MATCH($C37, $C$8:$C$57, 0), (COLUMNS($DU37:DW37)-1)*5 + 1) = INDEX($E$5:$CE$5, 1, (COLUMNS($DU37:DW37)-1)*5 + 1), INDEX($E$8:$CE$57, MATCH($C37, $C$8:$C$57, 0), (COLUMNS($DU37:DW37)-1)*5 + 4) = "SF"), INDEX($CZ$8:$CZ$23, COLUMNS($DU37:DW37)), "0"), "")</f>
        <v>0</v>
      </c>
      <c r="DX37" s="390" t="str">
        <f t="array" ref="DX37">IFERROR(IF(AND(INDEX($E$8:$CE$57, MATCH($C37, $C$8:$C$57, 0), (COLUMNS($DU37:DX37)-1)*5 + 1) = INDEX($E$5:$CE$5, 1, (COLUMNS($DU37:DX37)-1)*5 + 1), INDEX($E$8:$CE$57, MATCH($C37, $C$8:$C$57, 0), (COLUMNS($DU37:DX37)-1)*5 + 4) = "SF"), INDEX($CZ$8:$CZ$23, COLUMNS($DU37:DX37)), "0"), "")</f>
        <v>0</v>
      </c>
      <c r="DY37" s="390" t="str">
        <f t="array" ref="DY37">IFERROR(IF(AND(INDEX($E$8:$CE$57, MATCH($C37, $C$8:$C$57, 0), (COLUMNS($DU37:DY37)-1)*5 + 1) = INDEX($E$5:$CE$5, 1, (COLUMNS($DU37:DY37)-1)*5 + 1), INDEX($E$8:$CE$57, MATCH($C37, $C$8:$C$57, 0), (COLUMNS($DU37:DY37)-1)*5 + 4) = "SF"), INDEX($CZ$8:$CZ$23, COLUMNS($DU37:DY37)), "0"), "")</f>
        <v>0</v>
      </c>
      <c r="DZ37" s="390" t="str">
        <f t="array" ref="DZ37">IFERROR(IF(AND(INDEX($E$8:$CE$57, MATCH($C37, $C$8:$C$57, 0), (COLUMNS($DU37:DZ37)-1)*5 + 1) = INDEX($E$5:$CE$5, 1, (COLUMNS($DU37:DZ37)-1)*5 + 1), INDEX($E$8:$CE$57, MATCH($C37, $C$8:$C$57, 0), (COLUMNS($DU37:DZ37)-1)*5 + 4) = "SF"), INDEX($CZ$8:$CZ$23, COLUMNS($DU37:DZ37)), "0"), "")</f>
        <v>0</v>
      </c>
      <c r="EA37" s="390" t="str">
        <f t="array" ref="EA37">IFERROR(IF(AND(INDEX($E$8:$CE$57, MATCH($C37, $C$8:$C$57, 0), (COLUMNS($DU37:EA37)-1)*5 + 1) = INDEX($E$5:$CE$5, 1, (COLUMNS($DU37:EA37)-1)*5 + 1), INDEX($E$8:$CE$57, MATCH($C37, $C$8:$C$57, 0), (COLUMNS($DU37:EA37)-1)*5 + 4) = "SF"), INDEX($CZ$8:$CZ$23, COLUMNS($DU37:EA37)), "0"), "")</f>
        <v>0</v>
      </c>
      <c r="EB37" s="390" t="str">
        <f t="array" ref="EB37">IFERROR(IF(AND(INDEX($E$8:$CE$57, MATCH($C37, $C$8:$C$57, 0), (COLUMNS($DU37:EB37)-1)*5 + 1) = INDEX($E$5:$CE$5, 1, (COLUMNS($DU37:EB37)-1)*5 + 1), INDEX($E$8:$CE$57, MATCH($C37, $C$8:$C$57, 0), (COLUMNS($DU37:EB37)-1)*5 + 4) = "SF"), INDEX($CZ$8:$CZ$23, COLUMNS($DU37:EB37)), "0"), "")</f>
        <v>0</v>
      </c>
      <c r="EC37" s="390" t="str">
        <f t="array" ref="EC37">IFERROR(IF(AND(INDEX($E$8:$CE$57, MATCH($C37, $C$8:$C$57, 0), (COLUMNS($DU37:EC37)-1)*5 + 1) = INDEX($E$5:$CE$5, 1, (COLUMNS($DU37:EC37)-1)*5 + 1), INDEX($E$8:$CE$57, MATCH($C37, $C$8:$C$57, 0), (COLUMNS($DU37:EC37)-1)*5 + 4) = "SF"), INDEX($CZ$8:$CZ$23, COLUMNS($DU37:EC37)), "0"), "")</f>
        <v>0</v>
      </c>
      <c r="ED37" s="390" t="str">
        <f t="array" ref="ED37">IFERROR(IF(AND(INDEX($E$8:$CE$57, MATCH($C37, $C$8:$C$57, 0), (COLUMNS($DU37:ED37)-1)*5 + 1) = INDEX($E$5:$CE$5, 1, (COLUMNS($DU37:ED37)-1)*5 + 1), INDEX($E$8:$CE$57, MATCH($C37, $C$8:$C$57, 0), (COLUMNS($DU37:ED37)-1)*5 + 4) = "SF"), INDEX($CZ$8:$CZ$23, COLUMNS($DU37:ED37)), "0"), "")</f>
        <v>0</v>
      </c>
      <c r="EE37" s="390" t="str">
        <f t="array" ref="EE37">IFERROR(IF(AND(INDEX($E$8:$CE$57, MATCH($C37, $C$8:$C$57, 0), (COLUMNS($DU37:EE37)-1)*5 + 1) = INDEX($E$5:$CE$5, 1, (COLUMNS($DU37:EE37)-1)*5 + 1), INDEX($E$8:$CE$57, MATCH($C37, $C$8:$C$57, 0), (COLUMNS($DU37:EE37)-1)*5 + 4) = "SF"), INDEX($CZ$8:$CZ$23, COLUMNS($DU37:EE37)), "0"), "")</f>
        <v>0</v>
      </c>
      <c r="EF37" s="390" t="str">
        <f t="array" ref="EF37">IFERROR(IF(AND(INDEX($E$8:$CE$57, MATCH($C37, $C$8:$C$57, 0), (COLUMNS($DU37:EF37)-1)*5 + 1) = INDEX($E$5:$CE$5, 1, (COLUMNS($DU37:EF37)-1)*5 + 1), INDEX($E$8:$CE$57, MATCH($C37, $C$8:$C$57, 0), (COLUMNS($DU37:EF37)-1)*5 + 4) = "SF"), INDEX($CZ$8:$CZ$23, COLUMNS($DU37:EF37)), "0"), "")</f>
        <v>0</v>
      </c>
      <c r="EG37" s="390" t="str">
        <f t="array" ref="EG37">IFERROR(IF(AND(INDEX($E$8:$CE$57, MATCH($C37, $C$8:$C$57, 0), (COLUMNS($DU37:EG37)-1)*5 + 1) = INDEX($E$5:$CE$5, 1, (COLUMNS($DU37:EG37)-1)*5 + 1), INDEX($E$8:$CE$57, MATCH($C37, $C$8:$C$57, 0), (COLUMNS($DU37:EG37)-1)*5 + 4) = "SF"), INDEX($CZ$8:$CZ$23, COLUMNS($DU37:EG37)), "0"), "")</f>
        <v>0</v>
      </c>
      <c r="EH37" s="390" t="str">
        <f t="array" ref="EH37">IFERROR(IF(AND(INDEX($E$8:$CE$57, MATCH($C37, $C$8:$C$57, 0), (COLUMNS($DU37:EH37)-1)*5 + 1) = INDEX($E$5:$CE$5, 1, (COLUMNS($DU37:EH37)-1)*5 + 1), INDEX($E$8:$CE$57, MATCH($C37, $C$8:$C$57, 0), (COLUMNS($DU37:EH37)-1)*5 + 4) = "SF"), INDEX($CZ$8:$CZ$23, COLUMNS($DU37:EH37)), "0"), "")</f>
        <v>0</v>
      </c>
      <c r="EI37" s="390" t="str">
        <f t="array" ref="EI37">IFERROR(IF(AND(INDEX($E$8:$CE$57, MATCH($C37, $C$8:$C$57, 0), (COLUMNS($DU37:EI37)-1)*5 + 1) = INDEX($E$5:$CE$5, 1, (COLUMNS($DU37:EI37)-1)*5 + 1), INDEX($E$8:$CE$57, MATCH($C37, $C$8:$C$57, 0), (COLUMNS($DU37:EI37)-1)*5 + 4) = "SF"), INDEX($CZ$8:$CZ$23, COLUMNS($DU37:EI37)), "0"), "")</f>
        <v>0</v>
      </c>
      <c r="EJ37" s="390" t="str">
        <f t="array" ref="EJ37">IFERROR(IF(AND(INDEX($E$8:$CE$57, MATCH($C37, $C$8:$C$57, 0), (COLUMNS($DU37:EJ37)-1)*5 + 1) = INDEX($E$5:$CE$5, 1, (COLUMNS($DU37:EJ37)-1)*5 + 1), INDEX($E$8:$CE$57, MATCH($C37, $C$8:$C$57, 0), (COLUMNS($DU37:EJ37)-1)*5 + 4) = "SF"), INDEX($CZ$8:$CZ$23, COLUMNS($DU37:EJ37)), "0"), "")</f>
        <v>0</v>
      </c>
    </row>
    <row r="38" spans="1:140" ht="19.5" customHeight="1" x14ac:dyDescent="0.35">
      <c r="A38" s="515"/>
      <c r="B38" s="444">
        <f>IF(SEMANA29[[#This Row],[COD]]&lt;&gt;"",B37+1,"")</f>
        <v>31</v>
      </c>
      <c r="C38" s="554" t="s">
        <v>91</v>
      </c>
      <c r="D38" s="410" t="str">
        <f t="array" ref="D38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38" s="411"/>
      <c r="F38" s="413"/>
      <c r="G38" s="413"/>
      <c r="H38" s="413"/>
      <c r="I38" s="534">
        <f t="shared" si="0"/>
        <v>0</v>
      </c>
      <c r="J38" s="411"/>
      <c r="K38" s="413"/>
      <c r="L38" s="413"/>
      <c r="M38" s="413"/>
      <c r="N38" s="534">
        <f t="shared" si="1"/>
        <v>0</v>
      </c>
      <c r="O38" s="411"/>
      <c r="P38" s="413"/>
      <c r="Q38" s="413"/>
      <c r="R38" s="413"/>
      <c r="S38" s="534">
        <f t="shared" si="2"/>
        <v>0</v>
      </c>
      <c r="T38" s="411"/>
      <c r="U38" s="413"/>
      <c r="V38" s="413"/>
      <c r="W38" s="413"/>
      <c r="X38" s="534">
        <f t="shared" si="3"/>
        <v>0</v>
      </c>
      <c r="Y38" s="411"/>
      <c r="Z38" s="413"/>
      <c r="AA38" s="413"/>
      <c r="AB38" s="413"/>
      <c r="AC38" s="534">
        <f t="shared" si="4"/>
        <v>0</v>
      </c>
      <c r="AD38" s="411"/>
      <c r="AE38" s="413"/>
      <c r="AF38" s="413"/>
      <c r="AG38" s="413"/>
      <c r="AH38" s="534">
        <f t="shared" si="5"/>
        <v>0</v>
      </c>
      <c r="AI38" s="411"/>
      <c r="AJ38" s="413"/>
      <c r="AK38" s="413"/>
      <c r="AL38" s="413"/>
      <c r="AM38" s="534">
        <f t="shared" si="6"/>
        <v>0</v>
      </c>
      <c r="AN38" s="411"/>
      <c r="AO38" s="413"/>
      <c r="AP38" s="413"/>
      <c r="AQ38" s="413"/>
      <c r="AR38" s="534">
        <f t="shared" si="7"/>
        <v>0</v>
      </c>
      <c r="AS38" s="411"/>
      <c r="AT38" s="413"/>
      <c r="AU38" s="413"/>
      <c r="AV38" s="413"/>
      <c r="AW38" s="534">
        <f t="shared" si="8"/>
        <v>0</v>
      </c>
      <c r="AX38" s="411"/>
      <c r="AY38" s="413"/>
      <c r="AZ38" s="413"/>
      <c r="BA38" s="413"/>
      <c r="BB38" s="534">
        <f t="shared" si="9"/>
        <v>0</v>
      </c>
      <c r="BC38" s="411"/>
      <c r="BD38" s="413"/>
      <c r="BE38" s="413"/>
      <c r="BF38" s="413"/>
      <c r="BG38" s="534">
        <f t="shared" si="10"/>
        <v>0</v>
      </c>
      <c r="BH38" s="411"/>
      <c r="BI38" s="413"/>
      <c r="BJ38" s="413"/>
      <c r="BK38" s="413"/>
      <c r="BL38" s="534">
        <f t="shared" si="11"/>
        <v>0</v>
      </c>
      <c r="BM38" s="411"/>
      <c r="BN38" s="413"/>
      <c r="BO38" s="413"/>
      <c r="BP38" s="413"/>
      <c r="BQ38" s="534">
        <f t="shared" si="12"/>
        <v>0</v>
      </c>
      <c r="BR38" s="411"/>
      <c r="BS38" s="413"/>
      <c r="BT38" s="413"/>
      <c r="BU38" s="413"/>
      <c r="BV38" s="534">
        <f t="shared" si="13"/>
        <v>0</v>
      </c>
      <c r="BW38" s="411"/>
      <c r="BX38" s="413"/>
      <c r="BY38" s="413"/>
      <c r="BZ38" s="413"/>
      <c r="CA38" s="534">
        <f t="shared" si="14"/>
        <v>0</v>
      </c>
      <c r="CB38" s="411"/>
      <c r="CC38" s="413"/>
      <c r="CD38" s="413"/>
      <c r="CE38" s="413"/>
      <c r="CF38" s="534">
        <f t="shared" si="15"/>
        <v>0</v>
      </c>
      <c r="CG38" s="162">
        <f>IF(SEMANA29[[#This Row],[1]]="",0,$B$4)</f>
        <v>0</v>
      </c>
      <c r="CH38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38" s="164">
        <f>IF(SEMANA29[[#This Row],[Columna14]]=0,0,(CH38/CG38))</f>
        <v>0</v>
      </c>
      <c r="CJ38" s="163">
        <f>IF(SEMANA29[[#This Row],[1]]="",0,$B$4)</f>
        <v>0</v>
      </c>
      <c r="CK38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38" s="164">
        <f>IF(SEMANA29[[#This Row],[Columna14]]=0,0,(CK38/CJ38))</f>
        <v>0</v>
      </c>
      <c r="CM38" s="162">
        <f>IF(SEMANA29[[#This Row],[1]]="",0,$B$4)</f>
        <v>0</v>
      </c>
      <c r="CN38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38" s="164">
        <f>IF(SEMANA29[[#This Row],[Columna14]]=0,0,(CN38/CM38))</f>
        <v>0</v>
      </c>
      <c r="CP38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38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Row],[Columna25]],$AX$5,BA38,"SF")+COUNTIFS(SEMANA29[[#This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38" s="164">
        <f>IFERROR(IF(SEMANA29[[#This Row],[Columna14]]=0,0,(CQ38/CP38)),0)</f>
        <v>0</v>
      </c>
      <c r="CS38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38" s="93">
        <f>_xlfn.XLOOKUP(SEMANA29[[#This Row],[COD]],SEMANA2[COD],SEMANA2[Columna33])</f>
        <v>59.5</v>
      </c>
      <c r="CU38" s="536">
        <f t="shared" si="16"/>
        <v>59.5</v>
      </c>
      <c r="CV38" s="445" t="str">
        <f>IF(SEMANA29[[#This Row],[TIPO]]="PREMIO",$O$3,"0,00")</f>
        <v>0,00</v>
      </c>
      <c r="CW38" s="515"/>
      <c r="CY38" s="387" t="str">
        <f t="shared" si="17"/>
        <v/>
      </c>
      <c r="CZ38" s="387"/>
      <c r="DA38" s="387" t="str">
        <f t="array" ref="DA38">IF(CZ38="", "", IF((INDEX(E$8:CE$57, MATCH(CZ38, C$8:C$57, 0), ($CZ$25-1)*5 + 1) &amp; "") = (INDEX(E$5:CE$5, 1, ($CZ$25-1)*5 + 1) &amp; ""), 1, IF((INDEX(E$8:CE$57, MATCH(CZ38, C$8:C$57, 0), ($CZ$25-1)*5 + 2) &amp; "") = (INDEX(E$5:CE$5, 1, ($CZ$25-1)*5 + 1) &amp; ""), 2, IF((INDEX(E$8:CE$57, MATCH(CZ38, C$8:C$57, 0), ($CZ$25-1)*5 + 3) &amp; "") = (INDEX(E$5:CE$5, 1, ($CZ$25-1)*5 + 1) &amp; ""), 3, ""))))</f>
        <v/>
      </c>
      <c r="DB38" s="537" t="str">
        <f>SEMANA29[[#This Row],[COD]]</f>
        <v>COD 31</v>
      </c>
      <c r="DC38" s="390" t="str">
        <f t="array" ref="DC38">IFERROR(IF(AND(INDEX($E$8:$CE$57, MATCH($C38, $C$8:$C$57, 0), (COLUMNS($DC38:DC38)-1)*5 + 1) = INDEX($E$5:$CE$5, 1, (COLUMNS($DC38:DC38)-1)*5 + 1), INDEX($E$8:$CE$57, MATCH($C38, $C$8:$C$57, 0), (COLUMNS($DC38:DC38)-1)*5 + 4) = "F"), INDEX($CZ$8:$CZ$23, COLUMNS($DC38:DC38)), "0"), "")</f>
        <v>0</v>
      </c>
      <c r="DD38" s="390" t="str">
        <f t="array" ref="DD38">IFERROR(IF(AND(INDEX($E$8:$CE$57, MATCH($C38, $C$8:$C$57, 0), (COLUMNS($DC38:DD38)-1)*5 + 1) = INDEX($E$5:$CE$5, 1, (COLUMNS($DC38:DD38)-1)*5 + 1), INDEX($E$8:$CE$57, MATCH($C38, $C$8:$C$57, 0), (COLUMNS($DC38:DD38)-1)*5 + 4) = "F"), INDEX($CZ$8:$CZ$23, COLUMNS($DC38:DD38)), "0"), "")</f>
        <v>0</v>
      </c>
      <c r="DE38" s="390" t="str">
        <f t="array" ref="DE38">IFERROR(IF(AND(INDEX($E$8:$CE$57, MATCH($C38, $C$8:$C$57, 0), (COLUMNS($DC38:DE38)-1)*5 + 1) = INDEX($E$5:$CE$5, 1, (COLUMNS($DC38:DE38)-1)*5 + 1), INDEX($E$8:$CE$57, MATCH($C38, $C$8:$C$57, 0), (COLUMNS($DC38:DE38)-1)*5 + 4) = "F"), INDEX($CZ$8:$CZ$23, COLUMNS($DC38:DE38)), "0"), "")</f>
        <v>0</v>
      </c>
      <c r="DF38" s="390" t="str">
        <f t="array" ref="DF38">IFERROR(IF(AND(INDEX($E$8:$CE$57, MATCH($C38, $C$8:$C$57, 0), (COLUMNS($DC38:DF38)-1)*5 + 1) = INDEX($E$5:$CE$5, 1, (COLUMNS($DC38:DF38)-1)*5 + 1), INDEX($E$8:$CE$57, MATCH($C38, $C$8:$C$57, 0), (COLUMNS($DC38:DF38)-1)*5 + 4) = "F"), INDEX($CZ$8:$CZ$23, COLUMNS($DC38:DF38)), "0"), "")</f>
        <v>0</v>
      </c>
      <c r="DG38" s="390" t="str">
        <f t="array" ref="DG38">IFERROR(IF(AND(INDEX($E$8:$CE$57, MATCH($C38, $C$8:$C$57, 0), (COLUMNS($DC38:DG38)-1)*5 + 1) = INDEX($E$5:$CE$5, 1, (COLUMNS($DC38:DG38)-1)*5 + 1), INDEX($E$8:$CE$57, MATCH($C38, $C$8:$C$57, 0), (COLUMNS($DC38:DG38)-1)*5 + 4) = "F"), INDEX($CZ$8:$CZ$23, COLUMNS($DC38:DG38)), "0"), "")</f>
        <v>0</v>
      </c>
      <c r="DH38" s="390" t="str">
        <f t="array" ref="DH38">IFERROR(IF(AND(INDEX($E$8:$CE$57, MATCH($C38, $C$8:$C$57, 0), (COLUMNS($DC38:DH38)-1)*5 + 1) = INDEX($E$5:$CE$5, 1, (COLUMNS($DC38:DH38)-1)*5 + 1), INDEX($E$8:$CE$57, MATCH($C38, $C$8:$C$57, 0), (COLUMNS($DC38:DH38)-1)*5 + 4) = "F"), INDEX($CZ$8:$CZ$23, COLUMNS($DC38:DH38)), "0"), "")</f>
        <v>0</v>
      </c>
      <c r="DI38" s="390" t="str">
        <f t="array" ref="DI38">IFERROR(IF(AND(INDEX($E$8:$CE$57, MATCH($C38, $C$8:$C$57, 0), (COLUMNS($DC38:DI38)-1)*5 + 1) = INDEX($E$5:$CE$5, 1, (COLUMNS($DC38:DI38)-1)*5 + 1), INDEX($E$8:$CE$57, MATCH($C38, $C$8:$C$57, 0), (COLUMNS($DC38:DI38)-1)*5 + 4) = "F"), INDEX($CZ$8:$CZ$23, COLUMNS($DC38:DI38)), "0"), "")</f>
        <v>0</v>
      </c>
      <c r="DJ38" s="390" t="str">
        <f t="array" ref="DJ38">IFERROR(IF(AND(INDEX($E$8:$CE$57, MATCH($C38, $C$8:$C$57, 0), (COLUMNS($DC38:DJ38)-1)*5 + 1) = INDEX($E$5:$CE$5, 1, (COLUMNS($DC38:DJ38)-1)*5 + 1), INDEX($E$8:$CE$57, MATCH($C38, $C$8:$C$57, 0), (COLUMNS($DC38:DJ38)-1)*5 + 4) = "F"), INDEX($CZ$8:$CZ$23, COLUMNS($DC38:DJ38)), "0"), "")</f>
        <v>0</v>
      </c>
      <c r="DK38" s="390" t="str">
        <f t="array" ref="DK38">IFERROR(IF(AND(INDEX($E$8:$CE$57, MATCH($C38, $C$8:$C$57, 0), (COLUMNS($DC38:DK38)-1)*5 + 1) = INDEX($E$5:$CE$5, 1, (COLUMNS($DC38:DK38)-1)*5 + 1), INDEX($E$8:$CE$57, MATCH($C38, $C$8:$C$57, 0), (COLUMNS($DC38:DK38)-1)*5 + 4) = "F"), INDEX($CZ$8:$CZ$23, COLUMNS($DC38:DK38)), "0"), "")</f>
        <v>0</v>
      </c>
      <c r="DL38" s="390" t="str">
        <f t="array" ref="DL38">IFERROR(IF(AND(INDEX($E$8:$CE$57, MATCH($C38, $C$8:$C$57, 0), (COLUMNS($DC38:DL38)-1)*5 + 1) = INDEX($E$5:$CE$5, 1, (COLUMNS($DC38:DL38)-1)*5 + 1), INDEX($E$8:$CE$57, MATCH($C38, $C$8:$C$57, 0), (COLUMNS($DC38:DL38)-1)*5 + 4) = "F"), INDEX($CZ$8:$CZ$23, COLUMNS($DC38:DL38)), "0"), "")</f>
        <v>0</v>
      </c>
      <c r="DM38" s="390" t="str">
        <f t="array" ref="DM38">IFERROR(IF(AND(INDEX($E$8:$CE$57, MATCH($C38, $C$8:$C$57, 0), (COLUMNS($DC38:DM38)-1)*5 + 1) = INDEX($E$5:$CE$5, 1, (COLUMNS($DC38:DM38)-1)*5 + 1), INDEX($E$8:$CE$57, MATCH($C38, $C$8:$C$57, 0), (COLUMNS($DC38:DM38)-1)*5 + 4) = "F"), INDEX($CZ$8:$CZ$23, COLUMNS($DC38:DM38)), "0"), "")</f>
        <v>0</v>
      </c>
      <c r="DN38" s="390" t="str">
        <f t="array" ref="DN38">IFERROR(IF(AND(INDEX($E$8:$CE$57, MATCH($C38, $C$8:$C$57, 0), (COLUMNS($DC38:DN38)-1)*5 + 1) = INDEX($E$5:$CE$5, 1, (COLUMNS($DC38:DN38)-1)*5 + 1), INDEX($E$8:$CE$57, MATCH($C38, $C$8:$C$57, 0), (COLUMNS($DC38:DN38)-1)*5 + 4) = "F"), INDEX($CZ$8:$CZ$23, COLUMNS($DC38:DN38)), "0"), "")</f>
        <v>0</v>
      </c>
      <c r="DO38" s="390" t="str">
        <f t="array" ref="DO38">IFERROR(IF(AND(INDEX($E$8:$CE$57, MATCH($C38, $C$8:$C$57, 0), (COLUMNS($DC38:DO38)-1)*5 + 1) = INDEX($E$5:$CE$5, 1, (COLUMNS($DC38:DO38)-1)*5 + 1), INDEX($E$8:$CE$57, MATCH($C38, $C$8:$C$57, 0), (COLUMNS($DC38:DO38)-1)*5 + 4) = "F"), INDEX($CZ$8:$CZ$23, COLUMNS($DC38:DO38)), "0"), "")</f>
        <v>0</v>
      </c>
      <c r="DP38" s="390" t="str">
        <f t="array" ref="DP38">IFERROR(IF(AND(INDEX($E$8:$CE$57, MATCH($C38, $C$8:$C$57, 0), (COLUMNS($DC38:DP38)-1)*5 + 1) = INDEX($E$5:$CE$5, 1, (COLUMNS($DC38:DP38)-1)*5 + 1), INDEX($E$8:$CE$57, MATCH($C38, $C$8:$C$57, 0), (COLUMNS($DC38:DP38)-1)*5 + 4) = "F"), INDEX($CZ$8:$CZ$23, COLUMNS($DC38:DP38)), "0"), "")</f>
        <v>0</v>
      </c>
      <c r="DQ38" s="390" t="str">
        <f t="array" ref="DQ38">IFERROR(IF(AND(INDEX($E$8:$CE$57, MATCH($C38, $C$8:$C$57, 0), (COLUMNS($DC38:DQ38)-1)*5 + 1) = INDEX($E$5:$CE$5, 1, (COLUMNS($DC38:DQ38)-1)*5 + 1), INDEX($E$8:$CE$57, MATCH($C38, $C$8:$C$57, 0), (COLUMNS($DC38:DQ38)-1)*5 + 4) = "F"), INDEX($CZ$8:$CZ$23, COLUMNS($DC38:DQ38)), "0"), "")</f>
        <v>0</v>
      </c>
      <c r="DR38" s="390" t="str">
        <f t="array" ref="DR38">IFERROR(IF(AND(INDEX($E$8:$CE$57, MATCH($C38, $C$8:$C$57, 0), (COLUMNS($DC38:DR38)-1)*5 + 1) = INDEX($E$5:$CE$5, 1, (COLUMNS($DC38:DR38)-1)*5 + 1), INDEX($E$8:$CE$57, MATCH($C38, $C$8:$C$57, 0), (COLUMNS($DC38:DR38)-1)*5 + 4) = "F"), INDEX($CZ$8:$CZ$23, COLUMNS($DC38:DR38)), "0"), "")</f>
        <v>0</v>
      </c>
      <c r="DT38" s="537" t="str">
        <f>SEMANA29[[#This Row],[COD]]</f>
        <v>COD 31</v>
      </c>
      <c r="DU38" s="390" t="str">
        <f t="array" ref="DU38">IFERROR(IF(AND(INDEX($E$8:$CE$57, MATCH($C38, $C$8:$C$57, 0), (COLUMNS($DU38:DU38)-1)*5 + 1) = INDEX($E$5:$CE$5, 1, (COLUMNS($DU38:DU38)-1)*5 + 1), INDEX($E$8:$CE$57, MATCH($C38, $C$8:$C$57, 0), (COLUMNS($DU38:DU38)-1)*5 + 4) = "SF"), INDEX($CZ$8:$CZ$23, COLUMNS($DU38:DU38)), "0"), "")</f>
        <v>0</v>
      </c>
      <c r="DV38" s="390" t="str">
        <f t="array" ref="DV38">IFERROR(IF(AND(INDEX($E$8:$CE$57, MATCH($C38, $C$8:$C$57, 0), (COLUMNS($DU38:DV38)-1)*5 + 1) = INDEX($E$5:$CE$5, 1, (COLUMNS($DU38:DV38)-1)*5 + 1), INDEX($E$8:$CE$57, MATCH($C38, $C$8:$C$57, 0), (COLUMNS($DU38:DV38)-1)*5 + 4) = "SF"), INDEX($CZ$8:$CZ$23, COLUMNS($DU38:DV38)), "0"), "")</f>
        <v>0</v>
      </c>
      <c r="DW38" s="390" t="str">
        <f t="array" ref="DW38">IFERROR(IF(AND(INDEX($E$8:$CE$57, MATCH($C38, $C$8:$C$57, 0), (COLUMNS($DU38:DW38)-1)*5 + 1) = INDEX($E$5:$CE$5, 1, (COLUMNS($DU38:DW38)-1)*5 + 1), INDEX($E$8:$CE$57, MATCH($C38, $C$8:$C$57, 0), (COLUMNS($DU38:DW38)-1)*5 + 4) = "SF"), INDEX($CZ$8:$CZ$23, COLUMNS($DU38:DW38)), "0"), "")</f>
        <v>0</v>
      </c>
      <c r="DX38" s="390" t="str">
        <f t="array" ref="DX38">IFERROR(IF(AND(INDEX($E$8:$CE$57, MATCH($C38, $C$8:$C$57, 0), (COLUMNS($DU38:DX38)-1)*5 + 1) = INDEX($E$5:$CE$5, 1, (COLUMNS($DU38:DX38)-1)*5 + 1), INDEX($E$8:$CE$57, MATCH($C38, $C$8:$C$57, 0), (COLUMNS($DU38:DX38)-1)*5 + 4) = "SF"), INDEX($CZ$8:$CZ$23, COLUMNS($DU38:DX38)), "0"), "")</f>
        <v>0</v>
      </c>
      <c r="DY38" s="390" t="str">
        <f t="array" ref="DY38">IFERROR(IF(AND(INDEX($E$8:$CE$57, MATCH($C38, $C$8:$C$57, 0), (COLUMNS($DU38:DY38)-1)*5 + 1) = INDEX($E$5:$CE$5, 1, (COLUMNS($DU38:DY38)-1)*5 + 1), INDEX($E$8:$CE$57, MATCH($C38, $C$8:$C$57, 0), (COLUMNS($DU38:DY38)-1)*5 + 4) = "SF"), INDEX($CZ$8:$CZ$23, COLUMNS($DU38:DY38)), "0"), "")</f>
        <v>0</v>
      </c>
      <c r="DZ38" s="390" t="str">
        <f t="array" ref="DZ38">IFERROR(IF(AND(INDEX($E$8:$CE$57, MATCH($C38, $C$8:$C$57, 0), (COLUMNS($DU38:DZ38)-1)*5 + 1) = INDEX($E$5:$CE$5, 1, (COLUMNS($DU38:DZ38)-1)*5 + 1), INDEX($E$8:$CE$57, MATCH($C38, $C$8:$C$57, 0), (COLUMNS($DU38:DZ38)-1)*5 + 4) = "SF"), INDEX($CZ$8:$CZ$23, COLUMNS($DU38:DZ38)), "0"), "")</f>
        <v>0</v>
      </c>
      <c r="EA38" s="390" t="str">
        <f t="array" ref="EA38">IFERROR(IF(AND(INDEX($E$8:$CE$57, MATCH($C38, $C$8:$C$57, 0), (COLUMNS($DU38:EA38)-1)*5 + 1) = INDEX($E$5:$CE$5, 1, (COLUMNS($DU38:EA38)-1)*5 + 1), INDEX($E$8:$CE$57, MATCH($C38, $C$8:$C$57, 0), (COLUMNS($DU38:EA38)-1)*5 + 4) = "SF"), INDEX($CZ$8:$CZ$23, COLUMNS($DU38:EA38)), "0"), "")</f>
        <v>0</v>
      </c>
      <c r="EB38" s="390" t="str">
        <f t="array" ref="EB38">IFERROR(IF(AND(INDEX($E$8:$CE$57, MATCH($C38, $C$8:$C$57, 0), (COLUMNS($DU38:EB38)-1)*5 + 1) = INDEX($E$5:$CE$5, 1, (COLUMNS($DU38:EB38)-1)*5 + 1), INDEX($E$8:$CE$57, MATCH($C38, $C$8:$C$57, 0), (COLUMNS($DU38:EB38)-1)*5 + 4) = "SF"), INDEX($CZ$8:$CZ$23, COLUMNS($DU38:EB38)), "0"), "")</f>
        <v>0</v>
      </c>
      <c r="EC38" s="390" t="str">
        <f t="array" ref="EC38">IFERROR(IF(AND(INDEX($E$8:$CE$57, MATCH($C38, $C$8:$C$57, 0), (COLUMNS($DU38:EC38)-1)*5 + 1) = INDEX($E$5:$CE$5, 1, (COLUMNS($DU38:EC38)-1)*5 + 1), INDEX($E$8:$CE$57, MATCH($C38, $C$8:$C$57, 0), (COLUMNS($DU38:EC38)-1)*5 + 4) = "SF"), INDEX($CZ$8:$CZ$23, COLUMNS($DU38:EC38)), "0"), "")</f>
        <v>0</v>
      </c>
      <c r="ED38" s="390" t="str">
        <f t="array" ref="ED38">IFERROR(IF(AND(INDEX($E$8:$CE$57, MATCH($C38, $C$8:$C$57, 0), (COLUMNS($DU38:ED38)-1)*5 + 1) = INDEX($E$5:$CE$5, 1, (COLUMNS($DU38:ED38)-1)*5 + 1), INDEX($E$8:$CE$57, MATCH($C38, $C$8:$C$57, 0), (COLUMNS($DU38:ED38)-1)*5 + 4) = "SF"), INDEX($CZ$8:$CZ$23, COLUMNS($DU38:ED38)), "0"), "")</f>
        <v>0</v>
      </c>
      <c r="EE38" s="390" t="str">
        <f t="array" ref="EE38">IFERROR(IF(AND(INDEX($E$8:$CE$57, MATCH($C38, $C$8:$C$57, 0), (COLUMNS($DU38:EE38)-1)*5 + 1) = INDEX($E$5:$CE$5, 1, (COLUMNS($DU38:EE38)-1)*5 + 1), INDEX($E$8:$CE$57, MATCH($C38, $C$8:$C$57, 0), (COLUMNS($DU38:EE38)-1)*5 + 4) = "SF"), INDEX($CZ$8:$CZ$23, COLUMNS($DU38:EE38)), "0"), "")</f>
        <v>0</v>
      </c>
      <c r="EF38" s="390" t="str">
        <f t="array" ref="EF38">IFERROR(IF(AND(INDEX($E$8:$CE$57, MATCH($C38, $C$8:$C$57, 0), (COLUMNS($DU38:EF38)-1)*5 + 1) = INDEX($E$5:$CE$5, 1, (COLUMNS($DU38:EF38)-1)*5 + 1), INDEX($E$8:$CE$57, MATCH($C38, $C$8:$C$57, 0), (COLUMNS($DU38:EF38)-1)*5 + 4) = "SF"), INDEX($CZ$8:$CZ$23, COLUMNS($DU38:EF38)), "0"), "")</f>
        <v>0</v>
      </c>
      <c r="EG38" s="390" t="str">
        <f t="array" ref="EG38">IFERROR(IF(AND(INDEX($E$8:$CE$57, MATCH($C38, $C$8:$C$57, 0), (COLUMNS($DU38:EG38)-1)*5 + 1) = INDEX($E$5:$CE$5, 1, (COLUMNS($DU38:EG38)-1)*5 + 1), INDEX($E$8:$CE$57, MATCH($C38, $C$8:$C$57, 0), (COLUMNS($DU38:EG38)-1)*5 + 4) = "SF"), INDEX($CZ$8:$CZ$23, COLUMNS($DU38:EG38)), "0"), "")</f>
        <v>0</v>
      </c>
      <c r="EH38" s="390" t="str">
        <f t="array" ref="EH38">IFERROR(IF(AND(INDEX($E$8:$CE$57, MATCH($C38, $C$8:$C$57, 0), (COLUMNS($DU38:EH38)-1)*5 + 1) = INDEX($E$5:$CE$5, 1, (COLUMNS($DU38:EH38)-1)*5 + 1), INDEX($E$8:$CE$57, MATCH($C38, $C$8:$C$57, 0), (COLUMNS($DU38:EH38)-1)*5 + 4) = "SF"), INDEX($CZ$8:$CZ$23, COLUMNS($DU38:EH38)), "0"), "")</f>
        <v>0</v>
      </c>
      <c r="EI38" s="390" t="str">
        <f t="array" ref="EI38">IFERROR(IF(AND(INDEX($E$8:$CE$57, MATCH($C38, $C$8:$C$57, 0), (COLUMNS($DU38:EI38)-1)*5 + 1) = INDEX($E$5:$CE$5, 1, (COLUMNS($DU38:EI38)-1)*5 + 1), INDEX($E$8:$CE$57, MATCH($C38, $C$8:$C$57, 0), (COLUMNS($DU38:EI38)-1)*5 + 4) = "SF"), INDEX($CZ$8:$CZ$23, COLUMNS($DU38:EI38)), "0"), "")</f>
        <v>0</v>
      </c>
      <c r="EJ38" s="390" t="str">
        <f t="array" ref="EJ38">IFERROR(IF(AND(INDEX($E$8:$CE$57, MATCH($C38, $C$8:$C$57, 0), (COLUMNS($DU38:EJ38)-1)*5 + 1) = INDEX($E$5:$CE$5, 1, (COLUMNS($DU38:EJ38)-1)*5 + 1), INDEX($E$8:$CE$57, MATCH($C38, $C$8:$C$57, 0), (COLUMNS($DU38:EJ38)-1)*5 + 4) = "SF"), INDEX($CZ$8:$CZ$23, COLUMNS($DU38:EJ38)), "0"), "")</f>
        <v>0</v>
      </c>
    </row>
    <row r="39" spans="1:140" ht="19.5" customHeight="1" x14ac:dyDescent="0.35">
      <c r="A39" s="515"/>
      <c r="B39" s="444">
        <f>IF(SEMANA29[[#This Row],[COD]]&lt;&gt;"",B38+1,"")</f>
        <v>32</v>
      </c>
      <c r="C39" s="554" t="s">
        <v>93</v>
      </c>
      <c r="D39" s="410" t="str">
        <f t="array" ref="D39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PREMIO</v>
      </c>
      <c r="E39" s="411"/>
      <c r="F39" s="413"/>
      <c r="G39" s="413"/>
      <c r="H39" s="413"/>
      <c r="I39" s="534">
        <f t="shared" si="0"/>
        <v>0</v>
      </c>
      <c r="J39" s="411"/>
      <c r="K39" s="413"/>
      <c r="L39" s="413"/>
      <c r="M39" s="413"/>
      <c r="N39" s="534">
        <f t="shared" si="1"/>
        <v>0</v>
      </c>
      <c r="O39" s="411"/>
      <c r="P39" s="413"/>
      <c r="Q39" s="413"/>
      <c r="R39" s="413"/>
      <c r="S39" s="534">
        <f t="shared" si="2"/>
        <v>0</v>
      </c>
      <c r="T39" s="411"/>
      <c r="U39" s="413"/>
      <c r="V39" s="413"/>
      <c r="W39" s="413"/>
      <c r="X39" s="534">
        <f t="shared" si="3"/>
        <v>0</v>
      </c>
      <c r="Y39" s="411"/>
      <c r="Z39" s="413"/>
      <c r="AA39" s="413"/>
      <c r="AB39" s="413"/>
      <c r="AC39" s="534">
        <f t="shared" si="4"/>
        <v>0</v>
      </c>
      <c r="AD39" s="411"/>
      <c r="AE39" s="413"/>
      <c r="AF39" s="413"/>
      <c r="AG39" s="413"/>
      <c r="AH39" s="534">
        <f t="shared" si="5"/>
        <v>0</v>
      </c>
      <c r="AI39" s="411"/>
      <c r="AJ39" s="413"/>
      <c r="AK39" s="413"/>
      <c r="AL39" s="413"/>
      <c r="AM39" s="534">
        <f t="shared" si="6"/>
        <v>0</v>
      </c>
      <c r="AN39" s="411"/>
      <c r="AO39" s="413"/>
      <c r="AP39" s="413"/>
      <c r="AQ39" s="413"/>
      <c r="AR39" s="534">
        <f t="shared" si="7"/>
        <v>0</v>
      </c>
      <c r="AS39" s="411"/>
      <c r="AT39" s="413"/>
      <c r="AU39" s="413"/>
      <c r="AV39" s="413"/>
      <c r="AW39" s="534">
        <f t="shared" si="8"/>
        <v>0</v>
      </c>
      <c r="AX39" s="411"/>
      <c r="AY39" s="413"/>
      <c r="AZ39" s="413"/>
      <c r="BA39" s="413"/>
      <c r="BB39" s="534">
        <f t="shared" si="9"/>
        <v>0</v>
      </c>
      <c r="BC39" s="411"/>
      <c r="BD39" s="413"/>
      <c r="BE39" s="413"/>
      <c r="BF39" s="413"/>
      <c r="BG39" s="534">
        <f t="shared" si="10"/>
        <v>0</v>
      </c>
      <c r="BH39" s="411"/>
      <c r="BI39" s="413"/>
      <c r="BJ39" s="413"/>
      <c r="BK39" s="413"/>
      <c r="BL39" s="534">
        <f t="shared" si="11"/>
        <v>0</v>
      </c>
      <c r="BM39" s="411"/>
      <c r="BN39" s="413"/>
      <c r="BO39" s="413"/>
      <c r="BP39" s="413"/>
      <c r="BQ39" s="534">
        <f t="shared" si="12"/>
        <v>0</v>
      </c>
      <c r="BR39" s="411"/>
      <c r="BS39" s="413"/>
      <c r="BT39" s="413"/>
      <c r="BU39" s="413"/>
      <c r="BV39" s="534">
        <f t="shared" si="13"/>
        <v>0</v>
      </c>
      <c r="BW39" s="411"/>
      <c r="BX39" s="413"/>
      <c r="BY39" s="413"/>
      <c r="BZ39" s="413"/>
      <c r="CA39" s="534">
        <f t="shared" si="14"/>
        <v>0</v>
      </c>
      <c r="CB39" s="411"/>
      <c r="CC39" s="413"/>
      <c r="CD39" s="413"/>
      <c r="CE39" s="413"/>
      <c r="CF39" s="534">
        <f t="shared" si="15"/>
        <v>0</v>
      </c>
      <c r="CG39" s="162">
        <f>IF(SEMANA29[[#This Row],[1]]="",0,$B$4)</f>
        <v>0</v>
      </c>
      <c r="CH39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39" s="164">
        <f>IF(SEMANA29[[#This Row],[Columna14]]=0,0,(CH39/CG39))</f>
        <v>0</v>
      </c>
      <c r="CJ39" s="163">
        <f>IF(SEMANA29[[#This Row],[1]]="",0,$B$4)</f>
        <v>0</v>
      </c>
      <c r="CK39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39" s="164">
        <f>IF(SEMANA29[[#This Row],[Columna14]]=0,0,(CK39/CJ39))</f>
        <v>0</v>
      </c>
      <c r="CM39" s="162">
        <f>IF(SEMANA29[[#This Row],[1]]="",0,$B$4)</f>
        <v>0</v>
      </c>
      <c r="CN39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39" s="164">
        <f>IF(SEMANA29[[#This Row],[Columna14]]=0,0,(CN39/CM39))</f>
        <v>0</v>
      </c>
      <c r="CP39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39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Row],[Columna25]],$AX$5,BA39,"SF")+COUNTIFS(SEMANA29[[#This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39" s="164">
        <f>IFERROR(IF(SEMANA29[[#This Row],[Columna14]]=0,0,(CQ39/CP39)),0)</f>
        <v>0</v>
      </c>
      <c r="CS39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39" s="93">
        <f>_xlfn.XLOOKUP(SEMANA29[[#This Row],[COD]],SEMANA2[COD],SEMANA2[Columna33])</f>
        <v>62.5</v>
      </c>
      <c r="CU39" s="536">
        <f t="shared" si="16"/>
        <v>62.5</v>
      </c>
      <c r="CV39" s="445">
        <f>IF(SEMANA29[[#This Row],[TIPO]]="PREMIO",$O$3,"0,00")</f>
        <v>1000</v>
      </c>
      <c r="CW39" s="515"/>
      <c r="CY39" s="387" t="str">
        <f t="shared" si="17"/>
        <v/>
      </c>
      <c r="CZ39" s="387"/>
      <c r="DA39" s="387" t="str">
        <f t="array" ref="DA39">IF(CZ39="", "", IF((INDEX(E$8:CE$57, MATCH(CZ39, C$8:C$57, 0), ($CZ$25-1)*5 + 1) &amp; "") = (INDEX(E$5:CE$5, 1, ($CZ$25-1)*5 + 1) &amp; ""), 1, IF((INDEX(E$8:CE$57, MATCH(CZ39, C$8:C$57, 0), ($CZ$25-1)*5 + 2) &amp; "") = (INDEX(E$5:CE$5, 1, ($CZ$25-1)*5 + 1) &amp; ""), 2, IF((INDEX(E$8:CE$57, MATCH(CZ39, C$8:C$57, 0), ($CZ$25-1)*5 + 3) &amp; "") = (INDEX(E$5:CE$5, 1, ($CZ$25-1)*5 + 1) &amp; ""), 3, ""))))</f>
        <v/>
      </c>
      <c r="DB39" s="537" t="str">
        <f>SEMANA29[[#This Row],[COD]]</f>
        <v>COD 32</v>
      </c>
      <c r="DC39" s="390" t="str">
        <f t="array" ref="DC39">IFERROR(IF(AND(INDEX($E$8:$CE$57, MATCH($C39, $C$8:$C$57, 0), (COLUMNS($DC39:DC39)-1)*5 + 1) = INDEX($E$5:$CE$5, 1, (COLUMNS($DC39:DC39)-1)*5 + 1), INDEX($E$8:$CE$57, MATCH($C39, $C$8:$C$57, 0), (COLUMNS($DC39:DC39)-1)*5 + 4) = "F"), INDEX($CZ$8:$CZ$23, COLUMNS($DC39:DC39)), "0"), "")</f>
        <v>0</v>
      </c>
      <c r="DD39" s="390" t="str">
        <f t="array" ref="DD39">IFERROR(IF(AND(INDEX($E$8:$CE$57, MATCH($C39, $C$8:$C$57, 0), (COLUMNS($DC39:DD39)-1)*5 + 1) = INDEX($E$5:$CE$5, 1, (COLUMNS($DC39:DD39)-1)*5 + 1), INDEX($E$8:$CE$57, MATCH($C39, $C$8:$C$57, 0), (COLUMNS($DC39:DD39)-1)*5 + 4) = "F"), INDEX($CZ$8:$CZ$23, COLUMNS($DC39:DD39)), "0"), "")</f>
        <v>0</v>
      </c>
      <c r="DE39" s="390" t="str">
        <f t="array" ref="DE39">IFERROR(IF(AND(INDEX($E$8:$CE$57, MATCH($C39, $C$8:$C$57, 0), (COLUMNS($DC39:DE39)-1)*5 + 1) = INDEX($E$5:$CE$5, 1, (COLUMNS($DC39:DE39)-1)*5 + 1), INDEX($E$8:$CE$57, MATCH($C39, $C$8:$C$57, 0), (COLUMNS($DC39:DE39)-1)*5 + 4) = "F"), INDEX($CZ$8:$CZ$23, COLUMNS($DC39:DE39)), "0"), "")</f>
        <v>0</v>
      </c>
      <c r="DF39" s="390" t="str">
        <f t="array" ref="DF39">IFERROR(IF(AND(INDEX($E$8:$CE$57, MATCH($C39, $C$8:$C$57, 0), (COLUMNS($DC39:DF39)-1)*5 + 1) = INDEX($E$5:$CE$5, 1, (COLUMNS($DC39:DF39)-1)*5 + 1), INDEX($E$8:$CE$57, MATCH($C39, $C$8:$C$57, 0), (COLUMNS($DC39:DF39)-1)*5 + 4) = "F"), INDEX($CZ$8:$CZ$23, COLUMNS($DC39:DF39)), "0"), "")</f>
        <v>0</v>
      </c>
      <c r="DG39" s="390" t="str">
        <f t="array" ref="DG39">IFERROR(IF(AND(INDEX($E$8:$CE$57, MATCH($C39, $C$8:$C$57, 0), (COLUMNS($DC39:DG39)-1)*5 + 1) = INDEX($E$5:$CE$5, 1, (COLUMNS($DC39:DG39)-1)*5 + 1), INDEX($E$8:$CE$57, MATCH($C39, $C$8:$C$57, 0), (COLUMNS($DC39:DG39)-1)*5 + 4) = "F"), INDEX($CZ$8:$CZ$23, COLUMNS($DC39:DG39)), "0"), "")</f>
        <v>0</v>
      </c>
      <c r="DH39" s="390" t="str">
        <f t="array" ref="DH39">IFERROR(IF(AND(INDEX($E$8:$CE$57, MATCH($C39, $C$8:$C$57, 0), (COLUMNS($DC39:DH39)-1)*5 + 1) = INDEX($E$5:$CE$5, 1, (COLUMNS($DC39:DH39)-1)*5 + 1), INDEX($E$8:$CE$57, MATCH($C39, $C$8:$C$57, 0), (COLUMNS($DC39:DH39)-1)*5 + 4) = "F"), INDEX($CZ$8:$CZ$23, COLUMNS($DC39:DH39)), "0"), "")</f>
        <v>0</v>
      </c>
      <c r="DI39" s="390" t="str">
        <f t="array" ref="DI39">IFERROR(IF(AND(INDEX($E$8:$CE$57, MATCH($C39, $C$8:$C$57, 0), (COLUMNS($DC39:DI39)-1)*5 + 1) = INDEX($E$5:$CE$5, 1, (COLUMNS($DC39:DI39)-1)*5 + 1), INDEX($E$8:$CE$57, MATCH($C39, $C$8:$C$57, 0), (COLUMNS($DC39:DI39)-1)*5 + 4) = "F"), INDEX($CZ$8:$CZ$23, COLUMNS($DC39:DI39)), "0"), "")</f>
        <v>0</v>
      </c>
      <c r="DJ39" s="390" t="str">
        <f t="array" ref="DJ39">IFERROR(IF(AND(INDEX($E$8:$CE$57, MATCH($C39, $C$8:$C$57, 0), (COLUMNS($DC39:DJ39)-1)*5 + 1) = INDEX($E$5:$CE$5, 1, (COLUMNS($DC39:DJ39)-1)*5 + 1), INDEX($E$8:$CE$57, MATCH($C39, $C$8:$C$57, 0), (COLUMNS($DC39:DJ39)-1)*5 + 4) = "F"), INDEX($CZ$8:$CZ$23, COLUMNS($DC39:DJ39)), "0"), "")</f>
        <v>0</v>
      </c>
      <c r="DK39" s="390" t="str">
        <f t="array" ref="DK39">IFERROR(IF(AND(INDEX($E$8:$CE$57, MATCH($C39, $C$8:$C$57, 0), (COLUMNS($DC39:DK39)-1)*5 + 1) = INDEX($E$5:$CE$5, 1, (COLUMNS($DC39:DK39)-1)*5 + 1), INDEX($E$8:$CE$57, MATCH($C39, $C$8:$C$57, 0), (COLUMNS($DC39:DK39)-1)*5 + 4) = "F"), INDEX($CZ$8:$CZ$23, COLUMNS($DC39:DK39)), "0"), "")</f>
        <v>0</v>
      </c>
      <c r="DL39" s="390" t="str">
        <f t="array" ref="DL39">IFERROR(IF(AND(INDEX($E$8:$CE$57, MATCH($C39, $C$8:$C$57, 0), (COLUMNS($DC39:DL39)-1)*5 + 1) = INDEX($E$5:$CE$5, 1, (COLUMNS($DC39:DL39)-1)*5 + 1), INDEX($E$8:$CE$57, MATCH($C39, $C$8:$C$57, 0), (COLUMNS($DC39:DL39)-1)*5 + 4) = "F"), INDEX($CZ$8:$CZ$23, COLUMNS($DC39:DL39)), "0"), "")</f>
        <v>0</v>
      </c>
      <c r="DM39" s="390" t="str">
        <f t="array" ref="DM39">IFERROR(IF(AND(INDEX($E$8:$CE$57, MATCH($C39, $C$8:$C$57, 0), (COLUMNS($DC39:DM39)-1)*5 + 1) = INDEX($E$5:$CE$5, 1, (COLUMNS($DC39:DM39)-1)*5 + 1), INDEX($E$8:$CE$57, MATCH($C39, $C$8:$C$57, 0), (COLUMNS($DC39:DM39)-1)*5 + 4) = "F"), INDEX($CZ$8:$CZ$23, COLUMNS($DC39:DM39)), "0"), "")</f>
        <v>0</v>
      </c>
      <c r="DN39" s="390" t="str">
        <f t="array" ref="DN39">IFERROR(IF(AND(INDEX($E$8:$CE$57, MATCH($C39, $C$8:$C$57, 0), (COLUMNS($DC39:DN39)-1)*5 + 1) = INDEX($E$5:$CE$5, 1, (COLUMNS($DC39:DN39)-1)*5 + 1), INDEX($E$8:$CE$57, MATCH($C39, $C$8:$C$57, 0), (COLUMNS($DC39:DN39)-1)*5 + 4) = "F"), INDEX($CZ$8:$CZ$23, COLUMNS($DC39:DN39)), "0"), "")</f>
        <v>0</v>
      </c>
      <c r="DO39" s="390" t="str">
        <f t="array" ref="DO39">IFERROR(IF(AND(INDEX($E$8:$CE$57, MATCH($C39, $C$8:$C$57, 0), (COLUMNS($DC39:DO39)-1)*5 + 1) = INDEX($E$5:$CE$5, 1, (COLUMNS($DC39:DO39)-1)*5 + 1), INDEX($E$8:$CE$57, MATCH($C39, $C$8:$C$57, 0), (COLUMNS($DC39:DO39)-1)*5 + 4) = "F"), INDEX($CZ$8:$CZ$23, COLUMNS($DC39:DO39)), "0"), "")</f>
        <v>0</v>
      </c>
      <c r="DP39" s="390" t="str">
        <f t="array" ref="DP39">IFERROR(IF(AND(INDEX($E$8:$CE$57, MATCH($C39, $C$8:$C$57, 0), (COLUMNS($DC39:DP39)-1)*5 + 1) = INDEX($E$5:$CE$5, 1, (COLUMNS($DC39:DP39)-1)*5 + 1), INDEX($E$8:$CE$57, MATCH($C39, $C$8:$C$57, 0), (COLUMNS($DC39:DP39)-1)*5 + 4) = "F"), INDEX($CZ$8:$CZ$23, COLUMNS($DC39:DP39)), "0"), "")</f>
        <v>0</v>
      </c>
      <c r="DQ39" s="390" t="str">
        <f t="array" ref="DQ39">IFERROR(IF(AND(INDEX($E$8:$CE$57, MATCH($C39, $C$8:$C$57, 0), (COLUMNS($DC39:DQ39)-1)*5 + 1) = INDEX($E$5:$CE$5, 1, (COLUMNS($DC39:DQ39)-1)*5 + 1), INDEX($E$8:$CE$57, MATCH($C39, $C$8:$C$57, 0), (COLUMNS($DC39:DQ39)-1)*5 + 4) = "F"), INDEX($CZ$8:$CZ$23, COLUMNS($DC39:DQ39)), "0"), "")</f>
        <v>0</v>
      </c>
      <c r="DR39" s="390" t="str">
        <f t="array" ref="DR39">IFERROR(IF(AND(INDEX($E$8:$CE$57, MATCH($C39, $C$8:$C$57, 0), (COLUMNS($DC39:DR39)-1)*5 + 1) = INDEX($E$5:$CE$5, 1, (COLUMNS($DC39:DR39)-1)*5 + 1), INDEX($E$8:$CE$57, MATCH($C39, $C$8:$C$57, 0), (COLUMNS($DC39:DR39)-1)*5 + 4) = "F"), INDEX($CZ$8:$CZ$23, COLUMNS($DC39:DR39)), "0"), "")</f>
        <v>0</v>
      </c>
      <c r="DT39" s="537" t="str">
        <f>SEMANA29[[#This Row],[COD]]</f>
        <v>COD 32</v>
      </c>
      <c r="DU39" s="390" t="str">
        <f t="array" ref="DU39">IFERROR(IF(AND(INDEX($E$8:$CE$57, MATCH($C39, $C$8:$C$57, 0), (COLUMNS($DU39:DU39)-1)*5 + 1) = INDEX($E$5:$CE$5, 1, (COLUMNS($DU39:DU39)-1)*5 + 1), INDEX($E$8:$CE$57, MATCH($C39, $C$8:$C$57, 0), (COLUMNS($DU39:DU39)-1)*5 + 4) = "SF"), INDEX($CZ$8:$CZ$23, COLUMNS($DU39:DU39)), "0"), "")</f>
        <v>0</v>
      </c>
      <c r="DV39" s="390" t="str">
        <f t="array" ref="DV39">IFERROR(IF(AND(INDEX($E$8:$CE$57, MATCH($C39, $C$8:$C$57, 0), (COLUMNS($DU39:DV39)-1)*5 + 1) = INDEX($E$5:$CE$5, 1, (COLUMNS($DU39:DV39)-1)*5 + 1), INDEX($E$8:$CE$57, MATCH($C39, $C$8:$C$57, 0), (COLUMNS($DU39:DV39)-1)*5 + 4) = "SF"), INDEX($CZ$8:$CZ$23, COLUMNS($DU39:DV39)), "0"), "")</f>
        <v>0</v>
      </c>
      <c r="DW39" s="390" t="str">
        <f t="array" ref="DW39">IFERROR(IF(AND(INDEX($E$8:$CE$57, MATCH($C39, $C$8:$C$57, 0), (COLUMNS($DU39:DW39)-1)*5 + 1) = INDEX($E$5:$CE$5, 1, (COLUMNS($DU39:DW39)-1)*5 + 1), INDEX($E$8:$CE$57, MATCH($C39, $C$8:$C$57, 0), (COLUMNS($DU39:DW39)-1)*5 + 4) = "SF"), INDEX($CZ$8:$CZ$23, COLUMNS($DU39:DW39)), "0"), "")</f>
        <v>0</v>
      </c>
      <c r="DX39" s="390" t="str">
        <f t="array" ref="DX39">IFERROR(IF(AND(INDEX($E$8:$CE$57, MATCH($C39, $C$8:$C$57, 0), (COLUMNS($DU39:DX39)-1)*5 + 1) = INDEX($E$5:$CE$5, 1, (COLUMNS($DU39:DX39)-1)*5 + 1), INDEX($E$8:$CE$57, MATCH($C39, $C$8:$C$57, 0), (COLUMNS($DU39:DX39)-1)*5 + 4) = "SF"), INDEX($CZ$8:$CZ$23, COLUMNS($DU39:DX39)), "0"), "")</f>
        <v>0</v>
      </c>
      <c r="DY39" s="390" t="str">
        <f t="array" ref="DY39">IFERROR(IF(AND(INDEX($E$8:$CE$57, MATCH($C39, $C$8:$C$57, 0), (COLUMNS($DU39:DY39)-1)*5 + 1) = INDEX($E$5:$CE$5, 1, (COLUMNS($DU39:DY39)-1)*5 + 1), INDEX($E$8:$CE$57, MATCH($C39, $C$8:$C$57, 0), (COLUMNS($DU39:DY39)-1)*5 + 4) = "SF"), INDEX($CZ$8:$CZ$23, COLUMNS($DU39:DY39)), "0"), "")</f>
        <v>0</v>
      </c>
      <c r="DZ39" s="390" t="str">
        <f t="array" ref="DZ39">IFERROR(IF(AND(INDEX($E$8:$CE$57, MATCH($C39, $C$8:$C$57, 0), (COLUMNS($DU39:DZ39)-1)*5 + 1) = INDEX($E$5:$CE$5, 1, (COLUMNS($DU39:DZ39)-1)*5 + 1), INDEX($E$8:$CE$57, MATCH($C39, $C$8:$C$57, 0), (COLUMNS($DU39:DZ39)-1)*5 + 4) = "SF"), INDEX($CZ$8:$CZ$23, COLUMNS($DU39:DZ39)), "0"), "")</f>
        <v>0</v>
      </c>
      <c r="EA39" s="390" t="str">
        <f t="array" ref="EA39">IFERROR(IF(AND(INDEX($E$8:$CE$57, MATCH($C39, $C$8:$C$57, 0), (COLUMNS($DU39:EA39)-1)*5 + 1) = INDEX($E$5:$CE$5, 1, (COLUMNS($DU39:EA39)-1)*5 + 1), INDEX($E$8:$CE$57, MATCH($C39, $C$8:$C$57, 0), (COLUMNS($DU39:EA39)-1)*5 + 4) = "SF"), INDEX($CZ$8:$CZ$23, COLUMNS($DU39:EA39)), "0"), "")</f>
        <v>0</v>
      </c>
      <c r="EB39" s="390" t="str">
        <f t="array" ref="EB39">IFERROR(IF(AND(INDEX($E$8:$CE$57, MATCH($C39, $C$8:$C$57, 0), (COLUMNS($DU39:EB39)-1)*5 + 1) = INDEX($E$5:$CE$5, 1, (COLUMNS($DU39:EB39)-1)*5 + 1), INDEX($E$8:$CE$57, MATCH($C39, $C$8:$C$57, 0), (COLUMNS($DU39:EB39)-1)*5 + 4) = "SF"), INDEX($CZ$8:$CZ$23, COLUMNS($DU39:EB39)), "0"), "")</f>
        <v>0</v>
      </c>
      <c r="EC39" s="390" t="str">
        <f t="array" ref="EC39">IFERROR(IF(AND(INDEX($E$8:$CE$57, MATCH($C39, $C$8:$C$57, 0), (COLUMNS($DU39:EC39)-1)*5 + 1) = INDEX($E$5:$CE$5, 1, (COLUMNS($DU39:EC39)-1)*5 + 1), INDEX($E$8:$CE$57, MATCH($C39, $C$8:$C$57, 0), (COLUMNS($DU39:EC39)-1)*5 + 4) = "SF"), INDEX($CZ$8:$CZ$23, COLUMNS($DU39:EC39)), "0"), "")</f>
        <v>0</v>
      </c>
      <c r="ED39" s="390" t="str">
        <f t="array" ref="ED39">IFERROR(IF(AND(INDEX($E$8:$CE$57, MATCH($C39, $C$8:$C$57, 0), (COLUMNS($DU39:ED39)-1)*5 + 1) = INDEX($E$5:$CE$5, 1, (COLUMNS($DU39:ED39)-1)*5 + 1), INDEX($E$8:$CE$57, MATCH($C39, $C$8:$C$57, 0), (COLUMNS($DU39:ED39)-1)*5 + 4) = "SF"), INDEX($CZ$8:$CZ$23, COLUMNS($DU39:ED39)), "0"), "")</f>
        <v>0</v>
      </c>
      <c r="EE39" s="390" t="str">
        <f t="array" ref="EE39">IFERROR(IF(AND(INDEX($E$8:$CE$57, MATCH($C39, $C$8:$C$57, 0), (COLUMNS($DU39:EE39)-1)*5 + 1) = INDEX($E$5:$CE$5, 1, (COLUMNS($DU39:EE39)-1)*5 + 1), INDEX($E$8:$CE$57, MATCH($C39, $C$8:$C$57, 0), (COLUMNS($DU39:EE39)-1)*5 + 4) = "SF"), INDEX($CZ$8:$CZ$23, COLUMNS($DU39:EE39)), "0"), "")</f>
        <v>0</v>
      </c>
      <c r="EF39" s="390" t="str">
        <f t="array" ref="EF39">IFERROR(IF(AND(INDEX($E$8:$CE$57, MATCH($C39, $C$8:$C$57, 0), (COLUMNS($DU39:EF39)-1)*5 + 1) = INDEX($E$5:$CE$5, 1, (COLUMNS($DU39:EF39)-1)*5 + 1), INDEX($E$8:$CE$57, MATCH($C39, $C$8:$C$57, 0), (COLUMNS($DU39:EF39)-1)*5 + 4) = "SF"), INDEX($CZ$8:$CZ$23, COLUMNS($DU39:EF39)), "0"), "")</f>
        <v>0</v>
      </c>
      <c r="EG39" s="390" t="str">
        <f t="array" ref="EG39">IFERROR(IF(AND(INDEX($E$8:$CE$57, MATCH($C39, $C$8:$C$57, 0), (COLUMNS($DU39:EG39)-1)*5 + 1) = INDEX($E$5:$CE$5, 1, (COLUMNS($DU39:EG39)-1)*5 + 1), INDEX($E$8:$CE$57, MATCH($C39, $C$8:$C$57, 0), (COLUMNS($DU39:EG39)-1)*5 + 4) = "SF"), INDEX($CZ$8:$CZ$23, COLUMNS($DU39:EG39)), "0"), "")</f>
        <v>0</v>
      </c>
      <c r="EH39" s="390" t="str">
        <f t="array" ref="EH39">IFERROR(IF(AND(INDEX($E$8:$CE$57, MATCH($C39, $C$8:$C$57, 0), (COLUMNS($DU39:EH39)-1)*5 + 1) = INDEX($E$5:$CE$5, 1, (COLUMNS($DU39:EH39)-1)*5 + 1), INDEX($E$8:$CE$57, MATCH($C39, $C$8:$C$57, 0), (COLUMNS($DU39:EH39)-1)*5 + 4) = "SF"), INDEX($CZ$8:$CZ$23, COLUMNS($DU39:EH39)), "0"), "")</f>
        <v>0</v>
      </c>
      <c r="EI39" s="390" t="str">
        <f t="array" ref="EI39">IFERROR(IF(AND(INDEX($E$8:$CE$57, MATCH($C39, $C$8:$C$57, 0), (COLUMNS($DU39:EI39)-1)*5 + 1) = INDEX($E$5:$CE$5, 1, (COLUMNS($DU39:EI39)-1)*5 + 1), INDEX($E$8:$CE$57, MATCH($C39, $C$8:$C$57, 0), (COLUMNS($DU39:EI39)-1)*5 + 4) = "SF"), INDEX($CZ$8:$CZ$23, COLUMNS($DU39:EI39)), "0"), "")</f>
        <v>0</v>
      </c>
      <c r="EJ39" s="390" t="str">
        <f t="array" ref="EJ39">IFERROR(IF(AND(INDEX($E$8:$CE$57, MATCH($C39, $C$8:$C$57, 0), (COLUMNS($DU39:EJ39)-1)*5 + 1) = INDEX($E$5:$CE$5, 1, (COLUMNS($DU39:EJ39)-1)*5 + 1), INDEX($E$8:$CE$57, MATCH($C39, $C$8:$C$57, 0), (COLUMNS($DU39:EJ39)-1)*5 + 4) = "SF"), INDEX($CZ$8:$CZ$23, COLUMNS($DU39:EJ39)), "0"), "")</f>
        <v>0</v>
      </c>
    </row>
    <row r="40" spans="1:140" ht="20.100000000000001" customHeight="1" x14ac:dyDescent="0.35">
      <c r="A40" s="515"/>
      <c r="B40" s="444">
        <f>IF(SEMANA29[[#This Row],[COD]]&lt;&gt;"",B39+1,"")</f>
        <v>33</v>
      </c>
      <c r="C40" s="554" t="s">
        <v>95</v>
      </c>
      <c r="D40" s="410" t="str">
        <f t="array" ref="D40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PREMIO</v>
      </c>
      <c r="E40" s="411"/>
      <c r="F40" s="413"/>
      <c r="G40" s="413"/>
      <c r="H40" s="413"/>
      <c r="I40" s="534">
        <f t="shared" ref="I40:I57" si="18">SUM(IF(E40=E$5,4,0),IF(E40&amp;F40=E$5&amp;F$5,1,0),
IF(AND(E40=E$5,F$6&gt;=$D$115),1,0),
IF(AND(F40=E$5,F$6&gt;=$D$115),1,0),
IF(AND(G40=E$5,F$6&gt;=$D$115),1,0),
IF(E40&amp;H40=I$5,1,0),
IF(F40=E$5,2,0),
IF(G40=E$5,1,0),
IF(OR(E40&amp;F40&amp;G40=E$5&amp;F$5&amp;G$5,E40&amp;F40&amp;G40=E$5&amp;G$5&amp;F$5,E40&amp;F40&amp;G40=F$5&amp;E$5&amp;G$5,E40&amp;F40&amp;G40=F$5&amp;G$5&amp;E$5,E40&amp;F40&amp;G40=G$5&amp;E$5&amp;F$5,E40&amp;F40&amp;G40=G$5&amp;F$5&amp;E$5),2,0),IF(AND(E40=E$5,F$6&gt;=$D$129),1,0),IF(AND(F40=E$5,F$6&gt;=$D$129),1,0),IF(AND(G40=E$5,F$6&gt;=$D$129),1,0),IF(E40&amp;H40=H$5,4,0),IF(AND(E40=E$5,F$6&lt;=$D$104),-0.5,0),IF(AND(F40=E$5,F$6&lt;=$D$104),-0.5,0),IF(AND(G40=E$5,F$6&lt;=$D$104),-0.5,0))</f>
        <v>0</v>
      </c>
      <c r="J40" s="411"/>
      <c r="K40" s="413"/>
      <c r="L40" s="413"/>
      <c r="M40" s="413"/>
      <c r="N40" s="534">
        <f t="shared" ref="N40:N57" si="19">SUM(IF(J40=J$5,4,0),IF(J40&amp;K40=J$5&amp;K$5,1,0),
IF(AND(J40=J$5,K$6&gt;=$D$115),1,0),
IF(AND(K40=J$5,K$6&gt;=$D$115),1,0),
IF(AND(L40=J$5,K$6&gt;=$D$115),1,0),
IF(J40&amp;M40=N$5,1,0),
IF(K40=J$5,2,0),
IF(L40=J$5,1,0),
IF(OR(J40&amp;K40&amp;L40=J$5&amp;K$5&amp;L$5,J40&amp;K40&amp;L40=J$5&amp;L$5&amp;K$5,J40&amp;K40&amp;L40=K$5&amp;J$5&amp;L$5,J40&amp;K40&amp;L40=K$5&amp;L$5&amp;J$5,J40&amp;K40&amp;L40=L$5&amp;J$5&amp;K$5,J40&amp;K40&amp;L40=L$5&amp;K$5&amp;J$5),2,0),IF(AND(J40=J$5,K$6&gt;=$D$129),1,0),IF(AND(K40=J$5,K$6&gt;=$D$129),1,0),IF(AND(L40=J$5,K$6&gt;=$D$129),1,0),IF(J40&amp;M40=M$5,4,0),IF(AND(J40=J$5,K$6&lt;=$D$104),-0.5,0),IF(AND(K40=J$5,K$6&lt;=$D$104),-0.5,0),IF(AND(L40=J$5,K$6&lt;=$D$104),-0.5,0))</f>
        <v>0</v>
      </c>
      <c r="O40" s="411"/>
      <c r="P40" s="413"/>
      <c r="Q40" s="413"/>
      <c r="R40" s="413"/>
      <c r="S40" s="534">
        <f t="shared" ref="S40:S57" si="20">SUM(IF(O40=O$5,4,0),IF(O40&amp;P40=O$5&amp;P$5,1,0),
IF(AND(O40=O$5,P$6&gt;=$D$115),1,0),
IF(AND(P40=O$5,P$6&gt;=$D$115),1,0),
IF(AND(Q40=O$5,P$6&gt;=$D$115),1,0),
IF(O40&amp;R40=S$5,1,0),
IF(P40=O$5,2,0),
IF(Q40=O$5,1,0),
IF(OR(O40&amp;P40&amp;Q40=O$5&amp;P$5&amp;Q$5,O40&amp;P40&amp;Q40=O$5&amp;Q$5&amp;P$5,O40&amp;P40&amp;Q40=P$5&amp;O$5&amp;Q$5,O40&amp;P40&amp;Q40=P$5&amp;Q$5&amp;O$5,O40&amp;P40&amp;Q40=Q$5&amp;O$5&amp;P$5,O40&amp;P40&amp;Q40=Q$5&amp;P$5&amp;O$5),2,0),IF(AND(O40=O$5,P$6&gt;=$D$129),1,0),IF(AND(P40=O$5,P$6&gt;=$D$129),1,0),IF(AND(Q40=O$5,P$6&gt;=$D$129),1,0),IF(O40&amp;R40=R$5,4,0),IF(AND(O40=O$5,P$6&lt;=$D$104),-0.5,0),IF(AND(P40=O$5,P$6&lt;=$D$104),-0.5,0),IF(AND(Q40=O$5,P$6&lt;=$D$104),-0.5,0))</f>
        <v>0</v>
      </c>
      <c r="T40" s="411"/>
      <c r="U40" s="413"/>
      <c r="V40" s="413"/>
      <c r="W40" s="413"/>
      <c r="X40" s="534">
        <f t="shared" ref="X40:X57" si="21">SUM(IF(T40=T$5,4,0),IF(T40&amp;U40=T$5&amp;U$5,1,0),
IF(AND(T40=T$5,U$6&gt;=$D$115),1,0),
IF(AND(U40=T$5,U$6&gt;=$D$115),1,0),
IF(AND(V40=T$5,U$6&gt;=$D$115),1,0),
IF(T40&amp;W40=X$5,1,0),
IF(U40=T$5,2,0),
IF(V40=T$5,1,0),
IF(OR(T40&amp;U40&amp;V40=T$5&amp;U$5&amp;V$5,T40&amp;U40&amp;V40=T$5&amp;V$5&amp;U$5,T40&amp;U40&amp;V40=U$5&amp;T$5&amp;V$5,T40&amp;U40&amp;V40=U$5&amp;V$5&amp;T$5,T40&amp;U40&amp;V40=V$5&amp;T$5&amp;U$5,T40&amp;U40&amp;V40=V$5&amp;U$5&amp;T$5),2,0),IF(AND(T40=T$5,U$6&gt;=$D$129),1,0),IF(AND(U40=T$5,U$6&gt;=$D$129),1,0),IF(AND(V40=T$5,U$6&gt;=$D$129),1,0),IF(T40&amp;W40=W$5,4,0),IF(AND(T40=T$5,U$6&lt;=$D$104),-0.5,0),IF(AND(U40=T$5,U$6&lt;=$D$104),-0.5,0),IF(AND(V40=T$5,U$6&lt;=$D$104),-0.5,0))</f>
        <v>0</v>
      </c>
      <c r="Y40" s="411"/>
      <c r="Z40" s="413"/>
      <c r="AA40" s="413"/>
      <c r="AB40" s="413"/>
      <c r="AC40" s="534">
        <f t="shared" ref="AC40:AC57" si="22">SUM(IF(Y40=Y$5,4,0),IF(Y40&amp;Z40=Y$5&amp;Z$5,1,0),
IF(AND(Y40=Y$5,Z$6&gt;=$D$115),1,0),
IF(AND(Z40=Y$5,Z$6&gt;=$D$115),1,0),
IF(AND(AA40=Y$5,Z$6&gt;=$D$115),1,0),
IF(Y40&amp;AB40=AC$5,1,0),
IF(Z40=Y$5,2,0),
IF(AA40=Y$5,1,0),
IF(OR(Y40&amp;Z40&amp;AA40=Y$5&amp;Z$5&amp;AA$5,Y40&amp;Z40&amp;AA40=Y$5&amp;AA$5&amp;Z$5,Y40&amp;Z40&amp;AA40=Z$5&amp;Y$5&amp;AA$5,Y40&amp;Z40&amp;AA40=Z$5&amp;AA$5&amp;Y$5,Y40&amp;Z40&amp;AA40=AA$5&amp;Y$5&amp;Z$5,Y40&amp;Z40&amp;AA40=AA$5&amp;Z$5&amp;Y$5),2,0),IF(AND(Y40=Y$5,Z$6&gt;=$D$129),1,0),IF(AND(Z40=Y$5,Z$6&gt;=$D$129),1,0),IF(AND(AA40=Y$5,Z$6&gt;=$D$129),1,0),IF(Y40&amp;AB40=AB$5,4,0),IF(AND(Y40=Y$5,Z$6&lt;=$D$104),-0.5,0),IF(AND(Z40=Y$5,Z$6&lt;=$D$104),-0.5,0),IF(AND(AA40=Y$5,Z$6&lt;=$D$104),-0.5,0))</f>
        <v>0</v>
      </c>
      <c r="AD40" s="411"/>
      <c r="AE40" s="413"/>
      <c r="AF40" s="413"/>
      <c r="AG40" s="413"/>
      <c r="AH40" s="534">
        <f t="shared" ref="AH40:AH57" si="23">SUM(IF(AD40=AD$5,4,0),IF(AD40&amp;AE40=AD$5&amp;AE$5,1,0),
IF(AND(AD40=AD$5,AE$6&gt;=$D$115),1,0),
IF(AND(AE40=AD$5,AE$6&gt;=$D$115),1,0),
IF(AND(AF40=AD$5,AE$6&gt;=$D$115),1,0),
IF(AD40&amp;AG40=AH$5,1,0),
IF(AE40=AD$5,2,0),
IF(AF40=AD$5,1,0),
IF(OR(AD40&amp;AE40&amp;AF40=AD$5&amp;AE$5&amp;AF$5,AD40&amp;AE40&amp;AF40=AD$5&amp;AF$5&amp;AE$5,AD40&amp;AE40&amp;AF40=AE$5&amp;AD$5&amp;AF$5,AD40&amp;AE40&amp;AF40=AE$5&amp;AF$5&amp;AD$5,AD40&amp;AE40&amp;AF40=AF$5&amp;AD$5&amp;AE$5,AD40&amp;AE40&amp;AF40=AF$5&amp;AE$5&amp;AD$5),2,0),IF(AND(AD40=AD$5,AE$6&gt;=$D$129),1,0),IF(AND(AE40=AD$5,AE$6&gt;=$D$129),1,0),IF(AND(AF40=AD$5,AE$6&gt;=$D$129),1,0),IF(AD40&amp;AG40=AG$5,4,0),IF(AND(AD40=AD$5,AE$6&lt;=$D$104),-0.5,0),IF(AND(AE40=AD$5,AE$6&lt;=$D$104),-0.5,0),IF(AND(AF40=AD$5,AE$6&lt;=$D$104),-0.5,0))</f>
        <v>0</v>
      </c>
      <c r="AI40" s="411"/>
      <c r="AJ40" s="413"/>
      <c r="AK40" s="413"/>
      <c r="AL40" s="413"/>
      <c r="AM40" s="534">
        <f t="shared" ref="AM40:AM57" si="24">SUM(IF(AI40=AI$5,4,0),IF(AI40&amp;AJ40=AI$5&amp;AJ$5,1,0),
IF(AND(AI40=AI$5,AJ$6&gt;=$D$115),1,0),
IF(AND(AJ40=AI$5,AJ$6&gt;=$D$115),1,0),
IF(AND(AK40=AI$5,AJ$6&gt;=$D$115),1,0),
IF(AI40&amp;AL40=AM$5,1,0),
IF(AJ40=AI$5,2,0),
IF(AK40=AI$5,1,0),
IF(OR(AI40&amp;AJ40&amp;AK40=AI$5&amp;AJ$5&amp;AK$5,AI40&amp;AJ40&amp;AK40=AI$5&amp;AK$5&amp;AJ$5,AI40&amp;AJ40&amp;AK40=AJ$5&amp;AI$5&amp;AK$5,AI40&amp;AJ40&amp;AK40=AJ$5&amp;AK$5&amp;AI$5,AI40&amp;AJ40&amp;AK40=AK$5&amp;AI$5&amp;AJ$5,AI40&amp;AJ40&amp;AK40=AK$5&amp;AJ$5&amp;AI$5),2,0),IF(AND(AI40=AI$5,AJ$6&gt;=$D$129),1,0),IF(AND(AJ40=AI$5,AJ$6&gt;=$D$129),1,0),IF(AND(AK40=AI$5,AJ$6&gt;=$D$129),1,0),IF(AI40&amp;AL40=AL$5,4,0),IF(AND(AI40=AI$5,AJ$6&lt;=$D$104),-0.5,0),IF(AND(AJ40=AI$5,AJ$6&lt;=$D$104),-0.5,0),IF(AND(AK40=AI$5,AJ$6&lt;=$D$104),-0.5,0))</f>
        <v>0</v>
      </c>
      <c r="AN40" s="411"/>
      <c r="AO40" s="413"/>
      <c r="AP40" s="413"/>
      <c r="AQ40" s="413"/>
      <c r="AR40" s="534">
        <f t="shared" ref="AR40:AR57" si="25">SUM(IF(AN40=AN$5,4,0),IF(AN40&amp;AO40=AN$5&amp;AO$5,1,0),
IF(AND(AN40=AN$5,AO$6&gt;=$D$115),1,0),
IF(AND(AO40=AN$5,AO$6&gt;=$D$115),1,0),
IF(AND(AP40=AN$5,AO$6&gt;=$D$115),1,0),
IF(AN40&amp;AQ40=AR$5,1,0),
IF(AO40=AN$5,2,0),
IF(AP40=AN$5,1,0),
IF(OR(AN40&amp;AO40&amp;AP40=AN$5&amp;AO$5&amp;AP$5,AN40&amp;AO40&amp;AP40=AN$5&amp;AP$5&amp;AO$5,AN40&amp;AO40&amp;AP40=AO$5&amp;AN$5&amp;AP$5,AN40&amp;AO40&amp;AP40=AO$5&amp;AP$5&amp;AN$5,AN40&amp;AO40&amp;AP40=AP$5&amp;AN$5&amp;AO$5,AN40&amp;AO40&amp;AP40=AP$5&amp;AO$5&amp;AN$5),2,0),IF(AND(AN40=AN$5,AO$6&gt;=$D$129),1,0),IF(AND(AO40=AN$5,AO$6&gt;=$D$129),1,0),IF(AND(AP40=AN$5,AO$6&gt;=$D$129),1,0),IF(AN40&amp;AQ40=AQ$5,4,0),IF(AND(AN40=AN$5,AO$6&lt;=$D$104),-0.5,0),IF(AND(AO40=AN$5,AO$6&lt;=$D$104),-0.5,0),IF(AND(AP40=AN$5,AO$6&lt;=$D$104),-0.5,0))</f>
        <v>0</v>
      </c>
      <c r="AS40" s="411"/>
      <c r="AT40" s="413"/>
      <c r="AU40" s="413"/>
      <c r="AV40" s="413"/>
      <c r="AW40" s="534">
        <f t="shared" ref="AW40:AW57" si="26">SUM(IF(AS40=AS$5,4,0),IF(AS40&amp;AT40=AS$5&amp;AT$5,1,0),
IF(AND(AS40=AS$5,AT$6&gt;=$D$115),1,0),
IF(AND(AT40=AS$5,AT$6&gt;=$D$115),1,0),
IF(AND(AU40=AS$5,AT$6&gt;=$D$115),1,0),
IF(AS40&amp;AV40=AW$5,1,0),
IF(AT40=AS$5,2,0),
IF(AU40=AS$5,1,0),
IF(OR(AS40&amp;AT40&amp;AU40=AS$5&amp;AT$5&amp;AU$5,AS40&amp;AT40&amp;AU40=AS$5&amp;AU$5&amp;AT$5,AS40&amp;AT40&amp;AU40=AT$5&amp;AS$5&amp;AU$5,AS40&amp;AT40&amp;AU40=AT$5&amp;AU$5&amp;AS$5,AS40&amp;AT40&amp;AU40=AU$5&amp;AS$5&amp;AT$5,AS40&amp;AT40&amp;AU40=AU$5&amp;AT$5&amp;AS$5),2,0),IF(AND(AS40=AS$5,AT$6&gt;=$D$129),1,0),IF(AND(AT40=AS$5,AT$6&gt;=$D$129),1,0),IF(AND(AU40=AS$5,AT$6&gt;=$D$129),1,0),IF(AS40&amp;AV40=AV$5,4,0),IF(AND(AS40=AS$5,AT$6&lt;=$D$104),-0.5,0),IF(AND(AT40=AS$5,AT$6&lt;=$D$104),-0.5,0),IF(AND(AU40=AS$5,AT$6&lt;=$D$104),-0.5,0))</f>
        <v>0</v>
      </c>
      <c r="AX40" s="411"/>
      <c r="AY40" s="413"/>
      <c r="AZ40" s="413"/>
      <c r="BA40" s="413"/>
      <c r="BB40" s="534">
        <f t="shared" ref="BB40:BB57" si="27">SUM(IF(AX40=AX$5,4,0),IF(AX40&amp;AY40=AX$5&amp;AY$5,1,0),
IF(AND(AX40=AX$5,AY$6&gt;=$D$115),1,0),
IF(AND(AY40=AX$5,AY$6&gt;=$D$115),1,0),
IF(AND(AZ40=AX$5,AY$6&gt;=$D$115),1,0),
IF(AX40&amp;BA40=BB$5,1,0),
IF(AY40=AX$5,2,0),
IF(AZ40=AX$5,1,0),
IF(OR(AX40&amp;AY40&amp;AZ40=AX$5&amp;AY$5&amp;AZ$5,AX40&amp;AY40&amp;AZ40=AX$5&amp;AZ$5&amp;AY$5,AX40&amp;AY40&amp;AZ40=AY$5&amp;AX$5&amp;AZ$5,AX40&amp;AY40&amp;AZ40=AY$5&amp;AZ$5&amp;AX$5,AX40&amp;AY40&amp;AZ40=AZ$5&amp;AX$5&amp;AY$5,AX40&amp;AY40&amp;AZ40=AZ$5&amp;AY$5&amp;AX$5),2,0),IF(AND(AX40=AX$5,AY$6&gt;=$D$129),1,0),IF(AND(AY40=AX$5,AY$6&gt;=$D$129),1,0),IF(AND(AZ40=AX$5,AY$6&gt;=$D$129),1,0),IF(AX40&amp;BA40=BA$5,4,0),IF(AND(AX40=AX$5,AY$6&lt;=$D$104),-0.5,0),IF(AND(AY40=AX$5,AY$6&lt;=$D$104),-0.5,0),IF(AND(AZ40=AX$5,AY$6&lt;=$D$104),-0.5,0))</f>
        <v>0</v>
      </c>
      <c r="BC40" s="411"/>
      <c r="BD40" s="413"/>
      <c r="BE40" s="413"/>
      <c r="BF40" s="413"/>
      <c r="BG40" s="534">
        <f t="shared" ref="BG40:BG57" si="28">SUM(IF(BC40=BC$5,4,0),IF(BC40&amp;BD40=BC$5&amp;BD$5,1,0),
IF(AND(BC40=BC$5,BD$6&gt;=$D$115),1,0),
IF(AND(BD40=BC$5,BD$6&gt;=$D$115),1,0),
IF(AND(BE40=BC$5,BD$6&gt;=$D$115),1,0),
IF(BC40&amp;BF40=BG$5,1,0),
IF(BD40=BC$5,2,0),
IF(BE40=BC$5,1,0),
IF(OR(BC40&amp;BD40&amp;BE40=BC$5&amp;BD$5&amp;BE$5,BC40&amp;BD40&amp;BE40=BC$5&amp;BE$5&amp;BD$5,BC40&amp;BD40&amp;BE40=BD$5&amp;BC$5&amp;BE$5,BC40&amp;BD40&amp;BE40=BD$5&amp;BE$5&amp;BC$5,BC40&amp;BD40&amp;BE40=BE$5&amp;BC$5&amp;BD$5,BC40&amp;BD40&amp;BE40=BE$5&amp;BD$5&amp;BC$5),2,0),IF(AND(BC40=BC$5,BD$6&gt;=$D$129),1,0),IF(AND(BD40=BC$5,BD$6&gt;=$D$129),1,0),IF(AND(BE40=BC$5,BD$6&gt;=$D$129),1,0),IF(BC40&amp;BF40=BF$5,4,0),IF(AND(BC40=BC$5,BD$6&lt;=$D$104),-0.5,0),IF(AND(BD40=BC$5,BD$6&lt;=$D$104),-0.5,0),IF(AND(BE40=BC$5,BD$6&lt;=$D$104),-0.5,0))</f>
        <v>0</v>
      </c>
      <c r="BH40" s="411"/>
      <c r="BI40" s="413"/>
      <c r="BJ40" s="413"/>
      <c r="BK40" s="413"/>
      <c r="BL40" s="534">
        <f t="shared" ref="BL40:BL57" si="29">SUM(IF(BH40=BH$5,4,0),IF(BH40&amp;BI40=BH$5&amp;BI$5,1,0),
IF(AND(BH40=BH$5,BI$6&gt;=$D$115),1,0),
IF(AND(BI40=BH$5,BI$6&gt;=$D$115),1,0),
IF(AND(BJ40=BH$5,BI$6&gt;=$D$115),1,0),
IF(BH40&amp;BK40=BL$5,1,0),
IF(BI40=BH$5,2,0),
IF(BJ40=BH$5,1,0),
IF(OR(BH40&amp;BI40&amp;BJ40=BH$5&amp;BI$5&amp;BJ$5,BH40&amp;BI40&amp;BJ40=BH$5&amp;BJ$5&amp;BI$5,BH40&amp;BI40&amp;BJ40=BI$5&amp;BH$5&amp;BJ$5,BH40&amp;BI40&amp;BJ40=BI$5&amp;BJ$5&amp;BH$5,BH40&amp;BI40&amp;BJ40=BJ$5&amp;BH$5&amp;BI$5,BH40&amp;BI40&amp;BJ40=BJ$5&amp;BI$5&amp;BH$5),2,0),IF(AND(BH40=BH$5,BI$6&gt;=$D$129),1,0),IF(AND(BI40=BH$5,BI$6&gt;=$D$129),1,0),IF(AND(BJ40=BH$5,BI$6&gt;=$D$129),1,0),IF(BH40&amp;BK40=BK$5,4,0),IF(AND(BH40=BH$5,BI$6&lt;=$D$104),-0.5,0),IF(AND(BI40=BH$5,BI$6&lt;=$D$104),-0.5,0),IF(AND(BJ40=BH$5,BI$6&lt;=$D$104),-0.5,0))</f>
        <v>0</v>
      </c>
      <c r="BM40" s="411"/>
      <c r="BN40" s="413"/>
      <c r="BO40" s="413"/>
      <c r="BP40" s="413"/>
      <c r="BQ40" s="534">
        <f t="shared" ref="BQ40:BQ57" si="30">SUM(IF(BM40=BM$5,4,0),IF(BM40&amp;BN40=BM$5&amp;BN$5,1,0),
IF(AND(BM40=BM$5,BN$6&gt;=$D$115),1,0),
IF(AND(BN40=BM$5,BN$6&gt;=$D$115),1,0),
IF(AND(BO40=BM$5,BN$6&gt;=$D$115),1,0),
IF(BM40&amp;BP40=BQ$5,1,0),
IF(BN40=BM$5,2,0),
IF(BO40=BM$5,1,0),
IF(OR(BM40&amp;BN40&amp;BO40=BM$5&amp;BN$5&amp;BO$5,BM40&amp;BN40&amp;BO40=BM$5&amp;BO$5&amp;BN$5,BM40&amp;BN40&amp;BO40=BN$5&amp;BM$5&amp;BO$5,BM40&amp;BN40&amp;BO40=BN$5&amp;BO$5&amp;BM$5,BM40&amp;BN40&amp;BO40=BO$5&amp;BM$5&amp;BN$5,BM40&amp;BN40&amp;BO40=BO$5&amp;BN$5&amp;BM$5),2,0),IF(AND(BM40=BM$5,BN$6&gt;=$D$129),1,0),IF(AND(BN40=BM$5,BN$6&gt;=$D$129),1,0),IF(AND(BO40=BM$5,BN$6&gt;=$D$129),1,0),IF(BM40&amp;BP40=BP$5,4,0),IF(AND(BM40=BM$5,BN$6&lt;=$D$104),-0.5,0),IF(AND(BN40=BM$5,BN$6&lt;=$D$104),-0.5,0),IF(AND(BO40=BM$5,BN$6&lt;=$D$104),-0.5,0))</f>
        <v>0</v>
      </c>
      <c r="BR40" s="411"/>
      <c r="BS40" s="413"/>
      <c r="BT40" s="413"/>
      <c r="BU40" s="413"/>
      <c r="BV40" s="534">
        <f t="shared" ref="BV40:BV57" si="31">SUM(IF(BR40=BR$5,4,0),IF(BR40&amp;BS40=BR$5&amp;BS$5,1,0),
IF(AND(BR40=BR$5,BS$6&gt;=$D$115),1,0),
IF(AND(BS40=BR$5,BS$6&gt;=$D$115),1,0),
IF(AND(BT40=BR$5,BS$6&gt;=$D$115),1,0),
IF(BR40&amp;BU40=BV$5,1,0),
IF(BS40=BR$5,2,0),
IF(BT40=BR$5,1,0),
IF(OR(BR40&amp;BS40&amp;BT40=BR$5&amp;BS$5&amp;BT$5,BR40&amp;BS40&amp;BT40=BR$5&amp;BT$5&amp;BS$5,BR40&amp;BS40&amp;BT40=BS$5&amp;BR$5&amp;BT$5,BR40&amp;BS40&amp;BT40=BS$5&amp;BT$5&amp;BR$5,BR40&amp;BS40&amp;BT40=BT$5&amp;BR$5&amp;BS$5,BR40&amp;BS40&amp;BT40=BT$5&amp;BS$5&amp;BR$5),2,0),IF(AND(BR40=BR$5,BS$6&gt;=$D$129),1,0),IF(AND(BS40=BR$5,BS$6&gt;=$D$129),1,0),IF(AND(BT40=BR$5,BS$6&gt;=$D$129),1,0),IF(BR40&amp;BU40=BU$5,4,0),IF(AND(BR40=BR$5,BS$6&lt;=$D$104),-0.5,0),IF(AND(BS40=BR$5,BS$6&lt;=$D$104),-0.5,0),IF(AND(BT40=BR$5,BS$6&lt;=$D$104),-0.5,0))</f>
        <v>0</v>
      </c>
      <c r="BW40" s="411"/>
      <c r="BX40" s="413"/>
      <c r="BY40" s="413"/>
      <c r="BZ40" s="413"/>
      <c r="CA40" s="534">
        <f t="shared" ref="CA40:CA57" si="32">SUM(IF(BW40=BW$5,4,0),IF(BW40&amp;BX40=BW$5&amp;BX$5,1,0),
IF(AND(BW40=BW$5,BX$6&gt;=$D$115),1,0),
IF(AND(BX40=BW$5,BX$6&gt;=$D$115),1,0),
IF(AND(BY40=BW$5,BX$6&gt;=$D$115),1,0),
IF(BW40&amp;BZ40=CA$5,1,0),
IF(BX40=BW$5,2,0),
IF(BY40=BW$5,1,0),
IF(OR(BW40&amp;BX40&amp;BY40=BW$5&amp;BX$5&amp;BY$5,BW40&amp;BX40&amp;BY40=BW$5&amp;BY$5&amp;BX$5,BW40&amp;BX40&amp;BY40=BX$5&amp;BW$5&amp;BY$5,BW40&amp;BX40&amp;BY40=BX$5&amp;BY$5&amp;BW$5,BW40&amp;BX40&amp;BY40=BY$5&amp;BW$5&amp;BX$5,BW40&amp;BX40&amp;BY40=BY$5&amp;BX$5&amp;BW$5),2,0),IF(AND(BW40=BW$5,BX$6&gt;=$D$129),1,0),IF(AND(BX40=BW$5,BX$6&gt;=$D$129),1,0),IF(AND(BY40=BW$5,BX$6&gt;=$D$129),1,0),IF(BW40&amp;BZ40=BZ$5,4,0),IF(AND(BW40=BW$5,BX$6&lt;=$D$104),-0.5,0),IF(AND(BX40=BW$5,BX$6&lt;=$D$104),-0.5,0),IF(AND(BY40=BW$5,BX$6&lt;=$D$104),-0.5,0))</f>
        <v>0</v>
      </c>
      <c r="CB40" s="411"/>
      <c r="CC40" s="413"/>
      <c r="CD40" s="413"/>
      <c r="CE40" s="413"/>
      <c r="CF40" s="534">
        <f t="shared" ref="CF40:CF57" si="33">SUM(IF(CB40=CB$5,4,0),IF(CB40&amp;CC40=CB$5&amp;CC$5,1,0),
IF(AND(CB40=CB$5,CC$6&gt;=$D$115),1,0),
IF(AND(CC40=CB$5,CC$6&gt;=$D$115),1,0),
IF(AND(CD40=CB$5,CC$6&gt;=$D$115),1,0),
IF(CB40&amp;CE40=CF$5,1,0),
IF(CC40=CB$5,2,0),
IF(CD40=CB$5,1,0),
IF(OR(CB40&amp;CC40&amp;CD40=CB$5&amp;CC$5&amp;CD$5,CB40&amp;CC40&amp;CD40=CB$5&amp;CD$5&amp;CC$5,CB40&amp;CC40&amp;CD40=CC$5&amp;CB$5&amp;CD$5,CB40&amp;CC40&amp;CD40=CC$5&amp;CD$5&amp;CB$5,CB40&amp;CC40&amp;CD40=CD$5&amp;CB$5&amp;CC$5,CB40&amp;CC40&amp;CD40=CD$5&amp;CC$5&amp;CB$5),2,0),IF(AND(CB40=CB$5,CC$6&gt;=$D$129),1,0),IF(AND(CC40=CB$5,CC$6&gt;=$D$129),1,0),IF(AND(CD40=CB$5,CC$6&gt;=$D$129),1,0),IF(CB40&amp;CE40=CE$5,4,0),IF(AND(CB40=CB$5,CC$6&lt;=$D$104),-0.5,0),IF(AND(CC40=CB$5,CC$6&lt;=$D$104),-0.5,0),IF(AND(CD40=CB$5,CC$6&lt;=$D$104),-0.5,0))</f>
        <v>0</v>
      </c>
      <c r="CG40" s="162">
        <f>IF(SEMANA29[[#This Row],[1]]="",0,$B$4)</f>
        <v>0</v>
      </c>
      <c r="CH40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40" s="164">
        <f>IF(SEMANA29[[#This Row],[Columna14]]=0,0,(CH40/CG40))</f>
        <v>0</v>
      </c>
      <c r="CJ40" s="163">
        <f>IF(SEMANA29[[#This Row],[1]]="",0,$B$4)</f>
        <v>0</v>
      </c>
      <c r="CK40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40" s="164">
        <f>IF(SEMANA29[[#This Row],[Columna14]]=0,0,(CK40/CJ40))</f>
        <v>0</v>
      </c>
      <c r="CM40" s="162">
        <f>IF(SEMANA29[[#This Row],[1]]="",0,$B$4)</f>
        <v>0</v>
      </c>
      <c r="CN40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40" s="164">
        <f>IF(SEMANA29[[#This Row],[Columna14]]=0,0,(CN40/CM40))</f>
        <v>0</v>
      </c>
      <c r="CP40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40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Row],[Columna25]],$AX$5,BA40,"SF")+COUNTIFS(SEMANA29[[#This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40" s="164">
        <f>IFERROR(IF(SEMANA29[[#This Row],[Columna14]]=0,0,(CQ40/CP40)),0)</f>
        <v>0</v>
      </c>
      <c r="CS40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40" s="93">
        <f>_xlfn.XLOOKUP(SEMANA29[[#This Row],[COD]],SEMANA2[COD],SEMANA2[Columna33])</f>
        <v>60.5</v>
      </c>
      <c r="CU40" s="536">
        <f t="shared" ref="CU40:CU57" si="34">SUM(CS40,CT40)</f>
        <v>60.5</v>
      </c>
      <c r="CV40" s="445">
        <f>IF(SEMANA29[[#This Row],[TIPO]]="PREMIO",$O$3,"0,00")</f>
        <v>1000</v>
      </c>
      <c r="CW40" s="515"/>
      <c r="CY40" s="387" t="str">
        <f t="shared" si="17"/>
        <v/>
      </c>
      <c r="CZ40" s="387"/>
      <c r="DA40" s="387" t="str">
        <f t="array" ref="DA40">IF(CZ40="", "", IF((INDEX(E$8:CE$57, MATCH(CZ40, C$8:C$57, 0), ($CZ$25-1)*5 + 1) &amp; "") = (INDEX(E$5:CE$5, 1, ($CZ$25-1)*5 + 1) &amp; ""), 1, IF((INDEX(E$8:CE$57, MATCH(CZ40, C$8:C$57, 0), ($CZ$25-1)*5 + 2) &amp; "") = (INDEX(E$5:CE$5, 1, ($CZ$25-1)*5 + 1) &amp; ""), 2, IF((INDEX(E$8:CE$57, MATCH(CZ40, C$8:C$57, 0), ($CZ$25-1)*5 + 3) &amp; "") = (INDEX(E$5:CE$5, 1, ($CZ$25-1)*5 + 1) &amp; ""), 3, ""))))</f>
        <v/>
      </c>
      <c r="DB40" s="537" t="str">
        <f>SEMANA29[[#This Row],[COD]]</f>
        <v>COD 33</v>
      </c>
      <c r="DC40" s="390" t="str">
        <f t="array" ref="DC40">IFERROR(IF(AND(INDEX($E$8:$CE$57, MATCH($C40, $C$8:$C$57, 0), (COLUMNS($DC40:DC40)-1)*5 + 1) = INDEX($E$5:$CE$5, 1, (COLUMNS($DC40:DC40)-1)*5 + 1), INDEX($E$8:$CE$57, MATCH($C40, $C$8:$C$57, 0), (COLUMNS($DC40:DC40)-1)*5 + 4) = "F"), INDEX($CZ$8:$CZ$23, COLUMNS($DC40:DC40)), "0"), "")</f>
        <v>0</v>
      </c>
      <c r="DD40" s="390" t="str">
        <f t="array" ref="DD40">IFERROR(IF(AND(INDEX($E$8:$CE$57, MATCH($C40, $C$8:$C$57, 0), (COLUMNS($DC40:DD40)-1)*5 + 1) = INDEX($E$5:$CE$5, 1, (COLUMNS($DC40:DD40)-1)*5 + 1), INDEX($E$8:$CE$57, MATCH($C40, $C$8:$C$57, 0), (COLUMNS($DC40:DD40)-1)*5 + 4) = "F"), INDEX($CZ$8:$CZ$23, COLUMNS($DC40:DD40)), "0"), "")</f>
        <v>0</v>
      </c>
      <c r="DE40" s="390" t="str">
        <f t="array" ref="DE40">IFERROR(IF(AND(INDEX($E$8:$CE$57, MATCH($C40, $C$8:$C$57, 0), (COLUMNS($DC40:DE40)-1)*5 + 1) = INDEX($E$5:$CE$5, 1, (COLUMNS($DC40:DE40)-1)*5 + 1), INDEX($E$8:$CE$57, MATCH($C40, $C$8:$C$57, 0), (COLUMNS($DC40:DE40)-1)*5 + 4) = "F"), INDEX($CZ$8:$CZ$23, COLUMNS($DC40:DE40)), "0"), "")</f>
        <v>0</v>
      </c>
      <c r="DF40" s="390" t="str">
        <f t="array" ref="DF40">IFERROR(IF(AND(INDEX($E$8:$CE$57, MATCH($C40, $C$8:$C$57, 0), (COLUMNS($DC40:DF40)-1)*5 + 1) = INDEX($E$5:$CE$5, 1, (COLUMNS($DC40:DF40)-1)*5 + 1), INDEX($E$8:$CE$57, MATCH($C40, $C$8:$C$57, 0), (COLUMNS($DC40:DF40)-1)*5 + 4) = "F"), INDEX($CZ$8:$CZ$23, COLUMNS($DC40:DF40)), "0"), "")</f>
        <v>0</v>
      </c>
      <c r="DG40" s="390" t="str">
        <f t="array" ref="DG40">IFERROR(IF(AND(INDEX($E$8:$CE$57, MATCH($C40, $C$8:$C$57, 0), (COLUMNS($DC40:DG40)-1)*5 + 1) = INDEX($E$5:$CE$5, 1, (COLUMNS($DC40:DG40)-1)*5 + 1), INDEX($E$8:$CE$57, MATCH($C40, $C$8:$C$57, 0), (COLUMNS($DC40:DG40)-1)*5 + 4) = "F"), INDEX($CZ$8:$CZ$23, COLUMNS($DC40:DG40)), "0"), "")</f>
        <v>0</v>
      </c>
      <c r="DH40" s="390" t="str">
        <f t="array" ref="DH40">IFERROR(IF(AND(INDEX($E$8:$CE$57, MATCH($C40, $C$8:$C$57, 0), (COLUMNS($DC40:DH40)-1)*5 + 1) = INDEX($E$5:$CE$5, 1, (COLUMNS($DC40:DH40)-1)*5 + 1), INDEX($E$8:$CE$57, MATCH($C40, $C$8:$C$57, 0), (COLUMNS($DC40:DH40)-1)*5 + 4) = "F"), INDEX($CZ$8:$CZ$23, COLUMNS($DC40:DH40)), "0"), "")</f>
        <v>0</v>
      </c>
      <c r="DI40" s="390" t="str">
        <f t="array" ref="DI40">IFERROR(IF(AND(INDEX($E$8:$CE$57, MATCH($C40, $C$8:$C$57, 0), (COLUMNS($DC40:DI40)-1)*5 + 1) = INDEX($E$5:$CE$5, 1, (COLUMNS($DC40:DI40)-1)*5 + 1), INDEX($E$8:$CE$57, MATCH($C40, $C$8:$C$57, 0), (COLUMNS($DC40:DI40)-1)*5 + 4) = "F"), INDEX($CZ$8:$CZ$23, COLUMNS($DC40:DI40)), "0"), "")</f>
        <v>0</v>
      </c>
      <c r="DJ40" s="390" t="str">
        <f t="array" ref="DJ40">IFERROR(IF(AND(INDEX($E$8:$CE$57, MATCH($C40, $C$8:$C$57, 0), (COLUMNS($DC40:DJ40)-1)*5 + 1) = INDEX($E$5:$CE$5, 1, (COLUMNS($DC40:DJ40)-1)*5 + 1), INDEX($E$8:$CE$57, MATCH($C40, $C$8:$C$57, 0), (COLUMNS($DC40:DJ40)-1)*5 + 4) = "F"), INDEX($CZ$8:$CZ$23, COLUMNS($DC40:DJ40)), "0"), "")</f>
        <v>0</v>
      </c>
      <c r="DK40" s="390" t="str">
        <f t="array" ref="DK40">IFERROR(IF(AND(INDEX($E$8:$CE$57, MATCH($C40, $C$8:$C$57, 0), (COLUMNS($DC40:DK40)-1)*5 + 1) = INDEX($E$5:$CE$5, 1, (COLUMNS($DC40:DK40)-1)*5 + 1), INDEX($E$8:$CE$57, MATCH($C40, $C$8:$C$57, 0), (COLUMNS($DC40:DK40)-1)*5 + 4) = "F"), INDEX($CZ$8:$CZ$23, COLUMNS($DC40:DK40)), "0"), "")</f>
        <v>0</v>
      </c>
      <c r="DL40" s="390" t="str">
        <f t="array" ref="DL40">IFERROR(IF(AND(INDEX($E$8:$CE$57, MATCH($C40, $C$8:$C$57, 0), (COLUMNS($DC40:DL40)-1)*5 + 1) = INDEX($E$5:$CE$5, 1, (COLUMNS($DC40:DL40)-1)*5 + 1), INDEX($E$8:$CE$57, MATCH($C40, $C$8:$C$57, 0), (COLUMNS($DC40:DL40)-1)*5 + 4) = "F"), INDEX($CZ$8:$CZ$23, COLUMNS($DC40:DL40)), "0"), "")</f>
        <v>0</v>
      </c>
      <c r="DM40" s="390" t="str">
        <f t="array" ref="DM40">IFERROR(IF(AND(INDEX($E$8:$CE$57, MATCH($C40, $C$8:$C$57, 0), (COLUMNS($DC40:DM40)-1)*5 + 1) = INDEX($E$5:$CE$5, 1, (COLUMNS($DC40:DM40)-1)*5 + 1), INDEX($E$8:$CE$57, MATCH($C40, $C$8:$C$57, 0), (COLUMNS($DC40:DM40)-1)*5 + 4) = "F"), INDEX($CZ$8:$CZ$23, COLUMNS($DC40:DM40)), "0"), "")</f>
        <v>0</v>
      </c>
      <c r="DN40" s="390" t="str">
        <f t="array" ref="DN40">IFERROR(IF(AND(INDEX($E$8:$CE$57, MATCH($C40, $C$8:$C$57, 0), (COLUMNS($DC40:DN40)-1)*5 + 1) = INDEX($E$5:$CE$5, 1, (COLUMNS($DC40:DN40)-1)*5 + 1), INDEX($E$8:$CE$57, MATCH($C40, $C$8:$C$57, 0), (COLUMNS($DC40:DN40)-1)*5 + 4) = "F"), INDEX($CZ$8:$CZ$23, COLUMNS($DC40:DN40)), "0"), "")</f>
        <v>0</v>
      </c>
      <c r="DO40" s="390" t="str">
        <f t="array" ref="DO40">IFERROR(IF(AND(INDEX($E$8:$CE$57, MATCH($C40, $C$8:$C$57, 0), (COLUMNS($DC40:DO40)-1)*5 + 1) = INDEX($E$5:$CE$5, 1, (COLUMNS($DC40:DO40)-1)*5 + 1), INDEX($E$8:$CE$57, MATCH($C40, $C$8:$C$57, 0), (COLUMNS($DC40:DO40)-1)*5 + 4) = "F"), INDEX($CZ$8:$CZ$23, COLUMNS($DC40:DO40)), "0"), "")</f>
        <v>0</v>
      </c>
      <c r="DP40" s="390" t="str">
        <f t="array" ref="DP40">IFERROR(IF(AND(INDEX($E$8:$CE$57, MATCH($C40, $C$8:$C$57, 0), (COLUMNS($DC40:DP40)-1)*5 + 1) = INDEX($E$5:$CE$5, 1, (COLUMNS($DC40:DP40)-1)*5 + 1), INDEX($E$8:$CE$57, MATCH($C40, $C$8:$C$57, 0), (COLUMNS($DC40:DP40)-1)*5 + 4) = "F"), INDEX($CZ$8:$CZ$23, COLUMNS($DC40:DP40)), "0"), "")</f>
        <v>0</v>
      </c>
      <c r="DQ40" s="390" t="str">
        <f t="array" ref="DQ40">IFERROR(IF(AND(INDEX($E$8:$CE$57, MATCH($C40, $C$8:$C$57, 0), (COLUMNS($DC40:DQ40)-1)*5 + 1) = INDEX($E$5:$CE$5, 1, (COLUMNS($DC40:DQ40)-1)*5 + 1), INDEX($E$8:$CE$57, MATCH($C40, $C$8:$C$57, 0), (COLUMNS($DC40:DQ40)-1)*5 + 4) = "F"), INDEX($CZ$8:$CZ$23, COLUMNS($DC40:DQ40)), "0"), "")</f>
        <v>0</v>
      </c>
      <c r="DR40" s="390" t="str">
        <f t="array" ref="DR40">IFERROR(IF(AND(INDEX($E$8:$CE$57, MATCH($C40, $C$8:$C$57, 0), (COLUMNS($DC40:DR40)-1)*5 + 1) = INDEX($E$5:$CE$5, 1, (COLUMNS($DC40:DR40)-1)*5 + 1), INDEX($E$8:$CE$57, MATCH($C40, $C$8:$C$57, 0), (COLUMNS($DC40:DR40)-1)*5 + 4) = "F"), INDEX($CZ$8:$CZ$23, COLUMNS($DC40:DR40)), "0"), "")</f>
        <v>0</v>
      </c>
      <c r="DT40" s="537" t="str">
        <f>SEMANA29[[#This Row],[COD]]</f>
        <v>COD 33</v>
      </c>
      <c r="DU40" s="390" t="str">
        <f t="array" ref="DU40">IFERROR(IF(AND(INDEX($E$8:$CE$57, MATCH($C40, $C$8:$C$57, 0), (COLUMNS($DU40:DU40)-1)*5 + 1) = INDEX($E$5:$CE$5, 1, (COLUMNS($DU40:DU40)-1)*5 + 1), INDEX($E$8:$CE$57, MATCH($C40, $C$8:$C$57, 0), (COLUMNS($DU40:DU40)-1)*5 + 4) = "SF"), INDEX($CZ$8:$CZ$23, COLUMNS($DU40:DU40)), "0"), "")</f>
        <v>0</v>
      </c>
      <c r="DV40" s="390" t="str">
        <f t="array" ref="DV40">IFERROR(IF(AND(INDEX($E$8:$CE$57, MATCH($C40, $C$8:$C$57, 0), (COLUMNS($DU40:DV40)-1)*5 + 1) = INDEX($E$5:$CE$5, 1, (COLUMNS($DU40:DV40)-1)*5 + 1), INDEX($E$8:$CE$57, MATCH($C40, $C$8:$C$57, 0), (COLUMNS($DU40:DV40)-1)*5 + 4) = "SF"), INDEX($CZ$8:$CZ$23, COLUMNS($DU40:DV40)), "0"), "")</f>
        <v>0</v>
      </c>
      <c r="DW40" s="390" t="str">
        <f t="array" ref="DW40">IFERROR(IF(AND(INDEX($E$8:$CE$57, MATCH($C40, $C$8:$C$57, 0), (COLUMNS($DU40:DW40)-1)*5 + 1) = INDEX($E$5:$CE$5, 1, (COLUMNS($DU40:DW40)-1)*5 + 1), INDEX($E$8:$CE$57, MATCH($C40, $C$8:$C$57, 0), (COLUMNS($DU40:DW40)-1)*5 + 4) = "SF"), INDEX($CZ$8:$CZ$23, COLUMNS($DU40:DW40)), "0"), "")</f>
        <v>0</v>
      </c>
      <c r="DX40" s="390" t="str">
        <f t="array" ref="DX40">IFERROR(IF(AND(INDEX($E$8:$CE$57, MATCH($C40, $C$8:$C$57, 0), (COLUMNS($DU40:DX40)-1)*5 + 1) = INDEX($E$5:$CE$5, 1, (COLUMNS($DU40:DX40)-1)*5 + 1), INDEX($E$8:$CE$57, MATCH($C40, $C$8:$C$57, 0), (COLUMNS($DU40:DX40)-1)*5 + 4) = "SF"), INDEX($CZ$8:$CZ$23, COLUMNS($DU40:DX40)), "0"), "")</f>
        <v>0</v>
      </c>
      <c r="DY40" s="390" t="str">
        <f t="array" ref="DY40">IFERROR(IF(AND(INDEX($E$8:$CE$57, MATCH($C40, $C$8:$C$57, 0), (COLUMNS($DU40:DY40)-1)*5 + 1) = INDEX($E$5:$CE$5, 1, (COLUMNS($DU40:DY40)-1)*5 + 1), INDEX($E$8:$CE$57, MATCH($C40, $C$8:$C$57, 0), (COLUMNS($DU40:DY40)-1)*5 + 4) = "SF"), INDEX($CZ$8:$CZ$23, COLUMNS($DU40:DY40)), "0"), "")</f>
        <v>0</v>
      </c>
      <c r="DZ40" s="390" t="str">
        <f t="array" ref="DZ40">IFERROR(IF(AND(INDEX($E$8:$CE$57, MATCH($C40, $C$8:$C$57, 0), (COLUMNS($DU40:DZ40)-1)*5 + 1) = INDEX($E$5:$CE$5, 1, (COLUMNS($DU40:DZ40)-1)*5 + 1), INDEX($E$8:$CE$57, MATCH($C40, $C$8:$C$57, 0), (COLUMNS($DU40:DZ40)-1)*5 + 4) = "SF"), INDEX($CZ$8:$CZ$23, COLUMNS($DU40:DZ40)), "0"), "")</f>
        <v>0</v>
      </c>
      <c r="EA40" s="390" t="str">
        <f t="array" ref="EA40">IFERROR(IF(AND(INDEX($E$8:$CE$57, MATCH($C40, $C$8:$C$57, 0), (COLUMNS($DU40:EA40)-1)*5 + 1) = INDEX($E$5:$CE$5, 1, (COLUMNS($DU40:EA40)-1)*5 + 1), INDEX($E$8:$CE$57, MATCH($C40, $C$8:$C$57, 0), (COLUMNS($DU40:EA40)-1)*5 + 4) = "SF"), INDEX($CZ$8:$CZ$23, COLUMNS($DU40:EA40)), "0"), "")</f>
        <v>0</v>
      </c>
      <c r="EB40" s="390" t="str">
        <f t="array" ref="EB40">IFERROR(IF(AND(INDEX($E$8:$CE$57, MATCH($C40, $C$8:$C$57, 0), (COLUMNS($DU40:EB40)-1)*5 + 1) = INDEX($E$5:$CE$5, 1, (COLUMNS($DU40:EB40)-1)*5 + 1), INDEX($E$8:$CE$57, MATCH($C40, $C$8:$C$57, 0), (COLUMNS($DU40:EB40)-1)*5 + 4) = "SF"), INDEX($CZ$8:$CZ$23, COLUMNS($DU40:EB40)), "0"), "")</f>
        <v>0</v>
      </c>
      <c r="EC40" s="390" t="str">
        <f t="array" ref="EC40">IFERROR(IF(AND(INDEX($E$8:$CE$57, MATCH($C40, $C$8:$C$57, 0), (COLUMNS($DU40:EC40)-1)*5 + 1) = INDEX($E$5:$CE$5, 1, (COLUMNS($DU40:EC40)-1)*5 + 1), INDEX($E$8:$CE$57, MATCH($C40, $C$8:$C$57, 0), (COLUMNS($DU40:EC40)-1)*5 + 4) = "SF"), INDEX($CZ$8:$CZ$23, COLUMNS($DU40:EC40)), "0"), "")</f>
        <v>0</v>
      </c>
      <c r="ED40" s="390" t="str">
        <f t="array" ref="ED40">IFERROR(IF(AND(INDEX($E$8:$CE$57, MATCH($C40, $C$8:$C$57, 0), (COLUMNS($DU40:ED40)-1)*5 + 1) = INDEX($E$5:$CE$5, 1, (COLUMNS($DU40:ED40)-1)*5 + 1), INDEX($E$8:$CE$57, MATCH($C40, $C$8:$C$57, 0), (COLUMNS($DU40:ED40)-1)*5 + 4) = "SF"), INDEX($CZ$8:$CZ$23, COLUMNS($DU40:ED40)), "0"), "")</f>
        <v>0</v>
      </c>
      <c r="EE40" s="390" t="str">
        <f t="array" ref="EE40">IFERROR(IF(AND(INDEX($E$8:$CE$57, MATCH($C40, $C$8:$C$57, 0), (COLUMNS($DU40:EE40)-1)*5 + 1) = INDEX($E$5:$CE$5, 1, (COLUMNS($DU40:EE40)-1)*5 + 1), INDEX($E$8:$CE$57, MATCH($C40, $C$8:$C$57, 0), (COLUMNS($DU40:EE40)-1)*5 + 4) = "SF"), INDEX($CZ$8:$CZ$23, COLUMNS($DU40:EE40)), "0"), "")</f>
        <v>0</v>
      </c>
      <c r="EF40" s="390" t="str">
        <f t="array" ref="EF40">IFERROR(IF(AND(INDEX($E$8:$CE$57, MATCH($C40, $C$8:$C$57, 0), (COLUMNS($DU40:EF40)-1)*5 + 1) = INDEX($E$5:$CE$5, 1, (COLUMNS($DU40:EF40)-1)*5 + 1), INDEX($E$8:$CE$57, MATCH($C40, $C$8:$C$57, 0), (COLUMNS($DU40:EF40)-1)*5 + 4) = "SF"), INDEX($CZ$8:$CZ$23, COLUMNS($DU40:EF40)), "0"), "")</f>
        <v>0</v>
      </c>
      <c r="EG40" s="390" t="str">
        <f t="array" ref="EG40">IFERROR(IF(AND(INDEX($E$8:$CE$57, MATCH($C40, $C$8:$C$57, 0), (COLUMNS($DU40:EG40)-1)*5 + 1) = INDEX($E$5:$CE$5, 1, (COLUMNS($DU40:EG40)-1)*5 + 1), INDEX($E$8:$CE$57, MATCH($C40, $C$8:$C$57, 0), (COLUMNS($DU40:EG40)-1)*5 + 4) = "SF"), INDEX($CZ$8:$CZ$23, COLUMNS($DU40:EG40)), "0"), "")</f>
        <v>0</v>
      </c>
      <c r="EH40" s="390" t="str">
        <f t="array" ref="EH40">IFERROR(IF(AND(INDEX($E$8:$CE$57, MATCH($C40, $C$8:$C$57, 0), (COLUMNS($DU40:EH40)-1)*5 + 1) = INDEX($E$5:$CE$5, 1, (COLUMNS($DU40:EH40)-1)*5 + 1), INDEX($E$8:$CE$57, MATCH($C40, $C$8:$C$57, 0), (COLUMNS($DU40:EH40)-1)*5 + 4) = "SF"), INDEX($CZ$8:$CZ$23, COLUMNS($DU40:EH40)), "0"), "")</f>
        <v>0</v>
      </c>
      <c r="EI40" s="390" t="str">
        <f t="array" ref="EI40">IFERROR(IF(AND(INDEX($E$8:$CE$57, MATCH($C40, $C$8:$C$57, 0), (COLUMNS($DU40:EI40)-1)*5 + 1) = INDEX($E$5:$CE$5, 1, (COLUMNS($DU40:EI40)-1)*5 + 1), INDEX($E$8:$CE$57, MATCH($C40, $C$8:$C$57, 0), (COLUMNS($DU40:EI40)-1)*5 + 4) = "SF"), INDEX($CZ$8:$CZ$23, COLUMNS($DU40:EI40)), "0"), "")</f>
        <v>0</v>
      </c>
      <c r="EJ40" s="390" t="str">
        <f t="array" ref="EJ40">IFERROR(IF(AND(INDEX($E$8:$CE$57, MATCH($C40, $C$8:$C$57, 0), (COLUMNS($DU40:EJ40)-1)*5 + 1) = INDEX($E$5:$CE$5, 1, (COLUMNS($DU40:EJ40)-1)*5 + 1), INDEX($E$8:$CE$57, MATCH($C40, $C$8:$C$57, 0), (COLUMNS($DU40:EJ40)-1)*5 + 4) = "SF"), INDEX($CZ$8:$CZ$23, COLUMNS($DU40:EJ40)), "0"), "")</f>
        <v>0</v>
      </c>
    </row>
    <row r="41" spans="1:140" ht="20.100000000000001" customHeight="1" x14ac:dyDescent="0.35">
      <c r="A41" s="515"/>
      <c r="B41" s="444">
        <f>IF(SEMANA29[[#This Row],[COD]]&lt;&gt;"",B40+1,"")</f>
        <v>34</v>
      </c>
      <c r="C41" s="554" t="s">
        <v>97</v>
      </c>
      <c r="D41" s="410" t="str">
        <f t="array" ref="D41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41" s="411"/>
      <c r="F41" s="418"/>
      <c r="G41" s="418"/>
      <c r="H41" s="418"/>
      <c r="I41" s="534">
        <f t="shared" si="18"/>
        <v>0</v>
      </c>
      <c r="J41" s="411"/>
      <c r="K41" s="418"/>
      <c r="L41" s="418"/>
      <c r="M41" s="418"/>
      <c r="N41" s="534">
        <f t="shared" si="19"/>
        <v>0</v>
      </c>
      <c r="O41" s="411"/>
      <c r="P41" s="418"/>
      <c r="Q41" s="418"/>
      <c r="R41" s="418"/>
      <c r="S41" s="534">
        <f t="shared" si="20"/>
        <v>0</v>
      </c>
      <c r="T41" s="411"/>
      <c r="U41" s="418"/>
      <c r="V41" s="418"/>
      <c r="W41" s="418"/>
      <c r="X41" s="534">
        <f t="shared" si="21"/>
        <v>0</v>
      </c>
      <c r="Y41" s="411"/>
      <c r="Z41" s="418"/>
      <c r="AA41" s="418"/>
      <c r="AB41" s="418"/>
      <c r="AC41" s="534">
        <f t="shared" si="22"/>
        <v>0</v>
      </c>
      <c r="AD41" s="411"/>
      <c r="AE41" s="418"/>
      <c r="AF41" s="418"/>
      <c r="AG41" s="418"/>
      <c r="AH41" s="534">
        <f t="shared" si="23"/>
        <v>0</v>
      </c>
      <c r="AI41" s="411"/>
      <c r="AJ41" s="418"/>
      <c r="AK41" s="418"/>
      <c r="AL41" s="418"/>
      <c r="AM41" s="534">
        <f t="shared" si="24"/>
        <v>0</v>
      </c>
      <c r="AN41" s="411"/>
      <c r="AO41" s="418"/>
      <c r="AP41" s="418"/>
      <c r="AQ41" s="418"/>
      <c r="AR41" s="534">
        <f t="shared" si="25"/>
        <v>0</v>
      </c>
      <c r="AS41" s="411"/>
      <c r="AT41" s="418"/>
      <c r="AU41" s="418"/>
      <c r="AV41" s="418"/>
      <c r="AW41" s="534">
        <f t="shared" si="26"/>
        <v>0</v>
      </c>
      <c r="AX41" s="411"/>
      <c r="AY41" s="418"/>
      <c r="AZ41" s="418"/>
      <c r="BA41" s="418"/>
      <c r="BB41" s="534">
        <f t="shared" si="27"/>
        <v>0</v>
      </c>
      <c r="BC41" s="411"/>
      <c r="BD41" s="418"/>
      <c r="BE41" s="418"/>
      <c r="BF41" s="418"/>
      <c r="BG41" s="534">
        <f t="shared" si="28"/>
        <v>0</v>
      </c>
      <c r="BH41" s="411"/>
      <c r="BI41" s="418"/>
      <c r="BJ41" s="418"/>
      <c r="BK41" s="418"/>
      <c r="BL41" s="534">
        <f t="shared" si="29"/>
        <v>0</v>
      </c>
      <c r="BM41" s="411"/>
      <c r="BN41" s="418"/>
      <c r="BO41" s="418"/>
      <c r="BP41" s="418"/>
      <c r="BQ41" s="534">
        <f t="shared" si="30"/>
        <v>0</v>
      </c>
      <c r="BR41" s="411"/>
      <c r="BS41" s="418"/>
      <c r="BT41" s="418"/>
      <c r="BU41" s="418"/>
      <c r="BV41" s="534">
        <f t="shared" si="31"/>
        <v>0</v>
      </c>
      <c r="BW41" s="411"/>
      <c r="BX41" s="418"/>
      <c r="BY41" s="418"/>
      <c r="BZ41" s="418"/>
      <c r="CA41" s="534">
        <f t="shared" si="32"/>
        <v>0</v>
      </c>
      <c r="CB41" s="411"/>
      <c r="CC41" s="418"/>
      <c r="CD41" s="418"/>
      <c r="CE41" s="418"/>
      <c r="CF41" s="534">
        <f t="shared" si="33"/>
        <v>0</v>
      </c>
      <c r="CG41" s="162">
        <f>IF(SEMANA29[[#This Row],[1]]="",0,$B$4)</f>
        <v>0</v>
      </c>
      <c r="CH41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41" s="164">
        <f>IF(SEMANA29[[#This Row],[Columna14]]=0,0,(CH41/CG41))</f>
        <v>0</v>
      </c>
      <c r="CJ41" s="163">
        <f>IF(SEMANA29[[#This Row],[1]]="",0,$B$4)</f>
        <v>0</v>
      </c>
      <c r="CK41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41" s="164">
        <f>IF(SEMANA29[[#This Row],[Columna14]]=0,0,(CK41/CJ41))</f>
        <v>0</v>
      </c>
      <c r="CM41" s="162">
        <f>IF(SEMANA29[[#This Row],[1]]="",0,$B$4)</f>
        <v>0</v>
      </c>
      <c r="CN41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41" s="164">
        <f>IF(SEMANA29[[#This Row],[Columna14]]=0,0,(CN41/CM41))</f>
        <v>0</v>
      </c>
      <c r="CP41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41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Row],[Columna25]],$AX$5,BA41,"SF")+COUNTIFS(SEMANA29[[#This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41" s="164">
        <f>IFERROR(IF(SEMANA29[[#This Row],[Columna14]]=0,0,(CQ41/CP41)),0)</f>
        <v>0</v>
      </c>
      <c r="CS41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41" s="93">
        <f>_xlfn.XLOOKUP(SEMANA29[[#This Row],[COD]],SEMANA2[COD],SEMANA2[Columna33])</f>
        <v>64.5</v>
      </c>
      <c r="CU41" s="536">
        <f t="shared" si="34"/>
        <v>64.5</v>
      </c>
      <c r="CV41" s="445" t="str">
        <f>IF(SEMANA29[[#This Row],[TIPO]]="PREMIO",$O$3,"0,00")</f>
        <v>0,00</v>
      </c>
      <c r="CW41" s="515"/>
      <c r="CY41" s="387" t="str">
        <f t="shared" si="17"/>
        <v/>
      </c>
      <c r="CZ41" s="387"/>
      <c r="DA41" s="387" t="str">
        <f t="array" ref="DA41">IF(CZ41="", "", IF((INDEX(E$8:CE$57, MATCH(CZ41, C$8:C$57, 0), ($CZ$25-1)*5 + 1) &amp; "") = (INDEX(E$5:CE$5, 1, ($CZ$25-1)*5 + 1) &amp; ""), 1, IF((INDEX(E$8:CE$57, MATCH(CZ41, C$8:C$57, 0), ($CZ$25-1)*5 + 2) &amp; "") = (INDEX(E$5:CE$5, 1, ($CZ$25-1)*5 + 1) &amp; ""), 2, IF((INDEX(E$8:CE$57, MATCH(CZ41, C$8:C$57, 0), ($CZ$25-1)*5 + 3) &amp; "") = (INDEX(E$5:CE$5, 1, ($CZ$25-1)*5 + 1) &amp; ""), 3, ""))))</f>
        <v/>
      </c>
      <c r="DB41" s="537" t="str">
        <f>SEMANA29[[#This Row],[COD]]</f>
        <v>COD 34</v>
      </c>
      <c r="DC41" s="390" t="str">
        <f t="array" ref="DC41">IFERROR(IF(AND(INDEX($E$8:$CE$57, MATCH($C41, $C$8:$C$57, 0), (COLUMNS($DC41:DC41)-1)*5 + 1) = INDEX($E$5:$CE$5, 1, (COLUMNS($DC41:DC41)-1)*5 + 1), INDEX($E$8:$CE$57, MATCH($C41, $C$8:$C$57, 0), (COLUMNS($DC41:DC41)-1)*5 + 4) = "F"), INDEX($CZ$8:$CZ$23, COLUMNS($DC41:DC41)), "0"), "")</f>
        <v>0</v>
      </c>
      <c r="DD41" s="390" t="str">
        <f t="array" ref="DD41">IFERROR(IF(AND(INDEX($E$8:$CE$57, MATCH($C41, $C$8:$C$57, 0), (COLUMNS($DC41:DD41)-1)*5 + 1) = INDEX($E$5:$CE$5, 1, (COLUMNS($DC41:DD41)-1)*5 + 1), INDEX($E$8:$CE$57, MATCH($C41, $C$8:$C$57, 0), (COLUMNS($DC41:DD41)-1)*5 + 4) = "F"), INDEX($CZ$8:$CZ$23, COLUMNS($DC41:DD41)), "0"), "")</f>
        <v>0</v>
      </c>
      <c r="DE41" s="390" t="str">
        <f t="array" ref="DE41">IFERROR(IF(AND(INDEX($E$8:$CE$57, MATCH($C41, $C$8:$C$57, 0), (COLUMNS($DC41:DE41)-1)*5 + 1) = INDEX($E$5:$CE$5, 1, (COLUMNS($DC41:DE41)-1)*5 + 1), INDEX($E$8:$CE$57, MATCH($C41, $C$8:$C$57, 0), (COLUMNS($DC41:DE41)-1)*5 + 4) = "F"), INDEX($CZ$8:$CZ$23, COLUMNS($DC41:DE41)), "0"), "")</f>
        <v>0</v>
      </c>
      <c r="DF41" s="390" t="str">
        <f t="array" ref="DF41">IFERROR(IF(AND(INDEX($E$8:$CE$57, MATCH($C41, $C$8:$C$57, 0), (COLUMNS($DC41:DF41)-1)*5 + 1) = INDEX($E$5:$CE$5, 1, (COLUMNS($DC41:DF41)-1)*5 + 1), INDEX($E$8:$CE$57, MATCH($C41, $C$8:$C$57, 0), (COLUMNS($DC41:DF41)-1)*5 + 4) = "F"), INDEX($CZ$8:$CZ$23, COLUMNS($DC41:DF41)), "0"), "")</f>
        <v>0</v>
      </c>
      <c r="DG41" s="390" t="str">
        <f t="array" ref="DG41">IFERROR(IF(AND(INDEX($E$8:$CE$57, MATCH($C41, $C$8:$C$57, 0), (COLUMNS($DC41:DG41)-1)*5 + 1) = INDEX($E$5:$CE$5, 1, (COLUMNS($DC41:DG41)-1)*5 + 1), INDEX($E$8:$CE$57, MATCH($C41, $C$8:$C$57, 0), (COLUMNS($DC41:DG41)-1)*5 + 4) = "F"), INDEX($CZ$8:$CZ$23, COLUMNS($DC41:DG41)), "0"), "")</f>
        <v>0</v>
      </c>
      <c r="DH41" s="390" t="str">
        <f t="array" ref="DH41">IFERROR(IF(AND(INDEX($E$8:$CE$57, MATCH($C41, $C$8:$C$57, 0), (COLUMNS($DC41:DH41)-1)*5 + 1) = INDEX($E$5:$CE$5, 1, (COLUMNS($DC41:DH41)-1)*5 + 1), INDEX($E$8:$CE$57, MATCH($C41, $C$8:$C$57, 0), (COLUMNS($DC41:DH41)-1)*5 + 4) = "F"), INDEX($CZ$8:$CZ$23, COLUMNS($DC41:DH41)), "0"), "")</f>
        <v>0</v>
      </c>
      <c r="DI41" s="390" t="str">
        <f t="array" ref="DI41">IFERROR(IF(AND(INDEX($E$8:$CE$57, MATCH($C41, $C$8:$C$57, 0), (COLUMNS($DC41:DI41)-1)*5 + 1) = INDEX($E$5:$CE$5, 1, (COLUMNS($DC41:DI41)-1)*5 + 1), INDEX($E$8:$CE$57, MATCH($C41, $C$8:$C$57, 0), (COLUMNS($DC41:DI41)-1)*5 + 4) = "F"), INDEX($CZ$8:$CZ$23, COLUMNS($DC41:DI41)), "0"), "")</f>
        <v>0</v>
      </c>
      <c r="DJ41" s="390" t="str">
        <f t="array" ref="DJ41">IFERROR(IF(AND(INDEX($E$8:$CE$57, MATCH($C41, $C$8:$C$57, 0), (COLUMNS($DC41:DJ41)-1)*5 + 1) = INDEX($E$5:$CE$5, 1, (COLUMNS($DC41:DJ41)-1)*5 + 1), INDEX($E$8:$CE$57, MATCH($C41, $C$8:$C$57, 0), (COLUMNS($DC41:DJ41)-1)*5 + 4) = "F"), INDEX($CZ$8:$CZ$23, COLUMNS($DC41:DJ41)), "0"), "")</f>
        <v>0</v>
      </c>
      <c r="DK41" s="390" t="str">
        <f t="array" ref="DK41">IFERROR(IF(AND(INDEX($E$8:$CE$57, MATCH($C41, $C$8:$C$57, 0), (COLUMNS($DC41:DK41)-1)*5 + 1) = INDEX($E$5:$CE$5, 1, (COLUMNS($DC41:DK41)-1)*5 + 1), INDEX($E$8:$CE$57, MATCH($C41, $C$8:$C$57, 0), (COLUMNS($DC41:DK41)-1)*5 + 4) = "F"), INDEX($CZ$8:$CZ$23, COLUMNS($DC41:DK41)), "0"), "")</f>
        <v>0</v>
      </c>
      <c r="DL41" s="390" t="str">
        <f t="array" ref="DL41">IFERROR(IF(AND(INDEX($E$8:$CE$57, MATCH($C41, $C$8:$C$57, 0), (COLUMNS($DC41:DL41)-1)*5 + 1) = INDEX($E$5:$CE$5, 1, (COLUMNS($DC41:DL41)-1)*5 + 1), INDEX($E$8:$CE$57, MATCH($C41, $C$8:$C$57, 0), (COLUMNS($DC41:DL41)-1)*5 + 4) = "F"), INDEX($CZ$8:$CZ$23, COLUMNS($DC41:DL41)), "0"), "")</f>
        <v>0</v>
      </c>
      <c r="DM41" s="390" t="str">
        <f t="array" ref="DM41">IFERROR(IF(AND(INDEX($E$8:$CE$57, MATCH($C41, $C$8:$C$57, 0), (COLUMNS($DC41:DM41)-1)*5 + 1) = INDEX($E$5:$CE$5, 1, (COLUMNS($DC41:DM41)-1)*5 + 1), INDEX($E$8:$CE$57, MATCH($C41, $C$8:$C$57, 0), (COLUMNS($DC41:DM41)-1)*5 + 4) = "F"), INDEX($CZ$8:$CZ$23, COLUMNS($DC41:DM41)), "0"), "")</f>
        <v>0</v>
      </c>
      <c r="DN41" s="390" t="str">
        <f t="array" ref="DN41">IFERROR(IF(AND(INDEX($E$8:$CE$57, MATCH($C41, $C$8:$C$57, 0), (COLUMNS($DC41:DN41)-1)*5 + 1) = INDEX($E$5:$CE$5, 1, (COLUMNS($DC41:DN41)-1)*5 + 1), INDEX($E$8:$CE$57, MATCH($C41, $C$8:$C$57, 0), (COLUMNS($DC41:DN41)-1)*5 + 4) = "F"), INDEX($CZ$8:$CZ$23, COLUMNS($DC41:DN41)), "0"), "")</f>
        <v>0</v>
      </c>
      <c r="DO41" s="390" t="str">
        <f t="array" ref="DO41">IFERROR(IF(AND(INDEX($E$8:$CE$57, MATCH($C41, $C$8:$C$57, 0), (COLUMNS($DC41:DO41)-1)*5 + 1) = INDEX($E$5:$CE$5, 1, (COLUMNS($DC41:DO41)-1)*5 + 1), INDEX($E$8:$CE$57, MATCH($C41, $C$8:$C$57, 0), (COLUMNS($DC41:DO41)-1)*5 + 4) = "F"), INDEX($CZ$8:$CZ$23, COLUMNS($DC41:DO41)), "0"), "")</f>
        <v>0</v>
      </c>
      <c r="DP41" s="390" t="str">
        <f t="array" ref="DP41">IFERROR(IF(AND(INDEX($E$8:$CE$57, MATCH($C41, $C$8:$C$57, 0), (COLUMNS($DC41:DP41)-1)*5 + 1) = INDEX($E$5:$CE$5, 1, (COLUMNS($DC41:DP41)-1)*5 + 1), INDEX($E$8:$CE$57, MATCH($C41, $C$8:$C$57, 0), (COLUMNS($DC41:DP41)-1)*5 + 4) = "F"), INDEX($CZ$8:$CZ$23, COLUMNS($DC41:DP41)), "0"), "")</f>
        <v>0</v>
      </c>
      <c r="DQ41" s="390" t="str">
        <f t="array" ref="DQ41">IFERROR(IF(AND(INDEX($E$8:$CE$57, MATCH($C41, $C$8:$C$57, 0), (COLUMNS($DC41:DQ41)-1)*5 + 1) = INDEX($E$5:$CE$5, 1, (COLUMNS($DC41:DQ41)-1)*5 + 1), INDEX($E$8:$CE$57, MATCH($C41, $C$8:$C$57, 0), (COLUMNS($DC41:DQ41)-1)*5 + 4) = "F"), INDEX($CZ$8:$CZ$23, COLUMNS($DC41:DQ41)), "0"), "")</f>
        <v>0</v>
      </c>
      <c r="DR41" s="390" t="str">
        <f t="array" ref="DR41">IFERROR(IF(AND(INDEX($E$8:$CE$57, MATCH($C41, $C$8:$C$57, 0), (COLUMNS($DC41:DR41)-1)*5 + 1) = INDEX($E$5:$CE$5, 1, (COLUMNS($DC41:DR41)-1)*5 + 1), INDEX($E$8:$CE$57, MATCH($C41, $C$8:$C$57, 0), (COLUMNS($DC41:DR41)-1)*5 + 4) = "F"), INDEX($CZ$8:$CZ$23, COLUMNS($DC41:DR41)), "0"), "")</f>
        <v>0</v>
      </c>
      <c r="DT41" s="537" t="str">
        <f>SEMANA29[[#This Row],[COD]]</f>
        <v>COD 34</v>
      </c>
      <c r="DU41" s="390" t="str">
        <f t="array" ref="DU41">IFERROR(IF(AND(INDEX($E$8:$CE$57, MATCH($C41, $C$8:$C$57, 0), (COLUMNS($DU41:DU41)-1)*5 + 1) = INDEX($E$5:$CE$5, 1, (COLUMNS($DU41:DU41)-1)*5 + 1), INDEX($E$8:$CE$57, MATCH($C41, $C$8:$C$57, 0), (COLUMNS($DU41:DU41)-1)*5 + 4) = "SF"), INDEX($CZ$8:$CZ$23, COLUMNS($DU41:DU41)), "0"), "")</f>
        <v>0</v>
      </c>
      <c r="DV41" s="390" t="str">
        <f t="array" ref="DV41">IFERROR(IF(AND(INDEX($E$8:$CE$57, MATCH($C41, $C$8:$C$57, 0), (COLUMNS($DU41:DV41)-1)*5 + 1) = INDEX($E$5:$CE$5, 1, (COLUMNS($DU41:DV41)-1)*5 + 1), INDEX($E$8:$CE$57, MATCH($C41, $C$8:$C$57, 0), (COLUMNS($DU41:DV41)-1)*5 + 4) = "SF"), INDEX($CZ$8:$CZ$23, COLUMNS($DU41:DV41)), "0"), "")</f>
        <v>0</v>
      </c>
      <c r="DW41" s="390" t="str">
        <f t="array" ref="DW41">IFERROR(IF(AND(INDEX($E$8:$CE$57, MATCH($C41, $C$8:$C$57, 0), (COLUMNS($DU41:DW41)-1)*5 + 1) = INDEX($E$5:$CE$5, 1, (COLUMNS($DU41:DW41)-1)*5 + 1), INDEX($E$8:$CE$57, MATCH($C41, $C$8:$C$57, 0), (COLUMNS($DU41:DW41)-1)*5 + 4) = "SF"), INDEX($CZ$8:$CZ$23, COLUMNS($DU41:DW41)), "0"), "")</f>
        <v>0</v>
      </c>
      <c r="DX41" s="390" t="str">
        <f t="array" ref="DX41">IFERROR(IF(AND(INDEX($E$8:$CE$57, MATCH($C41, $C$8:$C$57, 0), (COLUMNS($DU41:DX41)-1)*5 + 1) = INDEX($E$5:$CE$5, 1, (COLUMNS($DU41:DX41)-1)*5 + 1), INDEX($E$8:$CE$57, MATCH($C41, $C$8:$C$57, 0), (COLUMNS($DU41:DX41)-1)*5 + 4) = "SF"), INDEX($CZ$8:$CZ$23, COLUMNS($DU41:DX41)), "0"), "")</f>
        <v>0</v>
      </c>
      <c r="DY41" s="390" t="str">
        <f t="array" ref="DY41">IFERROR(IF(AND(INDEX($E$8:$CE$57, MATCH($C41, $C$8:$C$57, 0), (COLUMNS($DU41:DY41)-1)*5 + 1) = INDEX($E$5:$CE$5, 1, (COLUMNS($DU41:DY41)-1)*5 + 1), INDEX($E$8:$CE$57, MATCH($C41, $C$8:$C$57, 0), (COLUMNS($DU41:DY41)-1)*5 + 4) = "SF"), INDEX($CZ$8:$CZ$23, COLUMNS($DU41:DY41)), "0"), "")</f>
        <v>0</v>
      </c>
      <c r="DZ41" s="390" t="str">
        <f t="array" ref="DZ41">IFERROR(IF(AND(INDEX($E$8:$CE$57, MATCH($C41, $C$8:$C$57, 0), (COLUMNS($DU41:DZ41)-1)*5 + 1) = INDEX($E$5:$CE$5, 1, (COLUMNS($DU41:DZ41)-1)*5 + 1), INDEX($E$8:$CE$57, MATCH($C41, $C$8:$C$57, 0), (COLUMNS($DU41:DZ41)-1)*5 + 4) = "SF"), INDEX($CZ$8:$CZ$23, COLUMNS($DU41:DZ41)), "0"), "")</f>
        <v>0</v>
      </c>
      <c r="EA41" s="390" t="str">
        <f t="array" ref="EA41">IFERROR(IF(AND(INDEX($E$8:$CE$57, MATCH($C41, $C$8:$C$57, 0), (COLUMNS($DU41:EA41)-1)*5 + 1) = INDEX($E$5:$CE$5, 1, (COLUMNS($DU41:EA41)-1)*5 + 1), INDEX($E$8:$CE$57, MATCH($C41, $C$8:$C$57, 0), (COLUMNS($DU41:EA41)-1)*5 + 4) = "SF"), INDEX($CZ$8:$CZ$23, COLUMNS($DU41:EA41)), "0"), "")</f>
        <v>0</v>
      </c>
      <c r="EB41" s="390" t="str">
        <f t="array" ref="EB41">IFERROR(IF(AND(INDEX($E$8:$CE$57, MATCH($C41, $C$8:$C$57, 0), (COLUMNS($DU41:EB41)-1)*5 + 1) = INDEX($E$5:$CE$5, 1, (COLUMNS($DU41:EB41)-1)*5 + 1), INDEX($E$8:$CE$57, MATCH($C41, $C$8:$C$57, 0), (COLUMNS($DU41:EB41)-1)*5 + 4) = "SF"), INDEX($CZ$8:$CZ$23, COLUMNS($DU41:EB41)), "0"), "")</f>
        <v>0</v>
      </c>
      <c r="EC41" s="390" t="str">
        <f t="array" ref="EC41">IFERROR(IF(AND(INDEX($E$8:$CE$57, MATCH($C41, $C$8:$C$57, 0), (COLUMNS($DU41:EC41)-1)*5 + 1) = INDEX($E$5:$CE$5, 1, (COLUMNS($DU41:EC41)-1)*5 + 1), INDEX($E$8:$CE$57, MATCH($C41, $C$8:$C$57, 0), (COLUMNS($DU41:EC41)-1)*5 + 4) = "SF"), INDEX($CZ$8:$CZ$23, COLUMNS($DU41:EC41)), "0"), "")</f>
        <v>0</v>
      </c>
      <c r="ED41" s="390" t="str">
        <f t="array" ref="ED41">IFERROR(IF(AND(INDEX($E$8:$CE$57, MATCH($C41, $C$8:$C$57, 0), (COLUMNS($DU41:ED41)-1)*5 + 1) = INDEX($E$5:$CE$5, 1, (COLUMNS($DU41:ED41)-1)*5 + 1), INDEX($E$8:$CE$57, MATCH($C41, $C$8:$C$57, 0), (COLUMNS($DU41:ED41)-1)*5 + 4) = "SF"), INDEX($CZ$8:$CZ$23, COLUMNS($DU41:ED41)), "0"), "")</f>
        <v>0</v>
      </c>
      <c r="EE41" s="390" t="str">
        <f t="array" ref="EE41">IFERROR(IF(AND(INDEX($E$8:$CE$57, MATCH($C41, $C$8:$C$57, 0), (COLUMNS($DU41:EE41)-1)*5 + 1) = INDEX($E$5:$CE$5, 1, (COLUMNS($DU41:EE41)-1)*5 + 1), INDEX($E$8:$CE$57, MATCH($C41, $C$8:$C$57, 0), (COLUMNS($DU41:EE41)-1)*5 + 4) = "SF"), INDEX($CZ$8:$CZ$23, COLUMNS($DU41:EE41)), "0"), "")</f>
        <v>0</v>
      </c>
      <c r="EF41" s="390" t="str">
        <f t="array" ref="EF41">IFERROR(IF(AND(INDEX($E$8:$CE$57, MATCH($C41, $C$8:$C$57, 0), (COLUMNS($DU41:EF41)-1)*5 + 1) = INDEX($E$5:$CE$5, 1, (COLUMNS($DU41:EF41)-1)*5 + 1), INDEX($E$8:$CE$57, MATCH($C41, $C$8:$C$57, 0), (COLUMNS($DU41:EF41)-1)*5 + 4) = "SF"), INDEX($CZ$8:$CZ$23, COLUMNS($DU41:EF41)), "0"), "")</f>
        <v>0</v>
      </c>
      <c r="EG41" s="390" t="str">
        <f t="array" ref="EG41">IFERROR(IF(AND(INDEX($E$8:$CE$57, MATCH($C41, $C$8:$C$57, 0), (COLUMNS($DU41:EG41)-1)*5 + 1) = INDEX($E$5:$CE$5, 1, (COLUMNS($DU41:EG41)-1)*5 + 1), INDEX($E$8:$CE$57, MATCH($C41, $C$8:$C$57, 0), (COLUMNS($DU41:EG41)-1)*5 + 4) = "SF"), INDEX($CZ$8:$CZ$23, COLUMNS($DU41:EG41)), "0"), "")</f>
        <v>0</v>
      </c>
      <c r="EH41" s="390" t="str">
        <f t="array" ref="EH41">IFERROR(IF(AND(INDEX($E$8:$CE$57, MATCH($C41, $C$8:$C$57, 0), (COLUMNS($DU41:EH41)-1)*5 + 1) = INDEX($E$5:$CE$5, 1, (COLUMNS($DU41:EH41)-1)*5 + 1), INDEX($E$8:$CE$57, MATCH($C41, $C$8:$C$57, 0), (COLUMNS($DU41:EH41)-1)*5 + 4) = "SF"), INDEX($CZ$8:$CZ$23, COLUMNS($DU41:EH41)), "0"), "")</f>
        <v>0</v>
      </c>
      <c r="EI41" s="390" t="str">
        <f t="array" ref="EI41">IFERROR(IF(AND(INDEX($E$8:$CE$57, MATCH($C41, $C$8:$C$57, 0), (COLUMNS($DU41:EI41)-1)*5 + 1) = INDEX($E$5:$CE$5, 1, (COLUMNS($DU41:EI41)-1)*5 + 1), INDEX($E$8:$CE$57, MATCH($C41, $C$8:$C$57, 0), (COLUMNS($DU41:EI41)-1)*5 + 4) = "SF"), INDEX($CZ$8:$CZ$23, COLUMNS($DU41:EI41)), "0"), "")</f>
        <v>0</v>
      </c>
      <c r="EJ41" s="390" t="str">
        <f t="array" ref="EJ41">IFERROR(IF(AND(INDEX($E$8:$CE$57, MATCH($C41, $C$8:$C$57, 0), (COLUMNS($DU41:EJ41)-1)*5 + 1) = INDEX($E$5:$CE$5, 1, (COLUMNS($DU41:EJ41)-1)*5 + 1), INDEX($E$8:$CE$57, MATCH($C41, $C$8:$C$57, 0), (COLUMNS($DU41:EJ41)-1)*5 + 4) = "SF"), INDEX($CZ$8:$CZ$23, COLUMNS($DU41:EJ41)), "0"), "")</f>
        <v>0</v>
      </c>
    </row>
    <row r="42" spans="1:140" ht="20.100000000000001" customHeight="1" x14ac:dyDescent="0.35">
      <c r="A42" s="515"/>
      <c r="B42" s="444">
        <f>IF(SEMANA29[[#This Row],[COD]]&lt;&gt;"",B41+1,"")</f>
        <v>35</v>
      </c>
      <c r="C42" s="554" t="s">
        <v>99</v>
      </c>
      <c r="D42" s="410" t="str">
        <f t="array" ref="D42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PREMIO</v>
      </c>
      <c r="E42" s="411"/>
      <c r="F42" s="413"/>
      <c r="G42" s="413"/>
      <c r="H42" s="413"/>
      <c r="I42" s="534">
        <f t="shared" si="18"/>
        <v>0</v>
      </c>
      <c r="J42" s="411"/>
      <c r="K42" s="413"/>
      <c r="L42" s="413"/>
      <c r="M42" s="413"/>
      <c r="N42" s="534">
        <f t="shared" si="19"/>
        <v>0</v>
      </c>
      <c r="O42" s="411"/>
      <c r="P42" s="413"/>
      <c r="Q42" s="413"/>
      <c r="R42" s="413"/>
      <c r="S42" s="534">
        <f t="shared" si="20"/>
        <v>0</v>
      </c>
      <c r="T42" s="411"/>
      <c r="U42" s="413"/>
      <c r="V42" s="413"/>
      <c r="W42" s="413"/>
      <c r="X42" s="534">
        <f t="shared" si="21"/>
        <v>0</v>
      </c>
      <c r="Y42" s="411"/>
      <c r="Z42" s="413"/>
      <c r="AA42" s="413"/>
      <c r="AB42" s="413"/>
      <c r="AC42" s="534">
        <f t="shared" si="22"/>
        <v>0</v>
      </c>
      <c r="AD42" s="411"/>
      <c r="AE42" s="413"/>
      <c r="AF42" s="413"/>
      <c r="AG42" s="413"/>
      <c r="AH42" s="534">
        <f t="shared" si="23"/>
        <v>0</v>
      </c>
      <c r="AI42" s="411"/>
      <c r="AJ42" s="413"/>
      <c r="AK42" s="413"/>
      <c r="AL42" s="413"/>
      <c r="AM42" s="534">
        <f t="shared" si="24"/>
        <v>0</v>
      </c>
      <c r="AN42" s="411"/>
      <c r="AO42" s="413"/>
      <c r="AP42" s="413"/>
      <c r="AQ42" s="413"/>
      <c r="AR42" s="534">
        <f t="shared" si="25"/>
        <v>0</v>
      </c>
      <c r="AS42" s="411"/>
      <c r="AT42" s="413"/>
      <c r="AU42" s="413"/>
      <c r="AV42" s="413"/>
      <c r="AW42" s="534">
        <f t="shared" si="26"/>
        <v>0</v>
      </c>
      <c r="AX42" s="411"/>
      <c r="AY42" s="413"/>
      <c r="AZ42" s="413"/>
      <c r="BA42" s="413"/>
      <c r="BB42" s="534">
        <f t="shared" si="27"/>
        <v>0</v>
      </c>
      <c r="BC42" s="411"/>
      <c r="BD42" s="413"/>
      <c r="BE42" s="413"/>
      <c r="BF42" s="413"/>
      <c r="BG42" s="534">
        <f t="shared" si="28"/>
        <v>0</v>
      </c>
      <c r="BH42" s="411"/>
      <c r="BI42" s="413"/>
      <c r="BJ42" s="413"/>
      <c r="BK42" s="413"/>
      <c r="BL42" s="534">
        <f t="shared" si="29"/>
        <v>0</v>
      </c>
      <c r="BM42" s="411"/>
      <c r="BN42" s="413"/>
      <c r="BO42" s="413"/>
      <c r="BP42" s="413"/>
      <c r="BQ42" s="534">
        <f t="shared" si="30"/>
        <v>0</v>
      </c>
      <c r="BR42" s="411"/>
      <c r="BS42" s="413"/>
      <c r="BT42" s="413"/>
      <c r="BU42" s="413"/>
      <c r="BV42" s="534">
        <f t="shared" si="31"/>
        <v>0</v>
      </c>
      <c r="BW42" s="411"/>
      <c r="BX42" s="413"/>
      <c r="BY42" s="413"/>
      <c r="BZ42" s="413"/>
      <c r="CA42" s="534">
        <f t="shared" si="32"/>
        <v>0</v>
      </c>
      <c r="CB42" s="411"/>
      <c r="CC42" s="413"/>
      <c r="CD42" s="413"/>
      <c r="CE42" s="413"/>
      <c r="CF42" s="534">
        <f t="shared" si="33"/>
        <v>0</v>
      </c>
      <c r="CG42" s="162">
        <f>IF(SEMANA29[[#This Row],[1]]="",0,$B$4)</f>
        <v>0</v>
      </c>
      <c r="CH42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42" s="164">
        <f>IF(SEMANA29[[#This Row],[Columna14]]=0,0,(CH42/CG42))</f>
        <v>0</v>
      </c>
      <c r="CJ42" s="163">
        <f>IF(SEMANA29[[#This Row],[1]]="",0,$B$4)</f>
        <v>0</v>
      </c>
      <c r="CK42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42" s="164">
        <f>IF(SEMANA29[[#This Row],[Columna14]]=0,0,(CK42/CJ42))</f>
        <v>0</v>
      </c>
      <c r="CM42" s="162">
        <f>IF(SEMANA29[[#This Row],[1]]="",0,$B$4)</f>
        <v>0</v>
      </c>
      <c r="CN42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42" s="164">
        <f>IF(SEMANA29[[#This Row],[Columna14]]=0,0,(CN42/CM42))</f>
        <v>0</v>
      </c>
      <c r="CP42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42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Row],[Columna25]],$AX$5,BA42,"SF")+COUNTIFS(SEMANA29[[#This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42" s="164">
        <f>IFERROR(IF(SEMANA29[[#This Row],[Columna14]]=0,0,(CQ42/CP42)),0)</f>
        <v>0</v>
      </c>
      <c r="CS42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42" s="93">
        <f>_xlfn.XLOOKUP(SEMANA29[[#This Row],[COD]],SEMANA2[COD],SEMANA2[Columna33])</f>
        <v>59.5</v>
      </c>
      <c r="CU42" s="536">
        <f t="shared" si="34"/>
        <v>59.5</v>
      </c>
      <c r="CV42" s="445">
        <f>IF(SEMANA29[[#This Row],[TIPO]]="PREMIO",$O$3,"0,00")</f>
        <v>1000</v>
      </c>
      <c r="CW42" s="515"/>
      <c r="CY42" s="387" t="str">
        <f t="shared" si="17"/>
        <v/>
      </c>
      <c r="CZ42" s="387"/>
      <c r="DA42" s="387" t="str">
        <f t="array" ref="DA42">IF(CZ42="", "", IF((INDEX(E$8:CE$57, MATCH(CZ42, C$8:C$57, 0), ($CZ$25-1)*5 + 1) &amp; "") = (INDEX(E$5:CE$5, 1, ($CZ$25-1)*5 + 1) &amp; ""), 1, IF((INDEX(E$8:CE$57, MATCH(CZ42, C$8:C$57, 0), ($CZ$25-1)*5 + 2) &amp; "") = (INDEX(E$5:CE$5, 1, ($CZ$25-1)*5 + 1) &amp; ""), 2, IF((INDEX(E$8:CE$57, MATCH(CZ42, C$8:C$57, 0), ($CZ$25-1)*5 + 3) &amp; "") = (INDEX(E$5:CE$5, 1, ($CZ$25-1)*5 + 1) &amp; ""), 3, ""))))</f>
        <v/>
      </c>
      <c r="DB42" s="537" t="str">
        <f>SEMANA29[[#This Row],[COD]]</f>
        <v>COD 35</v>
      </c>
      <c r="DC42" s="390" t="str">
        <f t="array" ref="DC42">IFERROR(IF(AND(INDEX($E$8:$CE$57, MATCH($C42, $C$8:$C$57, 0), (COLUMNS($DC42:DC42)-1)*5 + 1) = INDEX($E$5:$CE$5, 1, (COLUMNS($DC42:DC42)-1)*5 + 1), INDEX($E$8:$CE$57, MATCH($C42, $C$8:$C$57, 0), (COLUMNS($DC42:DC42)-1)*5 + 4) = "F"), INDEX($CZ$8:$CZ$23, COLUMNS($DC42:DC42)), "0"), "")</f>
        <v>0</v>
      </c>
      <c r="DD42" s="390" t="str">
        <f t="array" ref="DD42">IFERROR(IF(AND(INDEX($E$8:$CE$57, MATCH($C42, $C$8:$C$57, 0), (COLUMNS($DC42:DD42)-1)*5 + 1) = INDEX($E$5:$CE$5, 1, (COLUMNS($DC42:DD42)-1)*5 + 1), INDEX($E$8:$CE$57, MATCH($C42, $C$8:$C$57, 0), (COLUMNS($DC42:DD42)-1)*5 + 4) = "F"), INDEX($CZ$8:$CZ$23, COLUMNS($DC42:DD42)), "0"), "")</f>
        <v>0</v>
      </c>
      <c r="DE42" s="390" t="str">
        <f t="array" ref="DE42">IFERROR(IF(AND(INDEX($E$8:$CE$57, MATCH($C42, $C$8:$C$57, 0), (COLUMNS($DC42:DE42)-1)*5 + 1) = INDEX($E$5:$CE$5, 1, (COLUMNS($DC42:DE42)-1)*5 + 1), INDEX($E$8:$CE$57, MATCH($C42, $C$8:$C$57, 0), (COLUMNS($DC42:DE42)-1)*5 + 4) = "F"), INDEX($CZ$8:$CZ$23, COLUMNS($DC42:DE42)), "0"), "")</f>
        <v>0</v>
      </c>
      <c r="DF42" s="390" t="str">
        <f t="array" ref="DF42">IFERROR(IF(AND(INDEX($E$8:$CE$57, MATCH($C42, $C$8:$C$57, 0), (COLUMNS($DC42:DF42)-1)*5 + 1) = INDEX($E$5:$CE$5, 1, (COLUMNS($DC42:DF42)-1)*5 + 1), INDEX($E$8:$CE$57, MATCH($C42, $C$8:$C$57, 0), (COLUMNS($DC42:DF42)-1)*5 + 4) = "F"), INDEX($CZ$8:$CZ$23, COLUMNS($DC42:DF42)), "0"), "")</f>
        <v>0</v>
      </c>
      <c r="DG42" s="390" t="str">
        <f t="array" ref="DG42">IFERROR(IF(AND(INDEX($E$8:$CE$57, MATCH($C42, $C$8:$C$57, 0), (COLUMNS($DC42:DG42)-1)*5 + 1) = INDEX($E$5:$CE$5, 1, (COLUMNS($DC42:DG42)-1)*5 + 1), INDEX($E$8:$CE$57, MATCH($C42, $C$8:$C$57, 0), (COLUMNS($DC42:DG42)-1)*5 + 4) = "F"), INDEX($CZ$8:$CZ$23, COLUMNS($DC42:DG42)), "0"), "")</f>
        <v>0</v>
      </c>
      <c r="DH42" s="390" t="str">
        <f t="array" ref="DH42">IFERROR(IF(AND(INDEX($E$8:$CE$57, MATCH($C42, $C$8:$C$57, 0), (COLUMNS($DC42:DH42)-1)*5 + 1) = INDEX($E$5:$CE$5, 1, (COLUMNS($DC42:DH42)-1)*5 + 1), INDEX($E$8:$CE$57, MATCH($C42, $C$8:$C$57, 0), (COLUMNS($DC42:DH42)-1)*5 + 4) = "F"), INDEX($CZ$8:$CZ$23, COLUMNS($DC42:DH42)), "0"), "")</f>
        <v>0</v>
      </c>
      <c r="DI42" s="390" t="str">
        <f t="array" ref="DI42">IFERROR(IF(AND(INDEX($E$8:$CE$57, MATCH($C42, $C$8:$C$57, 0), (COLUMNS($DC42:DI42)-1)*5 + 1) = INDEX($E$5:$CE$5, 1, (COLUMNS($DC42:DI42)-1)*5 + 1), INDEX($E$8:$CE$57, MATCH($C42, $C$8:$C$57, 0), (COLUMNS($DC42:DI42)-1)*5 + 4) = "F"), INDEX($CZ$8:$CZ$23, COLUMNS($DC42:DI42)), "0"), "")</f>
        <v>0</v>
      </c>
      <c r="DJ42" s="390" t="str">
        <f t="array" ref="DJ42">IFERROR(IF(AND(INDEX($E$8:$CE$57, MATCH($C42, $C$8:$C$57, 0), (COLUMNS($DC42:DJ42)-1)*5 + 1) = INDEX($E$5:$CE$5, 1, (COLUMNS($DC42:DJ42)-1)*5 + 1), INDEX($E$8:$CE$57, MATCH($C42, $C$8:$C$57, 0), (COLUMNS($DC42:DJ42)-1)*5 + 4) = "F"), INDEX($CZ$8:$CZ$23, COLUMNS($DC42:DJ42)), "0"), "")</f>
        <v>0</v>
      </c>
      <c r="DK42" s="390" t="str">
        <f t="array" ref="DK42">IFERROR(IF(AND(INDEX($E$8:$CE$57, MATCH($C42, $C$8:$C$57, 0), (COLUMNS($DC42:DK42)-1)*5 + 1) = INDEX($E$5:$CE$5, 1, (COLUMNS($DC42:DK42)-1)*5 + 1), INDEX($E$8:$CE$57, MATCH($C42, $C$8:$C$57, 0), (COLUMNS($DC42:DK42)-1)*5 + 4) = "F"), INDEX($CZ$8:$CZ$23, COLUMNS($DC42:DK42)), "0"), "")</f>
        <v>0</v>
      </c>
      <c r="DL42" s="390" t="str">
        <f t="array" ref="DL42">IFERROR(IF(AND(INDEX($E$8:$CE$57, MATCH($C42, $C$8:$C$57, 0), (COLUMNS($DC42:DL42)-1)*5 + 1) = INDEX($E$5:$CE$5, 1, (COLUMNS($DC42:DL42)-1)*5 + 1), INDEX($E$8:$CE$57, MATCH($C42, $C$8:$C$57, 0), (COLUMNS($DC42:DL42)-1)*5 + 4) = "F"), INDEX($CZ$8:$CZ$23, COLUMNS($DC42:DL42)), "0"), "")</f>
        <v>0</v>
      </c>
      <c r="DM42" s="390" t="str">
        <f t="array" ref="DM42">IFERROR(IF(AND(INDEX($E$8:$CE$57, MATCH($C42, $C$8:$C$57, 0), (COLUMNS($DC42:DM42)-1)*5 + 1) = INDEX($E$5:$CE$5, 1, (COLUMNS($DC42:DM42)-1)*5 + 1), INDEX($E$8:$CE$57, MATCH($C42, $C$8:$C$57, 0), (COLUMNS($DC42:DM42)-1)*5 + 4) = "F"), INDEX($CZ$8:$CZ$23, COLUMNS($DC42:DM42)), "0"), "")</f>
        <v>0</v>
      </c>
      <c r="DN42" s="390" t="str">
        <f t="array" ref="DN42">IFERROR(IF(AND(INDEX($E$8:$CE$57, MATCH($C42, $C$8:$C$57, 0), (COLUMNS($DC42:DN42)-1)*5 + 1) = INDEX($E$5:$CE$5, 1, (COLUMNS($DC42:DN42)-1)*5 + 1), INDEX($E$8:$CE$57, MATCH($C42, $C$8:$C$57, 0), (COLUMNS($DC42:DN42)-1)*5 + 4) = "F"), INDEX($CZ$8:$CZ$23, COLUMNS($DC42:DN42)), "0"), "")</f>
        <v>0</v>
      </c>
      <c r="DO42" s="390" t="str">
        <f t="array" ref="DO42">IFERROR(IF(AND(INDEX($E$8:$CE$57, MATCH($C42, $C$8:$C$57, 0), (COLUMNS($DC42:DO42)-1)*5 + 1) = INDEX($E$5:$CE$5, 1, (COLUMNS($DC42:DO42)-1)*5 + 1), INDEX($E$8:$CE$57, MATCH($C42, $C$8:$C$57, 0), (COLUMNS($DC42:DO42)-1)*5 + 4) = "F"), INDEX($CZ$8:$CZ$23, COLUMNS($DC42:DO42)), "0"), "")</f>
        <v>0</v>
      </c>
      <c r="DP42" s="390" t="str">
        <f t="array" ref="DP42">IFERROR(IF(AND(INDEX($E$8:$CE$57, MATCH($C42, $C$8:$C$57, 0), (COLUMNS($DC42:DP42)-1)*5 + 1) = INDEX($E$5:$CE$5, 1, (COLUMNS($DC42:DP42)-1)*5 + 1), INDEX($E$8:$CE$57, MATCH($C42, $C$8:$C$57, 0), (COLUMNS($DC42:DP42)-1)*5 + 4) = "F"), INDEX($CZ$8:$CZ$23, COLUMNS($DC42:DP42)), "0"), "")</f>
        <v>0</v>
      </c>
      <c r="DQ42" s="390" t="str">
        <f t="array" ref="DQ42">IFERROR(IF(AND(INDEX($E$8:$CE$57, MATCH($C42, $C$8:$C$57, 0), (COLUMNS($DC42:DQ42)-1)*5 + 1) = INDEX($E$5:$CE$5, 1, (COLUMNS($DC42:DQ42)-1)*5 + 1), INDEX($E$8:$CE$57, MATCH($C42, $C$8:$C$57, 0), (COLUMNS($DC42:DQ42)-1)*5 + 4) = "F"), INDEX($CZ$8:$CZ$23, COLUMNS($DC42:DQ42)), "0"), "")</f>
        <v>0</v>
      </c>
      <c r="DR42" s="390" t="str">
        <f t="array" ref="DR42">IFERROR(IF(AND(INDEX($E$8:$CE$57, MATCH($C42, $C$8:$C$57, 0), (COLUMNS($DC42:DR42)-1)*5 + 1) = INDEX($E$5:$CE$5, 1, (COLUMNS($DC42:DR42)-1)*5 + 1), INDEX($E$8:$CE$57, MATCH($C42, $C$8:$C$57, 0), (COLUMNS($DC42:DR42)-1)*5 + 4) = "F"), INDEX($CZ$8:$CZ$23, COLUMNS($DC42:DR42)), "0"), "")</f>
        <v>0</v>
      </c>
      <c r="DT42" s="537" t="str">
        <f>SEMANA29[[#This Row],[COD]]</f>
        <v>COD 35</v>
      </c>
      <c r="DU42" s="390" t="str">
        <f t="array" ref="DU42">IFERROR(IF(AND(INDEX($E$8:$CE$57, MATCH($C42, $C$8:$C$57, 0), (COLUMNS($DU42:DU42)-1)*5 + 1) = INDEX($E$5:$CE$5, 1, (COLUMNS($DU42:DU42)-1)*5 + 1), INDEX($E$8:$CE$57, MATCH($C42, $C$8:$C$57, 0), (COLUMNS($DU42:DU42)-1)*5 + 4) = "SF"), INDEX($CZ$8:$CZ$23, COLUMNS($DU42:DU42)), "0"), "")</f>
        <v>0</v>
      </c>
      <c r="DV42" s="390" t="str">
        <f t="array" ref="DV42">IFERROR(IF(AND(INDEX($E$8:$CE$57, MATCH($C42, $C$8:$C$57, 0), (COLUMNS($DU42:DV42)-1)*5 + 1) = INDEX($E$5:$CE$5, 1, (COLUMNS($DU42:DV42)-1)*5 + 1), INDEX($E$8:$CE$57, MATCH($C42, $C$8:$C$57, 0), (COLUMNS($DU42:DV42)-1)*5 + 4) = "SF"), INDEX($CZ$8:$CZ$23, COLUMNS($DU42:DV42)), "0"), "")</f>
        <v>0</v>
      </c>
      <c r="DW42" s="390" t="str">
        <f t="array" ref="DW42">IFERROR(IF(AND(INDEX($E$8:$CE$57, MATCH($C42, $C$8:$C$57, 0), (COLUMNS($DU42:DW42)-1)*5 + 1) = INDEX($E$5:$CE$5, 1, (COLUMNS($DU42:DW42)-1)*5 + 1), INDEX($E$8:$CE$57, MATCH($C42, $C$8:$C$57, 0), (COLUMNS($DU42:DW42)-1)*5 + 4) = "SF"), INDEX($CZ$8:$CZ$23, COLUMNS($DU42:DW42)), "0"), "")</f>
        <v>0</v>
      </c>
      <c r="DX42" s="390" t="str">
        <f t="array" ref="DX42">IFERROR(IF(AND(INDEX($E$8:$CE$57, MATCH($C42, $C$8:$C$57, 0), (COLUMNS($DU42:DX42)-1)*5 + 1) = INDEX($E$5:$CE$5, 1, (COLUMNS($DU42:DX42)-1)*5 + 1), INDEX($E$8:$CE$57, MATCH($C42, $C$8:$C$57, 0), (COLUMNS($DU42:DX42)-1)*5 + 4) = "SF"), INDEX($CZ$8:$CZ$23, COLUMNS($DU42:DX42)), "0"), "")</f>
        <v>0</v>
      </c>
      <c r="DY42" s="390" t="str">
        <f t="array" ref="DY42">IFERROR(IF(AND(INDEX($E$8:$CE$57, MATCH($C42, $C$8:$C$57, 0), (COLUMNS($DU42:DY42)-1)*5 + 1) = INDEX($E$5:$CE$5, 1, (COLUMNS($DU42:DY42)-1)*5 + 1), INDEX($E$8:$CE$57, MATCH($C42, $C$8:$C$57, 0), (COLUMNS($DU42:DY42)-1)*5 + 4) = "SF"), INDEX($CZ$8:$CZ$23, COLUMNS($DU42:DY42)), "0"), "")</f>
        <v>0</v>
      </c>
      <c r="DZ42" s="390" t="str">
        <f t="array" ref="DZ42">IFERROR(IF(AND(INDEX($E$8:$CE$57, MATCH($C42, $C$8:$C$57, 0), (COLUMNS($DU42:DZ42)-1)*5 + 1) = INDEX($E$5:$CE$5, 1, (COLUMNS($DU42:DZ42)-1)*5 + 1), INDEX($E$8:$CE$57, MATCH($C42, $C$8:$C$57, 0), (COLUMNS($DU42:DZ42)-1)*5 + 4) = "SF"), INDEX($CZ$8:$CZ$23, COLUMNS($DU42:DZ42)), "0"), "")</f>
        <v>0</v>
      </c>
      <c r="EA42" s="390" t="str">
        <f t="array" ref="EA42">IFERROR(IF(AND(INDEX($E$8:$CE$57, MATCH($C42, $C$8:$C$57, 0), (COLUMNS($DU42:EA42)-1)*5 + 1) = INDEX($E$5:$CE$5, 1, (COLUMNS($DU42:EA42)-1)*5 + 1), INDEX($E$8:$CE$57, MATCH($C42, $C$8:$C$57, 0), (COLUMNS($DU42:EA42)-1)*5 + 4) = "SF"), INDEX($CZ$8:$CZ$23, COLUMNS($DU42:EA42)), "0"), "")</f>
        <v>0</v>
      </c>
      <c r="EB42" s="390" t="str">
        <f t="array" ref="EB42">IFERROR(IF(AND(INDEX($E$8:$CE$57, MATCH($C42, $C$8:$C$57, 0), (COLUMNS($DU42:EB42)-1)*5 + 1) = INDEX($E$5:$CE$5, 1, (COLUMNS($DU42:EB42)-1)*5 + 1), INDEX($E$8:$CE$57, MATCH($C42, $C$8:$C$57, 0), (COLUMNS($DU42:EB42)-1)*5 + 4) = "SF"), INDEX($CZ$8:$CZ$23, COLUMNS($DU42:EB42)), "0"), "")</f>
        <v>0</v>
      </c>
      <c r="EC42" s="390" t="str">
        <f t="array" ref="EC42">IFERROR(IF(AND(INDEX($E$8:$CE$57, MATCH($C42, $C$8:$C$57, 0), (COLUMNS($DU42:EC42)-1)*5 + 1) = INDEX($E$5:$CE$5, 1, (COLUMNS($DU42:EC42)-1)*5 + 1), INDEX($E$8:$CE$57, MATCH($C42, $C$8:$C$57, 0), (COLUMNS($DU42:EC42)-1)*5 + 4) = "SF"), INDEX($CZ$8:$CZ$23, COLUMNS($DU42:EC42)), "0"), "")</f>
        <v>0</v>
      </c>
      <c r="ED42" s="390" t="str">
        <f t="array" ref="ED42">IFERROR(IF(AND(INDEX($E$8:$CE$57, MATCH($C42, $C$8:$C$57, 0), (COLUMNS($DU42:ED42)-1)*5 + 1) = INDEX($E$5:$CE$5, 1, (COLUMNS($DU42:ED42)-1)*5 + 1), INDEX($E$8:$CE$57, MATCH($C42, $C$8:$C$57, 0), (COLUMNS($DU42:ED42)-1)*5 + 4) = "SF"), INDEX($CZ$8:$CZ$23, COLUMNS($DU42:ED42)), "0"), "")</f>
        <v>0</v>
      </c>
      <c r="EE42" s="390" t="str">
        <f t="array" ref="EE42">IFERROR(IF(AND(INDEX($E$8:$CE$57, MATCH($C42, $C$8:$C$57, 0), (COLUMNS($DU42:EE42)-1)*5 + 1) = INDEX($E$5:$CE$5, 1, (COLUMNS($DU42:EE42)-1)*5 + 1), INDEX($E$8:$CE$57, MATCH($C42, $C$8:$C$57, 0), (COLUMNS($DU42:EE42)-1)*5 + 4) = "SF"), INDEX($CZ$8:$CZ$23, COLUMNS($DU42:EE42)), "0"), "")</f>
        <v>0</v>
      </c>
      <c r="EF42" s="390" t="str">
        <f t="array" ref="EF42">IFERROR(IF(AND(INDEX($E$8:$CE$57, MATCH($C42, $C$8:$C$57, 0), (COLUMNS($DU42:EF42)-1)*5 + 1) = INDEX($E$5:$CE$5, 1, (COLUMNS($DU42:EF42)-1)*5 + 1), INDEX($E$8:$CE$57, MATCH($C42, $C$8:$C$57, 0), (COLUMNS($DU42:EF42)-1)*5 + 4) = "SF"), INDEX($CZ$8:$CZ$23, COLUMNS($DU42:EF42)), "0"), "")</f>
        <v>0</v>
      </c>
      <c r="EG42" s="390" t="str">
        <f t="array" ref="EG42">IFERROR(IF(AND(INDEX($E$8:$CE$57, MATCH($C42, $C$8:$C$57, 0), (COLUMNS($DU42:EG42)-1)*5 + 1) = INDEX($E$5:$CE$5, 1, (COLUMNS($DU42:EG42)-1)*5 + 1), INDEX($E$8:$CE$57, MATCH($C42, $C$8:$C$57, 0), (COLUMNS($DU42:EG42)-1)*5 + 4) = "SF"), INDEX($CZ$8:$CZ$23, COLUMNS($DU42:EG42)), "0"), "")</f>
        <v>0</v>
      </c>
      <c r="EH42" s="390" t="str">
        <f t="array" ref="EH42">IFERROR(IF(AND(INDEX($E$8:$CE$57, MATCH($C42, $C$8:$C$57, 0), (COLUMNS($DU42:EH42)-1)*5 + 1) = INDEX($E$5:$CE$5, 1, (COLUMNS($DU42:EH42)-1)*5 + 1), INDEX($E$8:$CE$57, MATCH($C42, $C$8:$C$57, 0), (COLUMNS($DU42:EH42)-1)*5 + 4) = "SF"), INDEX($CZ$8:$CZ$23, COLUMNS($DU42:EH42)), "0"), "")</f>
        <v>0</v>
      </c>
      <c r="EI42" s="390" t="str">
        <f t="array" ref="EI42">IFERROR(IF(AND(INDEX($E$8:$CE$57, MATCH($C42, $C$8:$C$57, 0), (COLUMNS($DU42:EI42)-1)*5 + 1) = INDEX($E$5:$CE$5, 1, (COLUMNS($DU42:EI42)-1)*5 + 1), INDEX($E$8:$CE$57, MATCH($C42, $C$8:$C$57, 0), (COLUMNS($DU42:EI42)-1)*5 + 4) = "SF"), INDEX($CZ$8:$CZ$23, COLUMNS($DU42:EI42)), "0"), "")</f>
        <v>0</v>
      </c>
      <c r="EJ42" s="390" t="str">
        <f t="array" ref="EJ42">IFERROR(IF(AND(INDEX($E$8:$CE$57, MATCH($C42, $C$8:$C$57, 0), (COLUMNS($DU42:EJ42)-1)*5 + 1) = INDEX($E$5:$CE$5, 1, (COLUMNS($DU42:EJ42)-1)*5 + 1), INDEX($E$8:$CE$57, MATCH($C42, $C$8:$C$57, 0), (COLUMNS($DU42:EJ42)-1)*5 + 4) = "SF"), INDEX($CZ$8:$CZ$23, COLUMNS($DU42:EJ42)), "0"), "")</f>
        <v>0</v>
      </c>
    </row>
    <row r="43" spans="1:140" ht="20.100000000000001" customHeight="1" x14ac:dyDescent="0.35">
      <c r="A43" s="515"/>
      <c r="B43" s="444">
        <f>IF(SEMANA29[[#This Row],[COD]]&lt;&gt;"",B42+1,"")</f>
        <v>36</v>
      </c>
      <c r="C43" s="554" t="s">
        <v>101</v>
      </c>
      <c r="D43" s="410" t="str">
        <f t="array" ref="D43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PREMIO</v>
      </c>
      <c r="E43" s="411"/>
      <c r="F43" s="413"/>
      <c r="G43" s="413"/>
      <c r="H43" s="413"/>
      <c r="I43" s="534">
        <f t="shared" si="18"/>
        <v>0</v>
      </c>
      <c r="J43" s="411"/>
      <c r="K43" s="413"/>
      <c r="L43" s="413"/>
      <c r="M43" s="413"/>
      <c r="N43" s="534">
        <f t="shared" si="19"/>
        <v>0</v>
      </c>
      <c r="O43" s="411"/>
      <c r="P43" s="413"/>
      <c r="Q43" s="413"/>
      <c r="R43" s="413"/>
      <c r="S43" s="534">
        <f t="shared" si="20"/>
        <v>0</v>
      </c>
      <c r="T43" s="411"/>
      <c r="U43" s="413"/>
      <c r="V43" s="413"/>
      <c r="W43" s="413"/>
      <c r="X43" s="534">
        <f t="shared" si="21"/>
        <v>0</v>
      </c>
      <c r="Y43" s="411"/>
      <c r="Z43" s="413"/>
      <c r="AA43" s="413"/>
      <c r="AB43" s="413"/>
      <c r="AC43" s="534">
        <f t="shared" si="22"/>
        <v>0</v>
      </c>
      <c r="AD43" s="411"/>
      <c r="AE43" s="413"/>
      <c r="AF43" s="413"/>
      <c r="AG43" s="413"/>
      <c r="AH43" s="534">
        <f t="shared" si="23"/>
        <v>0</v>
      </c>
      <c r="AI43" s="411"/>
      <c r="AJ43" s="413"/>
      <c r="AK43" s="413"/>
      <c r="AL43" s="413"/>
      <c r="AM43" s="534">
        <f t="shared" si="24"/>
        <v>0</v>
      </c>
      <c r="AN43" s="411"/>
      <c r="AO43" s="413"/>
      <c r="AP43" s="413"/>
      <c r="AQ43" s="413"/>
      <c r="AR43" s="534">
        <f t="shared" si="25"/>
        <v>0</v>
      </c>
      <c r="AS43" s="411"/>
      <c r="AT43" s="413"/>
      <c r="AU43" s="413"/>
      <c r="AV43" s="413"/>
      <c r="AW43" s="534">
        <f t="shared" si="26"/>
        <v>0</v>
      </c>
      <c r="AX43" s="411"/>
      <c r="AY43" s="413"/>
      <c r="AZ43" s="413"/>
      <c r="BA43" s="413"/>
      <c r="BB43" s="534">
        <f t="shared" si="27"/>
        <v>0</v>
      </c>
      <c r="BC43" s="411"/>
      <c r="BD43" s="413"/>
      <c r="BE43" s="413"/>
      <c r="BF43" s="413"/>
      <c r="BG43" s="534">
        <f t="shared" si="28"/>
        <v>0</v>
      </c>
      <c r="BH43" s="411"/>
      <c r="BI43" s="413"/>
      <c r="BJ43" s="413"/>
      <c r="BK43" s="413"/>
      <c r="BL43" s="534">
        <f t="shared" si="29"/>
        <v>0</v>
      </c>
      <c r="BM43" s="411"/>
      <c r="BN43" s="413"/>
      <c r="BO43" s="413"/>
      <c r="BP43" s="413"/>
      <c r="BQ43" s="534">
        <f t="shared" si="30"/>
        <v>0</v>
      </c>
      <c r="BR43" s="411"/>
      <c r="BS43" s="413"/>
      <c r="BT43" s="413"/>
      <c r="BU43" s="413"/>
      <c r="BV43" s="534">
        <f t="shared" si="31"/>
        <v>0</v>
      </c>
      <c r="BW43" s="411"/>
      <c r="BX43" s="413"/>
      <c r="BY43" s="413"/>
      <c r="BZ43" s="413"/>
      <c r="CA43" s="534">
        <f t="shared" si="32"/>
        <v>0</v>
      </c>
      <c r="CB43" s="411"/>
      <c r="CC43" s="413"/>
      <c r="CD43" s="413"/>
      <c r="CE43" s="413"/>
      <c r="CF43" s="534">
        <f t="shared" si="33"/>
        <v>0</v>
      </c>
      <c r="CG43" s="162">
        <f>IF(SEMANA29[[#This Row],[1]]="",0,$B$4)</f>
        <v>0</v>
      </c>
      <c r="CH43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43" s="164">
        <f>IF(SEMANA29[[#This Row],[Columna14]]=0,0,(CH43/CG43))</f>
        <v>0</v>
      </c>
      <c r="CJ43" s="163">
        <f>IF(SEMANA29[[#This Row],[1]]="",0,$B$4)</f>
        <v>0</v>
      </c>
      <c r="CK43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43" s="164">
        <f>IF(SEMANA29[[#This Row],[Columna14]]=0,0,(CK43/CJ43))</f>
        <v>0</v>
      </c>
      <c r="CM43" s="162">
        <f>IF(SEMANA29[[#This Row],[1]]="",0,$B$4)</f>
        <v>0</v>
      </c>
      <c r="CN43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43" s="164">
        <f>IF(SEMANA29[[#This Row],[Columna14]]=0,0,(CN43/CM43))</f>
        <v>0</v>
      </c>
      <c r="CP43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43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Row],[Columna25]],$AX$5,BA43,"SF")+COUNTIFS(SEMANA29[[#This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43" s="164">
        <f>IFERROR(IF(SEMANA29[[#This Row],[Columna14]]=0,0,(CQ43/CP43)),0)</f>
        <v>0</v>
      </c>
      <c r="CS43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43" s="93">
        <f>_xlfn.XLOOKUP(SEMANA29[[#This Row],[COD]],SEMANA2[COD],SEMANA2[Columna33])</f>
        <v>61.5</v>
      </c>
      <c r="CU43" s="536">
        <f t="shared" si="34"/>
        <v>61.5</v>
      </c>
      <c r="CV43" s="445">
        <f>IF(SEMANA29[[#This Row],[TIPO]]="PREMIO",$O$3,"0,00")</f>
        <v>1000</v>
      </c>
      <c r="CW43" s="515"/>
      <c r="CY43" s="387" t="str">
        <f t="shared" si="17"/>
        <v/>
      </c>
      <c r="CZ43" s="387"/>
      <c r="DA43" s="387" t="str">
        <f t="array" ref="DA43">IF(CZ43="", "", IF((INDEX(E$8:CE$57, MATCH(CZ43, C$8:C$57, 0), ($CZ$25-1)*5 + 1) &amp; "") = (INDEX(E$5:CE$5, 1, ($CZ$25-1)*5 + 1) &amp; ""), 1, IF((INDEX(E$8:CE$57, MATCH(CZ43, C$8:C$57, 0), ($CZ$25-1)*5 + 2) &amp; "") = (INDEX(E$5:CE$5, 1, ($CZ$25-1)*5 + 1) &amp; ""), 2, IF((INDEX(E$8:CE$57, MATCH(CZ43, C$8:C$57, 0), ($CZ$25-1)*5 + 3) &amp; "") = (INDEX(E$5:CE$5, 1, ($CZ$25-1)*5 + 1) &amp; ""), 3, ""))))</f>
        <v/>
      </c>
      <c r="DB43" s="537" t="str">
        <f>SEMANA29[[#This Row],[COD]]</f>
        <v>COD 36</v>
      </c>
      <c r="DC43" s="390" t="str">
        <f t="array" ref="DC43">IFERROR(IF(AND(INDEX($E$8:$CE$57, MATCH($C43, $C$8:$C$57, 0), (COLUMNS($DC43:DC43)-1)*5 + 1) = INDEX($E$5:$CE$5, 1, (COLUMNS($DC43:DC43)-1)*5 + 1), INDEX($E$8:$CE$57, MATCH($C43, $C$8:$C$57, 0), (COLUMNS($DC43:DC43)-1)*5 + 4) = "F"), INDEX($CZ$8:$CZ$23, COLUMNS($DC43:DC43)), "0"), "")</f>
        <v>0</v>
      </c>
      <c r="DD43" s="390" t="str">
        <f t="array" ref="DD43">IFERROR(IF(AND(INDEX($E$8:$CE$57, MATCH($C43, $C$8:$C$57, 0), (COLUMNS($DC43:DD43)-1)*5 + 1) = INDEX($E$5:$CE$5, 1, (COLUMNS($DC43:DD43)-1)*5 + 1), INDEX($E$8:$CE$57, MATCH($C43, $C$8:$C$57, 0), (COLUMNS($DC43:DD43)-1)*5 + 4) = "F"), INDEX($CZ$8:$CZ$23, COLUMNS($DC43:DD43)), "0"), "")</f>
        <v>0</v>
      </c>
      <c r="DE43" s="390" t="str">
        <f t="array" ref="DE43">IFERROR(IF(AND(INDEX($E$8:$CE$57, MATCH($C43, $C$8:$C$57, 0), (COLUMNS($DC43:DE43)-1)*5 + 1) = INDEX($E$5:$CE$5, 1, (COLUMNS($DC43:DE43)-1)*5 + 1), INDEX($E$8:$CE$57, MATCH($C43, $C$8:$C$57, 0), (COLUMNS($DC43:DE43)-1)*5 + 4) = "F"), INDEX($CZ$8:$CZ$23, COLUMNS($DC43:DE43)), "0"), "")</f>
        <v>0</v>
      </c>
      <c r="DF43" s="390" t="str">
        <f t="array" ref="DF43">IFERROR(IF(AND(INDEX($E$8:$CE$57, MATCH($C43, $C$8:$C$57, 0), (COLUMNS($DC43:DF43)-1)*5 + 1) = INDEX($E$5:$CE$5, 1, (COLUMNS($DC43:DF43)-1)*5 + 1), INDEX($E$8:$CE$57, MATCH($C43, $C$8:$C$57, 0), (COLUMNS($DC43:DF43)-1)*5 + 4) = "F"), INDEX($CZ$8:$CZ$23, COLUMNS($DC43:DF43)), "0"), "")</f>
        <v>0</v>
      </c>
      <c r="DG43" s="390" t="str">
        <f t="array" ref="DG43">IFERROR(IF(AND(INDEX($E$8:$CE$57, MATCH($C43, $C$8:$C$57, 0), (COLUMNS($DC43:DG43)-1)*5 + 1) = INDEX($E$5:$CE$5, 1, (COLUMNS($DC43:DG43)-1)*5 + 1), INDEX($E$8:$CE$57, MATCH($C43, $C$8:$C$57, 0), (COLUMNS($DC43:DG43)-1)*5 + 4) = "F"), INDEX($CZ$8:$CZ$23, COLUMNS($DC43:DG43)), "0"), "")</f>
        <v>0</v>
      </c>
      <c r="DH43" s="390" t="str">
        <f t="array" ref="DH43">IFERROR(IF(AND(INDEX($E$8:$CE$57, MATCH($C43, $C$8:$C$57, 0), (COLUMNS($DC43:DH43)-1)*5 + 1) = INDEX($E$5:$CE$5, 1, (COLUMNS($DC43:DH43)-1)*5 + 1), INDEX($E$8:$CE$57, MATCH($C43, $C$8:$C$57, 0), (COLUMNS($DC43:DH43)-1)*5 + 4) = "F"), INDEX($CZ$8:$CZ$23, COLUMNS($DC43:DH43)), "0"), "")</f>
        <v>0</v>
      </c>
      <c r="DI43" s="390" t="str">
        <f t="array" ref="DI43">IFERROR(IF(AND(INDEX($E$8:$CE$57, MATCH($C43, $C$8:$C$57, 0), (COLUMNS($DC43:DI43)-1)*5 + 1) = INDEX($E$5:$CE$5, 1, (COLUMNS($DC43:DI43)-1)*5 + 1), INDEX($E$8:$CE$57, MATCH($C43, $C$8:$C$57, 0), (COLUMNS($DC43:DI43)-1)*5 + 4) = "F"), INDEX($CZ$8:$CZ$23, COLUMNS($DC43:DI43)), "0"), "")</f>
        <v>0</v>
      </c>
      <c r="DJ43" s="390" t="str">
        <f t="array" ref="DJ43">IFERROR(IF(AND(INDEX($E$8:$CE$57, MATCH($C43, $C$8:$C$57, 0), (COLUMNS($DC43:DJ43)-1)*5 + 1) = INDEX($E$5:$CE$5, 1, (COLUMNS($DC43:DJ43)-1)*5 + 1), INDEX($E$8:$CE$57, MATCH($C43, $C$8:$C$57, 0), (COLUMNS($DC43:DJ43)-1)*5 + 4) = "F"), INDEX($CZ$8:$CZ$23, COLUMNS($DC43:DJ43)), "0"), "")</f>
        <v>0</v>
      </c>
      <c r="DK43" s="390" t="str">
        <f t="array" ref="DK43">IFERROR(IF(AND(INDEX($E$8:$CE$57, MATCH($C43, $C$8:$C$57, 0), (COLUMNS($DC43:DK43)-1)*5 + 1) = INDEX($E$5:$CE$5, 1, (COLUMNS($DC43:DK43)-1)*5 + 1), INDEX($E$8:$CE$57, MATCH($C43, $C$8:$C$57, 0), (COLUMNS($DC43:DK43)-1)*5 + 4) = "F"), INDEX($CZ$8:$CZ$23, COLUMNS($DC43:DK43)), "0"), "")</f>
        <v>0</v>
      </c>
      <c r="DL43" s="390" t="str">
        <f t="array" ref="DL43">IFERROR(IF(AND(INDEX($E$8:$CE$57, MATCH($C43, $C$8:$C$57, 0), (COLUMNS($DC43:DL43)-1)*5 + 1) = INDEX($E$5:$CE$5, 1, (COLUMNS($DC43:DL43)-1)*5 + 1), INDEX($E$8:$CE$57, MATCH($C43, $C$8:$C$57, 0), (COLUMNS($DC43:DL43)-1)*5 + 4) = "F"), INDEX($CZ$8:$CZ$23, COLUMNS($DC43:DL43)), "0"), "")</f>
        <v>0</v>
      </c>
      <c r="DM43" s="390" t="str">
        <f t="array" ref="DM43">IFERROR(IF(AND(INDEX($E$8:$CE$57, MATCH($C43, $C$8:$C$57, 0), (COLUMNS($DC43:DM43)-1)*5 + 1) = INDEX($E$5:$CE$5, 1, (COLUMNS($DC43:DM43)-1)*5 + 1), INDEX($E$8:$CE$57, MATCH($C43, $C$8:$C$57, 0), (COLUMNS($DC43:DM43)-1)*5 + 4) = "F"), INDEX($CZ$8:$CZ$23, COLUMNS($DC43:DM43)), "0"), "")</f>
        <v>0</v>
      </c>
      <c r="DN43" s="390" t="str">
        <f t="array" ref="DN43">IFERROR(IF(AND(INDEX($E$8:$CE$57, MATCH($C43, $C$8:$C$57, 0), (COLUMNS($DC43:DN43)-1)*5 + 1) = INDEX($E$5:$CE$5, 1, (COLUMNS($DC43:DN43)-1)*5 + 1), INDEX($E$8:$CE$57, MATCH($C43, $C$8:$C$57, 0), (COLUMNS($DC43:DN43)-1)*5 + 4) = "F"), INDEX($CZ$8:$CZ$23, COLUMNS($DC43:DN43)), "0"), "")</f>
        <v>0</v>
      </c>
      <c r="DO43" s="390" t="str">
        <f t="array" ref="DO43">IFERROR(IF(AND(INDEX($E$8:$CE$57, MATCH($C43, $C$8:$C$57, 0), (COLUMNS($DC43:DO43)-1)*5 + 1) = INDEX($E$5:$CE$5, 1, (COLUMNS($DC43:DO43)-1)*5 + 1), INDEX($E$8:$CE$57, MATCH($C43, $C$8:$C$57, 0), (COLUMNS($DC43:DO43)-1)*5 + 4) = "F"), INDEX($CZ$8:$CZ$23, COLUMNS($DC43:DO43)), "0"), "")</f>
        <v>0</v>
      </c>
      <c r="DP43" s="390" t="str">
        <f t="array" ref="DP43">IFERROR(IF(AND(INDEX($E$8:$CE$57, MATCH($C43, $C$8:$C$57, 0), (COLUMNS($DC43:DP43)-1)*5 + 1) = INDEX($E$5:$CE$5, 1, (COLUMNS($DC43:DP43)-1)*5 + 1), INDEX($E$8:$CE$57, MATCH($C43, $C$8:$C$57, 0), (COLUMNS($DC43:DP43)-1)*5 + 4) = "F"), INDEX($CZ$8:$CZ$23, COLUMNS($DC43:DP43)), "0"), "")</f>
        <v>0</v>
      </c>
      <c r="DQ43" s="390" t="str">
        <f t="array" ref="DQ43">IFERROR(IF(AND(INDEX($E$8:$CE$57, MATCH($C43, $C$8:$C$57, 0), (COLUMNS($DC43:DQ43)-1)*5 + 1) = INDEX($E$5:$CE$5, 1, (COLUMNS($DC43:DQ43)-1)*5 + 1), INDEX($E$8:$CE$57, MATCH($C43, $C$8:$C$57, 0), (COLUMNS($DC43:DQ43)-1)*5 + 4) = "F"), INDEX($CZ$8:$CZ$23, COLUMNS($DC43:DQ43)), "0"), "")</f>
        <v>0</v>
      </c>
      <c r="DR43" s="390" t="str">
        <f t="array" ref="DR43">IFERROR(IF(AND(INDEX($E$8:$CE$57, MATCH($C43, $C$8:$C$57, 0), (COLUMNS($DC43:DR43)-1)*5 + 1) = INDEX($E$5:$CE$5, 1, (COLUMNS($DC43:DR43)-1)*5 + 1), INDEX($E$8:$CE$57, MATCH($C43, $C$8:$C$57, 0), (COLUMNS($DC43:DR43)-1)*5 + 4) = "F"), INDEX($CZ$8:$CZ$23, COLUMNS($DC43:DR43)), "0"), "")</f>
        <v>0</v>
      </c>
      <c r="DT43" s="537" t="str">
        <f>SEMANA29[[#This Row],[COD]]</f>
        <v>COD 36</v>
      </c>
      <c r="DU43" s="390" t="str">
        <f t="array" ref="DU43">IFERROR(IF(AND(INDEX($E$8:$CE$57, MATCH($C43, $C$8:$C$57, 0), (COLUMNS($DU43:DU43)-1)*5 + 1) = INDEX($E$5:$CE$5, 1, (COLUMNS($DU43:DU43)-1)*5 + 1), INDEX($E$8:$CE$57, MATCH($C43, $C$8:$C$57, 0), (COLUMNS($DU43:DU43)-1)*5 + 4) = "SF"), INDEX($CZ$8:$CZ$23, COLUMNS($DU43:DU43)), "0"), "")</f>
        <v>0</v>
      </c>
      <c r="DV43" s="390" t="str">
        <f t="array" ref="DV43">IFERROR(IF(AND(INDEX($E$8:$CE$57, MATCH($C43, $C$8:$C$57, 0), (COLUMNS($DU43:DV43)-1)*5 + 1) = INDEX($E$5:$CE$5, 1, (COLUMNS($DU43:DV43)-1)*5 + 1), INDEX($E$8:$CE$57, MATCH($C43, $C$8:$C$57, 0), (COLUMNS($DU43:DV43)-1)*5 + 4) = "SF"), INDEX($CZ$8:$CZ$23, COLUMNS($DU43:DV43)), "0"), "")</f>
        <v>0</v>
      </c>
      <c r="DW43" s="390" t="str">
        <f t="array" ref="DW43">IFERROR(IF(AND(INDEX($E$8:$CE$57, MATCH($C43, $C$8:$C$57, 0), (COLUMNS($DU43:DW43)-1)*5 + 1) = INDEX($E$5:$CE$5, 1, (COLUMNS($DU43:DW43)-1)*5 + 1), INDEX($E$8:$CE$57, MATCH($C43, $C$8:$C$57, 0), (COLUMNS($DU43:DW43)-1)*5 + 4) = "SF"), INDEX($CZ$8:$CZ$23, COLUMNS($DU43:DW43)), "0"), "")</f>
        <v>0</v>
      </c>
      <c r="DX43" s="390" t="str">
        <f t="array" ref="DX43">IFERROR(IF(AND(INDEX($E$8:$CE$57, MATCH($C43, $C$8:$C$57, 0), (COLUMNS($DU43:DX43)-1)*5 + 1) = INDEX($E$5:$CE$5, 1, (COLUMNS($DU43:DX43)-1)*5 + 1), INDEX($E$8:$CE$57, MATCH($C43, $C$8:$C$57, 0), (COLUMNS($DU43:DX43)-1)*5 + 4) = "SF"), INDEX($CZ$8:$CZ$23, COLUMNS($DU43:DX43)), "0"), "")</f>
        <v>0</v>
      </c>
      <c r="DY43" s="390" t="str">
        <f t="array" ref="DY43">IFERROR(IF(AND(INDEX($E$8:$CE$57, MATCH($C43, $C$8:$C$57, 0), (COLUMNS($DU43:DY43)-1)*5 + 1) = INDEX($E$5:$CE$5, 1, (COLUMNS($DU43:DY43)-1)*5 + 1), INDEX($E$8:$CE$57, MATCH($C43, $C$8:$C$57, 0), (COLUMNS($DU43:DY43)-1)*5 + 4) = "SF"), INDEX($CZ$8:$CZ$23, COLUMNS($DU43:DY43)), "0"), "")</f>
        <v>0</v>
      </c>
      <c r="DZ43" s="390" t="str">
        <f t="array" ref="DZ43">IFERROR(IF(AND(INDEX($E$8:$CE$57, MATCH($C43, $C$8:$C$57, 0), (COLUMNS($DU43:DZ43)-1)*5 + 1) = INDEX($E$5:$CE$5, 1, (COLUMNS($DU43:DZ43)-1)*5 + 1), INDEX($E$8:$CE$57, MATCH($C43, $C$8:$C$57, 0), (COLUMNS($DU43:DZ43)-1)*5 + 4) = "SF"), INDEX($CZ$8:$CZ$23, COLUMNS($DU43:DZ43)), "0"), "")</f>
        <v>0</v>
      </c>
      <c r="EA43" s="390" t="str">
        <f t="array" ref="EA43">IFERROR(IF(AND(INDEX($E$8:$CE$57, MATCH($C43, $C$8:$C$57, 0), (COLUMNS($DU43:EA43)-1)*5 + 1) = INDEX($E$5:$CE$5, 1, (COLUMNS($DU43:EA43)-1)*5 + 1), INDEX($E$8:$CE$57, MATCH($C43, $C$8:$C$57, 0), (COLUMNS($DU43:EA43)-1)*5 + 4) = "SF"), INDEX($CZ$8:$CZ$23, COLUMNS($DU43:EA43)), "0"), "")</f>
        <v>0</v>
      </c>
      <c r="EB43" s="390" t="str">
        <f t="array" ref="EB43">IFERROR(IF(AND(INDEX($E$8:$CE$57, MATCH($C43, $C$8:$C$57, 0), (COLUMNS($DU43:EB43)-1)*5 + 1) = INDEX($E$5:$CE$5, 1, (COLUMNS($DU43:EB43)-1)*5 + 1), INDEX($E$8:$CE$57, MATCH($C43, $C$8:$C$57, 0), (COLUMNS($DU43:EB43)-1)*5 + 4) = "SF"), INDEX($CZ$8:$CZ$23, COLUMNS($DU43:EB43)), "0"), "")</f>
        <v>0</v>
      </c>
      <c r="EC43" s="390" t="str">
        <f t="array" ref="EC43">IFERROR(IF(AND(INDEX($E$8:$CE$57, MATCH($C43, $C$8:$C$57, 0), (COLUMNS($DU43:EC43)-1)*5 + 1) = INDEX($E$5:$CE$5, 1, (COLUMNS($DU43:EC43)-1)*5 + 1), INDEX($E$8:$CE$57, MATCH($C43, $C$8:$C$57, 0), (COLUMNS($DU43:EC43)-1)*5 + 4) = "SF"), INDEX($CZ$8:$CZ$23, COLUMNS($DU43:EC43)), "0"), "")</f>
        <v>0</v>
      </c>
      <c r="ED43" s="390" t="str">
        <f t="array" ref="ED43">IFERROR(IF(AND(INDEX($E$8:$CE$57, MATCH($C43, $C$8:$C$57, 0), (COLUMNS($DU43:ED43)-1)*5 + 1) = INDEX($E$5:$CE$5, 1, (COLUMNS($DU43:ED43)-1)*5 + 1), INDEX($E$8:$CE$57, MATCH($C43, $C$8:$C$57, 0), (COLUMNS($DU43:ED43)-1)*5 + 4) = "SF"), INDEX($CZ$8:$CZ$23, COLUMNS($DU43:ED43)), "0"), "")</f>
        <v>0</v>
      </c>
      <c r="EE43" s="390" t="str">
        <f t="array" ref="EE43">IFERROR(IF(AND(INDEX($E$8:$CE$57, MATCH($C43, $C$8:$C$57, 0), (COLUMNS($DU43:EE43)-1)*5 + 1) = INDEX($E$5:$CE$5, 1, (COLUMNS($DU43:EE43)-1)*5 + 1), INDEX($E$8:$CE$57, MATCH($C43, $C$8:$C$57, 0), (COLUMNS($DU43:EE43)-1)*5 + 4) = "SF"), INDEX($CZ$8:$CZ$23, COLUMNS($DU43:EE43)), "0"), "")</f>
        <v>0</v>
      </c>
      <c r="EF43" s="390" t="str">
        <f t="array" ref="EF43">IFERROR(IF(AND(INDEX($E$8:$CE$57, MATCH($C43, $C$8:$C$57, 0), (COLUMNS($DU43:EF43)-1)*5 + 1) = INDEX($E$5:$CE$5, 1, (COLUMNS($DU43:EF43)-1)*5 + 1), INDEX($E$8:$CE$57, MATCH($C43, $C$8:$C$57, 0), (COLUMNS($DU43:EF43)-1)*5 + 4) = "SF"), INDEX($CZ$8:$CZ$23, COLUMNS($DU43:EF43)), "0"), "")</f>
        <v>0</v>
      </c>
      <c r="EG43" s="390" t="str">
        <f t="array" ref="EG43">IFERROR(IF(AND(INDEX($E$8:$CE$57, MATCH($C43, $C$8:$C$57, 0), (COLUMNS($DU43:EG43)-1)*5 + 1) = INDEX($E$5:$CE$5, 1, (COLUMNS($DU43:EG43)-1)*5 + 1), INDEX($E$8:$CE$57, MATCH($C43, $C$8:$C$57, 0), (COLUMNS($DU43:EG43)-1)*5 + 4) = "SF"), INDEX($CZ$8:$CZ$23, COLUMNS($DU43:EG43)), "0"), "")</f>
        <v>0</v>
      </c>
      <c r="EH43" s="390" t="str">
        <f t="array" ref="EH43">IFERROR(IF(AND(INDEX($E$8:$CE$57, MATCH($C43, $C$8:$C$57, 0), (COLUMNS($DU43:EH43)-1)*5 + 1) = INDEX($E$5:$CE$5, 1, (COLUMNS($DU43:EH43)-1)*5 + 1), INDEX($E$8:$CE$57, MATCH($C43, $C$8:$C$57, 0), (COLUMNS($DU43:EH43)-1)*5 + 4) = "SF"), INDEX($CZ$8:$CZ$23, COLUMNS($DU43:EH43)), "0"), "")</f>
        <v>0</v>
      </c>
      <c r="EI43" s="390" t="str">
        <f t="array" ref="EI43">IFERROR(IF(AND(INDEX($E$8:$CE$57, MATCH($C43, $C$8:$C$57, 0), (COLUMNS($DU43:EI43)-1)*5 + 1) = INDEX($E$5:$CE$5, 1, (COLUMNS($DU43:EI43)-1)*5 + 1), INDEX($E$8:$CE$57, MATCH($C43, $C$8:$C$57, 0), (COLUMNS($DU43:EI43)-1)*5 + 4) = "SF"), INDEX($CZ$8:$CZ$23, COLUMNS($DU43:EI43)), "0"), "")</f>
        <v>0</v>
      </c>
      <c r="EJ43" s="390" t="str">
        <f t="array" ref="EJ43">IFERROR(IF(AND(INDEX($E$8:$CE$57, MATCH($C43, $C$8:$C$57, 0), (COLUMNS($DU43:EJ43)-1)*5 + 1) = INDEX($E$5:$CE$5, 1, (COLUMNS($DU43:EJ43)-1)*5 + 1), INDEX($E$8:$CE$57, MATCH($C43, $C$8:$C$57, 0), (COLUMNS($DU43:EJ43)-1)*5 + 4) = "SF"), INDEX($CZ$8:$CZ$23, COLUMNS($DU43:EJ43)), "0"), "")</f>
        <v>0</v>
      </c>
    </row>
    <row r="44" spans="1:140" ht="20.100000000000001" customHeight="1" x14ac:dyDescent="0.35">
      <c r="A44" s="515"/>
      <c r="B44" s="444">
        <f>IF(SEMANA29[[#This Row],[COD]]&lt;&gt;"",B43+1,"")</f>
        <v>37</v>
      </c>
      <c r="C44" s="554" t="s">
        <v>103</v>
      </c>
      <c r="D44" s="410" t="str">
        <f t="array" ref="D44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44" s="411"/>
      <c r="F44" s="417"/>
      <c r="G44" s="417"/>
      <c r="H44" s="417"/>
      <c r="I44" s="534">
        <f t="shared" si="18"/>
        <v>0</v>
      </c>
      <c r="J44" s="411"/>
      <c r="K44" s="417"/>
      <c r="L44" s="417"/>
      <c r="M44" s="417"/>
      <c r="N44" s="534">
        <f t="shared" si="19"/>
        <v>0</v>
      </c>
      <c r="O44" s="411"/>
      <c r="P44" s="417"/>
      <c r="Q44" s="417"/>
      <c r="R44" s="417"/>
      <c r="S44" s="534">
        <f t="shared" si="20"/>
        <v>0</v>
      </c>
      <c r="T44" s="411"/>
      <c r="U44" s="417"/>
      <c r="V44" s="417"/>
      <c r="W44" s="417"/>
      <c r="X44" s="534">
        <f t="shared" si="21"/>
        <v>0</v>
      </c>
      <c r="Y44" s="411"/>
      <c r="Z44" s="417"/>
      <c r="AA44" s="417"/>
      <c r="AB44" s="417"/>
      <c r="AC44" s="534">
        <f t="shared" si="22"/>
        <v>0</v>
      </c>
      <c r="AD44" s="411"/>
      <c r="AE44" s="417"/>
      <c r="AF44" s="417"/>
      <c r="AG44" s="417"/>
      <c r="AH44" s="534">
        <f t="shared" si="23"/>
        <v>0</v>
      </c>
      <c r="AI44" s="411"/>
      <c r="AJ44" s="417"/>
      <c r="AK44" s="417"/>
      <c r="AL44" s="417"/>
      <c r="AM44" s="534">
        <f t="shared" si="24"/>
        <v>0</v>
      </c>
      <c r="AN44" s="411"/>
      <c r="AO44" s="417"/>
      <c r="AP44" s="417"/>
      <c r="AQ44" s="417"/>
      <c r="AR44" s="534">
        <f t="shared" si="25"/>
        <v>0</v>
      </c>
      <c r="AS44" s="411"/>
      <c r="AT44" s="417"/>
      <c r="AU44" s="417"/>
      <c r="AV44" s="417"/>
      <c r="AW44" s="534">
        <f t="shared" si="26"/>
        <v>0</v>
      </c>
      <c r="AX44" s="411"/>
      <c r="AY44" s="417"/>
      <c r="AZ44" s="417"/>
      <c r="BA44" s="417"/>
      <c r="BB44" s="534">
        <f t="shared" si="27"/>
        <v>0</v>
      </c>
      <c r="BC44" s="411"/>
      <c r="BD44" s="417"/>
      <c r="BE44" s="417"/>
      <c r="BF44" s="417"/>
      <c r="BG44" s="534">
        <f t="shared" si="28"/>
        <v>0</v>
      </c>
      <c r="BH44" s="411"/>
      <c r="BI44" s="417"/>
      <c r="BJ44" s="417"/>
      <c r="BK44" s="417"/>
      <c r="BL44" s="534">
        <f t="shared" si="29"/>
        <v>0</v>
      </c>
      <c r="BM44" s="411"/>
      <c r="BN44" s="417"/>
      <c r="BO44" s="417"/>
      <c r="BP44" s="417"/>
      <c r="BQ44" s="534">
        <f t="shared" si="30"/>
        <v>0</v>
      </c>
      <c r="BR44" s="411"/>
      <c r="BS44" s="417"/>
      <c r="BT44" s="417"/>
      <c r="BU44" s="417"/>
      <c r="BV44" s="534">
        <f t="shared" si="31"/>
        <v>0</v>
      </c>
      <c r="BW44" s="411"/>
      <c r="BX44" s="417"/>
      <c r="BY44" s="417"/>
      <c r="BZ44" s="417"/>
      <c r="CA44" s="534">
        <f t="shared" si="32"/>
        <v>0</v>
      </c>
      <c r="CB44" s="411"/>
      <c r="CC44" s="417"/>
      <c r="CD44" s="417"/>
      <c r="CE44" s="417"/>
      <c r="CF44" s="534">
        <f t="shared" si="33"/>
        <v>0</v>
      </c>
      <c r="CG44" s="162">
        <f>IF(SEMANA29[[#This Row],[1]]="",0,$B$4)</f>
        <v>0</v>
      </c>
      <c r="CH44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44" s="164">
        <f>IF(SEMANA29[[#This Row],[Columna14]]=0,0,(CH44/CG44))</f>
        <v>0</v>
      </c>
      <c r="CJ44" s="163">
        <f>IF(SEMANA29[[#This Row],[1]]="",0,$B$4)</f>
        <v>0</v>
      </c>
      <c r="CK44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44" s="164">
        <f>IF(SEMANA29[[#This Row],[Columna14]]=0,0,(CK44/CJ44))</f>
        <v>0</v>
      </c>
      <c r="CM44" s="162">
        <f>IF(SEMANA29[[#This Row],[1]]="",0,$B$4)</f>
        <v>0</v>
      </c>
      <c r="CN44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44" s="164">
        <f>IF(SEMANA29[[#This Row],[Columna14]]=0,0,(CN44/CM44))</f>
        <v>0</v>
      </c>
      <c r="CP44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44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Row],[Columna25]],$AX$5,BA44,"SF")+COUNTIFS(SEMANA29[[#This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44" s="164">
        <f>IFERROR(IF(SEMANA29[[#This Row],[Columna14]]=0,0,(CQ44/CP44)),0)</f>
        <v>0</v>
      </c>
      <c r="CS44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44" s="93">
        <f>_xlfn.XLOOKUP(SEMANA29[[#This Row],[COD]],SEMANA2[COD],SEMANA2[Columna33])</f>
        <v>61.5</v>
      </c>
      <c r="CU44" s="536">
        <f t="shared" si="34"/>
        <v>61.5</v>
      </c>
      <c r="CV44" s="445" t="str">
        <f>IF(SEMANA29[[#This Row],[TIPO]]="PREMIO",$O$3,"0,00")</f>
        <v>0,00</v>
      </c>
      <c r="CW44" s="515"/>
      <c r="CY44" s="387" t="str">
        <f t="shared" si="17"/>
        <v/>
      </c>
      <c r="CZ44" s="387"/>
      <c r="DA44" s="387" t="str">
        <f t="array" ref="DA44">IF(CZ44="", "", IF((INDEX(E$8:CE$57, MATCH(CZ44, C$8:C$57, 0), ($CZ$25-1)*5 + 1) &amp; "") = (INDEX(E$5:CE$5, 1, ($CZ$25-1)*5 + 1) &amp; ""), 1, IF((INDEX(E$8:CE$57, MATCH(CZ44, C$8:C$57, 0), ($CZ$25-1)*5 + 2) &amp; "") = (INDEX(E$5:CE$5, 1, ($CZ$25-1)*5 + 1) &amp; ""), 2, IF((INDEX(E$8:CE$57, MATCH(CZ44, C$8:C$57, 0), ($CZ$25-1)*5 + 3) &amp; "") = (INDEX(E$5:CE$5, 1, ($CZ$25-1)*5 + 1) &amp; ""), 3, ""))))</f>
        <v/>
      </c>
      <c r="DB44" s="537" t="str">
        <f>SEMANA29[[#This Row],[COD]]</f>
        <v>COD 37</v>
      </c>
      <c r="DC44" s="390" t="str">
        <f t="array" ref="DC44">IFERROR(IF(AND(INDEX($E$8:$CE$57, MATCH($C44, $C$8:$C$57, 0), (COLUMNS($DC44:DC44)-1)*5 + 1) = INDEX($E$5:$CE$5, 1, (COLUMNS($DC44:DC44)-1)*5 + 1), INDEX($E$8:$CE$57, MATCH($C44, $C$8:$C$57, 0), (COLUMNS($DC44:DC44)-1)*5 + 4) = "F"), INDEX($CZ$8:$CZ$23, COLUMNS($DC44:DC44)), "0"), "")</f>
        <v>0</v>
      </c>
      <c r="DD44" s="390" t="str">
        <f t="array" ref="DD44">IFERROR(IF(AND(INDEX($E$8:$CE$57, MATCH($C44, $C$8:$C$57, 0), (COLUMNS($DC44:DD44)-1)*5 + 1) = INDEX($E$5:$CE$5, 1, (COLUMNS($DC44:DD44)-1)*5 + 1), INDEX($E$8:$CE$57, MATCH($C44, $C$8:$C$57, 0), (COLUMNS($DC44:DD44)-1)*5 + 4) = "F"), INDEX($CZ$8:$CZ$23, COLUMNS($DC44:DD44)), "0"), "")</f>
        <v>0</v>
      </c>
      <c r="DE44" s="390" t="str">
        <f t="array" ref="DE44">IFERROR(IF(AND(INDEX($E$8:$CE$57, MATCH($C44, $C$8:$C$57, 0), (COLUMNS($DC44:DE44)-1)*5 + 1) = INDEX($E$5:$CE$5, 1, (COLUMNS($DC44:DE44)-1)*5 + 1), INDEX($E$8:$CE$57, MATCH($C44, $C$8:$C$57, 0), (COLUMNS($DC44:DE44)-1)*5 + 4) = "F"), INDEX($CZ$8:$CZ$23, COLUMNS($DC44:DE44)), "0"), "")</f>
        <v>0</v>
      </c>
      <c r="DF44" s="390" t="str">
        <f t="array" ref="DF44">IFERROR(IF(AND(INDEX($E$8:$CE$57, MATCH($C44, $C$8:$C$57, 0), (COLUMNS($DC44:DF44)-1)*5 + 1) = INDEX($E$5:$CE$5, 1, (COLUMNS($DC44:DF44)-1)*5 + 1), INDEX($E$8:$CE$57, MATCH($C44, $C$8:$C$57, 0), (COLUMNS($DC44:DF44)-1)*5 + 4) = "F"), INDEX($CZ$8:$CZ$23, COLUMNS($DC44:DF44)), "0"), "")</f>
        <v>0</v>
      </c>
      <c r="DG44" s="390" t="str">
        <f t="array" ref="DG44">IFERROR(IF(AND(INDEX($E$8:$CE$57, MATCH($C44, $C$8:$C$57, 0), (COLUMNS($DC44:DG44)-1)*5 + 1) = INDEX($E$5:$CE$5, 1, (COLUMNS($DC44:DG44)-1)*5 + 1), INDEX($E$8:$CE$57, MATCH($C44, $C$8:$C$57, 0), (COLUMNS($DC44:DG44)-1)*5 + 4) = "F"), INDEX($CZ$8:$CZ$23, COLUMNS($DC44:DG44)), "0"), "")</f>
        <v>0</v>
      </c>
      <c r="DH44" s="390" t="str">
        <f t="array" ref="DH44">IFERROR(IF(AND(INDEX($E$8:$CE$57, MATCH($C44, $C$8:$C$57, 0), (COLUMNS($DC44:DH44)-1)*5 + 1) = INDEX($E$5:$CE$5, 1, (COLUMNS($DC44:DH44)-1)*5 + 1), INDEX($E$8:$CE$57, MATCH($C44, $C$8:$C$57, 0), (COLUMNS($DC44:DH44)-1)*5 + 4) = "F"), INDEX($CZ$8:$CZ$23, COLUMNS($DC44:DH44)), "0"), "")</f>
        <v>0</v>
      </c>
      <c r="DI44" s="390" t="str">
        <f t="array" ref="DI44">IFERROR(IF(AND(INDEX($E$8:$CE$57, MATCH($C44, $C$8:$C$57, 0), (COLUMNS($DC44:DI44)-1)*5 + 1) = INDEX($E$5:$CE$5, 1, (COLUMNS($DC44:DI44)-1)*5 + 1), INDEX($E$8:$CE$57, MATCH($C44, $C$8:$C$57, 0), (COLUMNS($DC44:DI44)-1)*5 + 4) = "F"), INDEX($CZ$8:$CZ$23, COLUMNS($DC44:DI44)), "0"), "")</f>
        <v>0</v>
      </c>
      <c r="DJ44" s="390" t="str">
        <f t="array" ref="DJ44">IFERROR(IF(AND(INDEX($E$8:$CE$57, MATCH($C44, $C$8:$C$57, 0), (COLUMNS($DC44:DJ44)-1)*5 + 1) = INDEX($E$5:$CE$5, 1, (COLUMNS($DC44:DJ44)-1)*5 + 1), INDEX($E$8:$CE$57, MATCH($C44, $C$8:$C$57, 0), (COLUMNS($DC44:DJ44)-1)*5 + 4) = "F"), INDEX($CZ$8:$CZ$23, COLUMNS($DC44:DJ44)), "0"), "")</f>
        <v>0</v>
      </c>
      <c r="DK44" s="390" t="str">
        <f t="array" ref="DK44">IFERROR(IF(AND(INDEX($E$8:$CE$57, MATCH($C44, $C$8:$C$57, 0), (COLUMNS($DC44:DK44)-1)*5 + 1) = INDEX($E$5:$CE$5, 1, (COLUMNS($DC44:DK44)-1)*5 + 1), INDEX($E$8:$CE$57, MATCH($C44, $C$8:$C$57, 0), (COLUMNS($DC44:DK44)-1)*5 + 4) = "F"), INDEX($CZ$8:$CZ$23, COLUMNS($DC44:DK44)), "0"), "")</f>
        <v>0</v>
      </c>
      <c r="DL44" s="390" t="str">
        <f t="array" ref="DL44">IFERROR(IF(AND(INDEX($E$8:$CE$57, MATCH($C44, $C$8:$C$57, 0), (COLUMNS($DC44:DL44)-1)*5 + 1) = INDEX($E$5:$CE$5, 1, (COLUMNS($DC44:DL44)-1)*5 + 1), INDEX($E$8:$CE$57, MATCH($C44, $C$8:$C$57, 0), (COLUMNS($DC44:DL44)-1)*5 + 4) = "F"), INDEX($CZ$8:$CZ$23, COLUMNS($DC44:DL44)), "0"), "")</f>
        <v>0</v>
      </c>
      <c r="DM44" s="390" t="str">
        <f t="array" ref="DM44">IFERROR(IF(AND(INDEX($E$8:$CE$57, MATCH($C44, $C$8:$C$57, 0), (COLUMNS($DC44:DM44)-1)*5 + 1) = INDEX($E$5:$CE$5, 1, (COLUMNS($DC44:DM44)-1)*5 + 1), INDEX($E$8:$CE$57, MATCH($C44, $C$8:$C$57, 0), (COLUMNS($DC44:DM44)-1)*5 + 4) = "F"), INDEX($CZ$8:$CZ$23, COLUMNS($DC44:DM44)), "0"), "")</f>
        <v>0</v>
      </c>
      <c r="DN44" s="390" t="str">
        <f t="array" ref="DN44">IFERROR(IF(AND(INDEX($E$8:$CE$57, MATCH($C44, $C$8:$C$57, 0), (COLUMNS($DC44:DN44)-1)*5 + 1) = INDEX($E$5:$CE$5, 1, (COLUMNS($DC44:DN44)-1)*5 + 1), INDEX($E$8:$CE$57, MATCH($C44, $C$8:$C$57, 0), (COLUMNS($DC44:DN44)-1)*5 + 4) = "F"), INDEX($CZ$8:$CZ$23, COLUMNS($DC44:DN44)), "0"), "")</f>
        <v>0</v>
      </c>
      <c r="DO44" s="390" t="str">
        <f t="array" ref="DO44">IFERROR(IF(AND(INDEX($E$8:$CE$57, MATCH($C44, $C$8:$C$57, 0), (COLUMNS($DC44:DO44)-1)*5 + 1) = INDEX($E$5:$CE$5, 1, (COLUMNS($DC44:DO44)-1)*5 + 1), INDEX($E$8:$CE$57, MATCH($C44, $C$8:$C$57, 0), (COLUMNS($DC44:DO44)-1)*5 + 4) = "F"), INDEX($CZ$8:$CZ$23, COLUMNS($DC44:DO44)), "0"), "")</f>
        <v>0</v>
      </c>
      <c r="DP44" s="390" t="str">
        <f t="array" ref="DP44">IFERROR(IF(AND(INDEX($E$8:$CE$57, MATCH($C44, $C$8:$C$57, 0), (COLUMNS($DC44:DP44)-1)*5 + 1) = INDEX($E$5:$CE$5, 1, (COLUMNS($DC44:DP44)-1)*5 + 1), INDEX($E$8:$CE$57, MATCH($C44, $C$8:$C$57, 0), (COLUMNS($DC44:DP44)-1)*5 + 4) = "F"), INDEX($CZ$8:$CZ$23, COLUMNS($DC44:DP44)), "0"), "")</f>
        <v>0</v>
      </c>
      <c r="DQ44" s="390" t="str">
        <f t="array" ref="DQ44">IFERROR(IF(AND(INDEX($E$8:$CE$57, MATCH($C44, $C$8:$C$57, 0), (COLUMNS($DC44:DQ44)-1)*5 + 1) = INDEX($E$5:$CE$5, 1, (COLUMNS($DC44:DQ44)-1)*5 + 1), INDEX($E$8:$CE$57, MATCH($C44, $C$8:$C$57, 0), (COLUMNS($DC44:DQ44)-1)*5 + 4) = "F"), INDEX($CZ$8:$CZ$23, COLUMNS($DC44:DQ44)), "0"), "")</f>
        <v>0</v>
      </c>
      <c r="DR44" s="390" t="str">
        <f t="array" ref="DR44">IFERROR(IF(AND(INDEX($E$8:$CE$57, MATCH($C44, $C$8:$C$57, 0), (COLUMNS($DC44:DR44)-1)*5 + 1) = INDEX($E$5:$CE$5, 1, (COLUMNS($DC44:DR44)-1)*5 + 1), INDEX($E$8:$CE$57, MATCH($C44, $C$8:$C$57, 0), (COLUMNS($DC44:DR44)-1)*5 + 4) = "F"), INDEX($CZ$8:$CZ$23, COLUMNS($DC44:DR44)), "0"), "")</f>
        <v>0</v>
      </c>
      <c r="DT44" s="537" t="str">
        <f>SEMANA29[[#This Row],[COD]]</f>
        <v>COD 37</v>
      </c>
      <c r="DU44" s="390" t="str">
        <f t="array" ref="DU44">IFERROR(IF(AND(INDEX($E$8:$CE$57, MATCH($C44, $C$8:$C$57, 0), (COLUMNS($DU44:DU44)-1)*5 + 1) = INDEX($E$5:$CE$5, 1, (COLUMNS($DU44:DU44)-1)*5 + 1), INDEX($E$8:$CE$57, MATCH($C44, $C$8:$C$57, 0), (COLUMNS($DU44:DU44)-1)*5 + 4) = "SF"), INDEX($CZ$8:$CZ$23, COLUMNS($DU44:DU44)), "0"), "")</f>
        <v>0</v>
      </c>
      <c r="DV44" s="390" t="str">
        <f t="array" ref="DV44">IFERROR(IF(AND(INDEX($E$8:$CE$57, MATCH($C44, $C$8:$C$57, 0), (COLUMNS($DU44:DV44)-1)*5 + 1) = INDEX($E$5:$CE$5, 1, (COLUMNS($DU44:DV44)-1)*5 + 1), INDEX($E$8:$CE$57, MATCH($C44, $C$8:$C$57, 0), (COLUMNS($DU44:DV44)-1)*5 + 4) = "SF"), INDEX($CZ$8:$CZ$23, COLUMNS($DU44:DV44)), "0"), "")</f>
        <v>0</v>
      </c>
      <c r="DW44" s="390" t="str">
        <f t="array" ref="DW44">IFERROR(IF(AND(INDEX($E$8:$CE$57, MATCH($C44, $C$8:$C$57, 0), (COLUMNS($DU44:DW44)-1)*5 + 1) = INDEX($E$5:$CE$5, 1, (COLUMNS($DU44:DW44)-1)*5 + 1), INDEX($E$8:$CE$57, MATCH($C44, $C$8:$C$57, 0), (COLUMNS($DU44:DW44)-1)*5 + 4) = "SF"), INDEX($CZ$8:$CZ$23, COLUMNS($DU44:DW44)), "0"), "")</f>
        <v>0</v>
      </c>
      <c r="DX44" s="390" t="str">
        <f t="array" ref="DX44">IFERROR(IF(AND(INDEX($E$8:$CE$57, MATCH($C44, $C$8:$C$57, 0), (COLUMNS($DU44:DX44)-1)*5 + 1) = INDEX($E$5:$CE$5, 1, (COLUMNS($DU44:DX44)-1)*5 + 1), INDEX($E$8:$CE$57, MATCH($C44, $C$8:$C$57, 0), (COLUMNS($DU44:DX44)-1)*5 + 4) = "SF"), INDEX($CZ$8:$CZ$23, COLUMNS($DU44:DX44)), "0"), "")</f>
        <v>0</v>
      </c>
      <c r="DY44" s="390" t="str">
        <f t="array" ref="DY44">IFERROR(IF(AND(INDEX($E$8:$CE$57, MATCH($C44, $C$8:$C$57, 0), (COLUMNS($DU44:DY44)-1)*5 + 1) = INDEX($E$5:$CE$5, 1, (COLUMNS($DU44:DY44)-1)*5 + 1), INDEX($E$8:$CE$57, MATCH($C44, $C$8:$C$57, 0), (COLUMNS($DU44:DY44)-1)*5 + 4) = "SF"), INDEX($CZ$8:$CZ$23, COLUMNS($DU44:DY44)), "0"), "")</f>
        <v>0</v>
      </c>
      <c r="DZ44" s="390" t="str">
        <f t="array" ref="DZ44">IFERROR(IF(AND(INDEX($E$8:$CE$57, MATCH($C44, $C$8:$C$57, 0), (COLUMNS($DU44:DZ44)-1)*5 + 1) = INDEX($E$5:$CE$5, 1, (COLUMNS($DU44:DZ44)-1)*5 + 1), INDEX($E$8:$CE$57, MATCH($C44, $C$8:$C$57, 0), (COLUMNS($DU44:DZ44)-1)*5 + 4) = "SF"), INDEX($CZ$8:$CZ$23, COLUMNS($DU44:DZ44)), "0"), "")</f>
        <v>0</v>
      </c>
      <c r="EA44" s="390" t="str">
        <f t="array" ref="EA44">IFERROR(IF(AND(INDEX($E$8:$CE$57, MATCH($C44, $C$8:$C$57, 0), (COLUMNS($DU44:EA44)-1)*5 + 1) = INDEX($E$5:$CE$5, 1, (COLUMNS($DU44:EA44)-1)*5 + 1), INDEX($E$8:$CE$57, MATCH($C44, $C$8:$C$57, 0), (COLUMNS($DU44:EA44)-1)*5 + 4) = "SF"), INDEX($CZ$8:$CZ$23, COLUMNS($DU44:EA44)), "0"), "")</f>
        <v>0</v>
      </c>
      <c r="EB44" s="390" t="str">
        <f t="array" ref="EB44">IFERROR(IF(AND(INDEX($E$8:$CE$57, MATCH($C44, $C$8:$C$57, 0), (COLUMNS($DU44:EB44)-1)*5 + 1) = INDEX($E$5:$CE$5, 1, (COLUMNS($DU44:EB44)-1)*5 + 1), INDEX($E$8:$CE$57, MATCH($C44, $C$8:$C$57, 0), (COLUMNS($DU44:EB44)-1)*5 + 4) = "SF"), INDEX($CZ$8:$CZ$23, COLUMNS($DU44:EB44)), "0"), "")</f>
        <v>0</v>
      </c>
      <c r="EC44" s="390" t="str">
        <f t="array" ref="EC44">IFERROR(IF(AND(INDEX($E$8:$CE$57, MATCH($C44, $C$8:$C$57, 0), (COLUMNS($DU44:EC44)-1)*5 + 1) = INDEX($E$5:$CE$5, 1, (COLUMNS($DU44:EC44)-1)*5 + 1), INDEX($E$8:$CE$57, MATCH($C44, $C$8:$C$57, 0), (COLUMNS($DU44:EC44)-1)*5 + 4) = "SF"), INDEX($CZ$8:$CZ$23, COLUMNS($DU44:EC44)), "0"), "")</f>
        <v>0</v>
      </c>
      <c r="ED44" s="390" t="str">
        <f t="array" ref="ED44">IFERROR(IF(AND(INDEX($E$8:$CE$57, MATCH($C44, $C$8:$C$57, 0), (COLUMNS($DU44:ED44)-1)*5 + 1) = INDEX($E$5:$CE$5, 1, (COLUMNS($DU44:ED44)-1)*5 + 1), INDEX($E$8:$CE$57, MATCH($C44, $C$8:$C$57, 0), (COLUMNS($DU44:ED44)-1)*5 + 4) = "SF"), INDEX($CZ$8:$CZ$23, COLUMNS($DU44:ED44)), "0"), "")</f>
        <v>0</v>
      </c>
      <c r="EE44" s="390" t="str">
        <f t="array" ref="EE44">IFERROR(IF(AND(INDEX($E$8:$CE$57, MATCH($C44, $C$8:$C$57, 0), (COLUMNS($DU44:EE44)-1)*5 + 1) = INDEX($E$5:$CE$5, 1, (COLUMNS($DU44:EE44)-1)*5 + 1), INDEX($E$8:$CE$57, MATCH($C44, $C$8:$C$57, 0), (COLUMNS($DU44:EE44)-1)*5 + 4) = "SF"), INDEX($CZ$8:$CZ$23, COLUMNS($DU44:EE44)), "0"), "")</f>
        <v>0</v>
      </c>
      <c r="EF44" s="390" t="str">
        <f t="array" ref="EF44">IFERROR(IF(AND(INDEX($E$8:$CE$57, MATCH($C44, $C$8:$C$57, 0), (COLUMNS($DU44:EF44)-1)*5 + 1) = INDEX($E$5:$CE$5, 1, (COLUMNS($DU44:EF44)-1)*5 + 1), INDEX($E$8:$CE$57, MATCH($C44, $C$8:$C$57, 0), (COLUMNS($DU44:EF44)-1)*5 + 4) = "SF"), INDEX($CZ$8:$CZ$23, COLUMNS($DU44:EF44)), "0"), "")</f>
        <v>0</v>
      </c>
      <c r="EG44" s="390" t="str">
        <f t="array" ref="EG44">IFERROR(IF(AND(INDEX($E$8:$CE$57, MATCH($C44, $C$8:$C$57, 0), (COLUMNS($DU44:EG44)-1)*5 + 1) = INDEX($E$5:$CE$5, 1, (COLUMNS($DU44:EG44)-1)*5 + 1), INDEX($E$8:$CE$57, MATCH($C44, $C$8:$C$57, 0), (COLUMNS($DU44:EG44)-1)*5 + 4) = "SF"), INDEX($CZ$8:$CZ$23, COLUMNS($DU44:EG44)), "0"), "")</f>
        <v>0</v>
      </c>
      <c r="EH44" s="390" t="str">
        <f t="array" ref="EH44">IFERROR(IF(AND(INDEX($E$8:$CE$57, MATCH($C44, $C$8:$C$57, 0), (COLUMNS($DU44:EH44)-1)*5 + 1) = INDEX($E$5:$CE$5, 1, (COLUMNS($DU44:EH44)-1)*5 + 1), INDEX($E$8:$CE$57, MATCH($C44, $C$8:$C$57, 0), (COLUMNS($DU44:EH44)-1)*5 + 4) = "SF"), INDEX($CZ$8:$CZ$23, COLUMNS($DU44:EH44)), "0"), "")</f>
        <v>0</v>
      </c>
      <c r="EI44" s="390" t="str">
        <f t="array" ref="EI44">IFERROR(IF(AND(INDEX($E$8:$CE$57, MATCH($C44, $C$8:$C$57, 0), (COLUMNS($DU44:EI44)-1)*5 + 1) = INDEX($E$5:$CE$5, 1, (COLUMNS($DU44:EI44)-1)*5 + 1), INDEX($E$8:$CE$57, MATCH($C44, $C$8:$C$57, 0), (COLUMNS($DU44:EI44)-1)*5 + 4) = "SF"), INDEX($CZ$8:$CZ$23, COLUMNS($DU44:EI44)), "0"), "")</f>
        <v>0</v>
      </c>
      <c r="EJ44" s="390" t="str">
        <f t="array" ref="EJ44">IFERROR(IF(AND(INDEX($E$8:$CE$57, MATCH($C44, $C$8:$C$57, 0), (COLUMNS($DU44:EJ44)-1)*5 + 1) = INDEX($E$5:$CE$5, 1, (COLUMNS($DU44:EJ44)-1)*5 + 1), INDEX($E$8:$CE$57, MATCH($C44, $C$8:$C$57, 0), (COLUMNS($DU44:EJ44)-1)*5 + 4) = "SF"), INDEX($CZ$8:$CZ$23, COLUMNS($DU44:EJ44)), "0"), "")</f>
        <v>0</v>
      </c>
    </row>
    <row r="45" spans="1:140" ht="20.100000000000001" customHeight="1" x14ac:dyDescent="0.35">
      <c r="A45" s="515"/>
      <c r="B45" s="444">
        <f>IF(SEMANA29[[#This Row],[COD]]&lt;&gt;"",B44+1,"")</f>
        <v>38</v>
      </c>
      <c r="C45" s="554" t="s">
        <v>105</v>
      </c>
      <c r="D45" s="410" t="str">
        <f t="array" ref="D45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45" s="411"/>
      <c r="F45" s="417"/>
      <c r="G45" s="417"/>
      <c r="H45" s="417"/>
      <c r="I45" s="534">
        <f t="shared" si="18"/>
        <v>0</v>
      </c>
      <c r="J45" s="411"/>
      <c r="K45" s="417"/>
      <c r="L45" s="417"/>
      <c r="M45" s="417"/>
      <c r="N45" s="534">
        <f t="shared" si="19"/>
        <v>0</v>
      </c>
      <c r="O45" s="411"/>
      <c r="P45" s="417"/>
      <c r="Q45" s="417"/>
      <c r="R45" s="417"/>
      <c r="S45" s="534">
        <f t="shared" si="20"/>
        <v>0</v>
      </c>
      <c r="T45" s="411"/>
      <c r="U45" s="417"/>
      <c r="V45" s="417"/>
      <c r="W45" s="417"/>
      <c r="X45" s="534">
        <f t="shared" si="21"/>
        <v>0</v>
      </c>
      <c r="Y45" s="411"/>
      <c r="Z45" s="417"/>
      <c r="AA45" s="417"/>
      <c r="AB45" s="417"/>
      <c r="AC45" s="534">
        <f t="shared" si="22"/>
        <v>0</v>
      </c>
      <c r="AD45" s="411"/>
      <c r="AE45" s="417"/>
      <c r="AF45" s="417"/>
      <c r="AG45" s="417"/>
      <c r="AH45" s="534">
        <f t="shared" si="23"/>
        <v>0</v>
      </c>
      <c r="AI45" s="411"/>
      <c r="AJ45" s="417"/>
      <c r="AK45" s="417"/>
      <c r="AL45" s="417"/>
      <c r="AM45" s="534">
        <f t="shared" si="24"/>
        <v>0</v>
      </c>
      <c r="AN45" s="411"/>
      <c r="AO45" s="417"/>
      <c r="AP45" s="417"/>
      <c r="AQ45" s="417"/>
      <c r="AR45" s="534">
        <f t="shared" si="25"/>
        <v>0</v>
      </c>
      <c r="AS45" s="411"/>
      <c r="AT45" s="417"/>
      <c r="AU45" s="417"/>
      <c r="AV45" s="417"/>
      <c r="AW45" s="534">
        <f t="shared" si="26"/>
        <v>0</v>
      </c>
      <c r="AX45" s="411"/>
      <c r="AY45" s="417"/>
      <c r="AZ45" s="417"/>
      <c r="BA45" s="417"/>
      <c r="BB45" s="534">
        <f t="shared" si="27"/>
        <v>0</v>
      </c>
      <c r="BC45" s="411"/>
      <c r="BD45" s="417"/>
      <c r="BE45" s="417"/>
      <c r="BF45" s="417"/>
      <c r="BG45" s="534">
        <f t="shared" si="28"/>
        <v>0</v>
      </c>
      <c r="BH45" s="411"/>
      <c r="BI45" s="417"/>
      <c r="BJ45" s="417"/>
      <c r="BK45" s="417"/>
      <c r="BL45" s="534">
        <f t="shared" si="29"/>
        <v>0</v>
      </c>
      <c r="BM45" s="411"/>
      <c r="BN45" s="417"/>
      <c r="BO45" s="417"/>
      <c r="BP45" s="417"/>
      <c r="BQ45" s="534">
        <f t="shared" si="30"/>
        <v>0</v>
      </c>
      <c r="BR45" s="411"/>
      <c r="BS45" s="417"/>
      <c r="BT45" s="417"/>
      <c r="BU45" s="417"/>
      <c r="BV45" s="534">
        <f t="shared" si="31"/>
        <v>0</v>
      </c>
      <c r="BW45" s="411"/>
      <c r="BX45" s="417"/>
      <c r="BY45" s="417"/>
      <c r="BZ45" s="417"/>
      <c r="CA45" s="534">
        <f t="shared" si="32"/>
        <v>0</v>
      </c>
      <c r="CB45" s="411"/>
      <c r="CC45" s="417"/>
      <c r="CD45" s="417"/>
      <c r="CE45" s="417"/>
      <c r="CF45" s="534">
        <f t="shared" si="33"/>
        <v>0</v>
      </c>
      <c r="CG45" s="162">
        <f>IF(SEMANA29[[#This Row],[1]]="",0,$B$4)</f>
        <v>0</v>
      </c>
      <c r="CH45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45" s="164">
        <f>IF(SEMANA29[[#This Row],[Columna14]]=0,0,(CH45/CG45))</f>
        <v>0</v>
      </c>
      <c r="CJ45" s="163">
        <f>IF(SEMANA29[[#This Row],[1]]="",0,$B$4)</f>
        <v>0</v>
      </c>
      <c r="CK45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45" s="164">
        <f>IF(SEMANA29[[#This Row],[Columna14]]=0,0,(CK45/CJ45))</f>
        <v>0</v>
      </c>
      <c r="CM45" s="162">
        <f>IF(SEMANA29[[#This Row],[1]]="",0,$B$4)</f>
        <v>0</v>
      </c>
      <c r="CN45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45" s="164">
        <f>IF(SEMANA29[[#This Row],[Columna14]]=0,0,(CN45/CM45))</f>
        <v>0</v>
      </c>
      <c r="CP45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45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Row],[Columna25]],$AX$5,BA45,"SF")+COUNTIFS(SEMANA29[[#This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45" s="164">
        <f>IFERROR(IF(SEMANA29[[#This Row],[Columna14]]=0,0,(CQ45/CP45)),0)</f>
        <v>0</v>
      </c>
      <c r="CS45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45" s="93">
        <f>_xlfn.XLOOKUP(SEMANA29[[#This Row],[COD]],SEMANA2[COD],SEMANA2[Columna33])</f>
        <v>54.5</v>
      </c>
      <c r="CU45" s="536">
        <f t="shared" si="34"/>
        <v>54.5</v>
      </c>
      <c r="CV45" s="445" t="str">
        <f>IF(SEMANA29[[#This Row],[TIPO]]="PREMIO",$O$3,"0,00")</f>
        <v>0,00</v>
      </c>
      <c r="CW45" s="515"/>
      <c r="CY45" s="387" t="str">
        <f t="shared" si="17"/>
        <v/>
      </c>
      <c r="CZ45" s="387"/>
      <c r="DA45" s="387" t="str">
        <f t="array" ref="DA45">IF(CZ45="", "", IF((INDEX(E$8:CE$57, MATCH(CZ45, C$8:C$57, 0), ($CZ$25-1)*5 + 1) &amp; "") = (INDEX(E$5:CE$5, 1, ($CZ$25-1)*5 + 1) &amp; ""), 1, IF((INDEX(E$8:CE$57, MATCH(CZ45, C$8:C$57, 0), ($CZ$25-1)*5 + 2) &amp; "") = (INDEX(E$5:CE$5, 1, ($CZ$25-1)*5 + 1) &amp; ""), 2, IF((INDEX(E$8:CE$57, MATCH(CZ45, C$8:C$57, 0), ($CZ$25-1)*5 + 3) &amp; "") = (INDEX(E$5:CE$5, 1, ($CZ$25-1)*5 + 1) &amp; ""), 3, ""))))</f>
        <v/>
      </c>
      <c r="DB45" s="537" t="str">
        <f>SEMANA29[[#This Row],[COD]]</f>
        <v>COD 38</v>
      </c>
      <c r="DC45" s="390" t="str">
        <f t="array" ref="DC45">IFERROR(IF(AND(INDEX($E$8:$CE$57, MATCH($C45, $C$8:$C$57, 0), (COLUMNS($DC45:DC45)-1)*5 + 1) = INDEX($E$5:$CE$5, 1, (COLUMNS($DC45:DC45)-1)*5 + 1), INDEX($E$8:$CE$57, MATCH($C45, $C$8:$C$57, 0), (COLUMNS($DC45:DC45)-1)*5 + 4) = "F"), INDEX($CZ$8:$CZ$23, COLUMNS($DC45:DC45)), "0"), "")</f>
        <v>0</v>
      </c>
      <c r="DD45" s="390" t="str">
        <f t="array" ref="DD45">IFERROR(IF(AND(INDEX($E$8:$CE$57, MATCH($C45, $C$8:$C$57, 0), (COLUMNS($DC45:DD45)-1)*5 + 1) = INDEX($E$5:$CE$5, 1, (COLUMNS($DC45:DD45)-1)*5 + 1), INDEX($E$8:$CE$57, MATCH($C45, $C$8:$C$57, 0), (COLUMNS($DC45:DD45)-1)*5 + 4) = "F"), INDEX($CZ$8:$CZ$23, COLUMNS($DC45:DD45)), "0"), "")</f>
        <v>0</v>
      </c>
      <c r="DE45" s="390" t="str">
        <f t="array" ref="DE45">IFERROR(IF(AND(INDEX($E$8:$CE$57, MATCH($C45, $C$8:$C$57, 0), (COLUMNS($DC45:DE45)-1)*5 + 1) = INDEX($E$5:$CE$5, 1, (COLUMNS($DC45:DE45)-1)*5 + 1), INDEX($E$8:$CE$57, MATCH($C45, $C$8:$C$57, 0), (COLUMNS($DC45:DE45)-1)*5 + 4) = "F"), INDEX($CZ$8:$CZ$23, COLUMNS($DC45:DE45)), "0"), "")</f>
        <v>0</v>
      </c>
      <c r="DF45" s="390" t="str">
        <f t="array" ref="DF45">IFERROR(IF(AND(INDEX($E$8:$CE$57, MATCH($C45, $C$8:$C$57, 0), (COLUMNS($DC45:DF45)-1)*5 + 1) = INDEX($E$5:$CE$5, 1, (COLUMNS($DC45:DF45)-1)*5 + 1), INDEX($E$8:$CE$57, MATCH($C45, $C$8:$C$57, 0), (COLUMNS($DC45:DF45)-1)*5 + 4) = "F"), INDEX($CZ$8:$CZ$23, COLUMNS($DC45:DF45)), "0"), "")</f>
        <v>0</v>
      </c>
      <c r="DG45" s="390" t="str">
        <f t="array" ref="DG45">IFERROR(IF(AND(INDEX($E$8:$CE$57, MATCH($C45, $C$8:$C$57, 0), (COLUMNS($DC45:DG45)-1)*5 + 1) = INDEX($E$5:$CE$5, 1, (COLUMNS($DC45:DG45)-1)*5 + 1), INDEX($E$8:$CE$57, MATCH($C45, $C$8:$C$57, 0), (COLUMNS($DC45:DG45)-1)*5 + 4) = "F"), INDEX($CZ$8:$CZ$23, COLUMNS($DC45:DG45)), "0"), "")</f>
        <v>0</v>
      </c>
      <c r="DH45" s="390" t="str">
        <f t="array" ref="DH45">IFERROR(IF(AND(INDEX($E$8:$CE$57, MATCH($C45, $C$8:$C$57, 0), (COLUMNS($DC45:DH45)-1)*5 + 1) = INDEX($E$5:$CE$5, 1, (COLUMNS($DC45:DH45)-1)*5 + 1), INDEX($E$8:$CE$57, MATCH($C45, $C$8:$C$57, 0), (COLUMNS($DC45:DH45)-1)*5 + 4) = "F"), INDEX($CZ$8:$CZ$23, COLUMNS($DC45:DH45)), "0"), "")</f>
        <v>0</v>
      </c>
      <c r="DI45" s="390" t="str">
        <f t="array" ref="DI45">IFERROR(IF(AND(INDEX($E$8:$CE$57, MATCH($C45, $C$8:$C$57, 0), (COLUMNS($DC45:DI45)-1)*5 + 1) = INDEX($E$5:$CE$5, 1, (COLUMNS($DC45:DI45)-1)*5 + 1), INDEX($E$8:$CE$57, MATCH($C45, $C$8:$C$57, 0), (COLUMNS($DC45:DI45)-1)*5 + 4) = "F"), INDEX($CZ$8:$CZ$23, COLUMNS($DC45:DI45)), "0"), "")</f>
        <v>0</v>
      </c>
      <c r="DJ45" s="390" t="str">
        <f t="array" ref="DJ45">IFERROR(IF(AND(INDEX($E$8:$CE$57, MATCH($C45, $C$8:$C$57, 0), (COLUMNS($DC45:DJ45)-1)*5 + 1) = INDEX($E$5:$CE$5, 1, (COLUMNS($DC45:DJ45)-1)*5 + 1), INDEX($E$8:$CE$57, MATCH($C45, $C$8:$C$57, 0), (COLUMNS($DC45:DJ45)-1)*5 + 4) = "F"), INDEX($CZ$8:$CZ$23, COLUMNS($DC45:DJ45)), "0"), "")</f>
        <v>0</v>
      </c>
      <c r="DK45" s="390" t="str">
        <f t="array" ref="DK45">IFERROR(IF(AND(INDEX($E$8:$CE$57, MATCH($C45, $C$8:$C$57, 0), (COLUMNS($DC45:DK45)-1)*5 + 1) = INDEX($E$5:$CE$5, 1, (COLUMNS($DC45:DK45)-1)*5 + 1), INDEX($E$8:$CE$57, MATCH($C45, $C$8:$C$57, 0), (COLUMNS($DC45:DK45)-1)*5 + 4) = "F"), INDEX($CZ$8:$CZ$23, COLUMNS($DC45:DK45)), "0"), "")</f>
        <v>0</v>
      </c>
      <c r="DL45" s="390" t="str">
        <f t="array" ref="DL45">IFERROR(IF(AND(INDEX($E$8:$CE$57, MATCH($C45, $C$8:$C$57, 0), (COLUMNS($DC45:DL45)-1)*5 + 1) = INDEX($E$5:$CE$5, 1, (COLUMNS($DC45:DL45)-1)*5 + 1), INDEX($E$8:$CE$57, MATCH($C45, $C$8:$C$57, 0), (COLUMNS($DC45:DL45)-1)*5 + 4) = "F"), INDEX($CZ$8:$CZ$23, COLUMNS($DC45:DL45)), "0"), "")</f>
        <v>0</v>
      </c>
      <c r="DM45" s="390" t="str">
        <f t="array" ref="DM45">IFERROR(IF(AND(INDEX($E$8:$CE$57, MATCH($C45, $C$8:$C$57, 0), (COLUMNS($DC45:DM45)-1)*5 + 1) = INDEX($E$5:$CE$5, 1, (COLUMNS($DC45:DM45)-1)*5 + 1), INDEX($E$8:$CE$57, MATCH($C45, $C$8:$C$57, 0), (COLUMNS($DC45:DM45)-1)*5 + 4) = "F"), INDEX($CZ$8:$CZ$23, COLUMNS($DC45:DM45)), "0"), "")</f>
        <v>0</v>
      </c>
      <c r="DN45" s="390" t="str">
        <f t="array" ref="DN45">IFERROR(IF(AND(INDEX($E$8:$CE$57, MATCH($C45, $C$8:$C$57, 0), (COLUMNS($DC45:DN45)-1)*5 + 1) = INDEX($E$5:$CE$5, 1, (COLUMNS($DC45:DN45)-1)*5 + 1), INDEX($E$8:$CE$57, MATCH($C45, $C$8:$C$57, 0), (COLUMNS($DC45:DN45)-1)*5 + 4) = "F"), INDEX($CZ$8:$CZ$23, COLUMNS($DC45:DN45)), "0"), "")</f>
        <v>0</v>
      </c>
      <c r="DO45" s="390" t="str">
        <f t="array" ref="DO45">IFERROR(IF(AND(INDEX($E$8:$CE$57, MATCH($C45, $C$8:$C$57, 0), (COLUMNS($DC45:DO45)-1)*5 + 1) = INDEX($E$5:$CE$5, 1, (COLUMNS($DC45:DO45)-1)*5 + 1), INDEX($E$8:$CE$57, MATCH($C45, $C$8:$C$57, 0), (COLUMNS($DC45:DO45)-1)*5 + 4) = "F"), INDEX($CZ$8:$CZ$23, COLUMNS($DC45:DO45)), "0"), "")</f>
        <v>0</v>
      </c>
      <c r="DP45" s="390" t="str">
        <f t="array" ref="DP45">IFERROR(IF(AND(INDEX($E$8:$CE$57, MATCH($C45, $C$8:$C$57, 0), (COLUMNS($DC45:DP45)-1)*5 + 1) = INDEX($E$5:$CE$5, 1, (COLUMNS($DC45:DP45)-1)*5 + 1), INDEX($E$8:$CE$57, MATCH($C45, $C$8:$C$57, 0), (COLUMNS($DC45:DP45)-1)*5 + 4) = "F"), INDEX($CZ$8:$CZ$23, COLUMNS($DC45:DP45)), "0"), "")</f>
        <v>0</v>
      </c>
      <c r="DQ45" s="390" t="str">
        <f t="array" ref="DQ45">IFERROR(IF(AND(INDEX($E$8:$CE$57, MATCH($C45, $C$8:$C$57, 0), (COLUMNS($DC45:DQ45)-1)*5 + 1) = INDEX($E$5:$CE$5, 1, (COLUMNS($DC45:DQ45)-1)*5 + 1), INDEX($E$8:$CE$57, MATCH($C45, $C$8:$C$57, 0), (COLUMNS($DC45:DQ45)-1)*5 + 4) = "F"), INDEX($CZ$8:$CZ$23, COLUMNS($DC45:DQ45)), "0"), "")</f>
        <v>0</v>
      </c>
      <c r="DR45" s="390" t="str">
        <f t="array" ref="DR45">IFERROR(IF(AND(INDEX($E$8:$CE$57, MATCH($C45, $C$8:$C$57, 0), (COLUMNS($DC45:DR45)-1)*5 + 1) = INDEX($E$5:$CE$5, 1, (COLUMNS($DC45:DR45)-1)*5 + 1), INDEX($E$8:$CE$57, MATCH($C45, $C$8:$C$57, 0), (COLUMNS($DC45:DR45)-1)*5 + 4) = "F"), INDEX($CZ$8:$CZ$23, COLUMNS($DC45:DR45)), "0"), "")</f>
        <v>0</v>
      </c>
      <c r="DT45" s="537" t="str">
        <f>SEMANA29[[#This Row],[COD]]</f>
        <v>COD 38</v>
      </c>
      <c r="DU45" s="390" t="str">
        <f t="array" ref="DU45">IFERROR(IF(AND(INDEX($E$8:$CE$57, MATCH($C45, $C$8:$C$57, 0), (COLUMNS($DU45:DU45)-1)*5 + 1) = INDEX($E$5:$CE$5, 1, (COLUMNS($DU45:DU45)-1)*5 + 1), INDEX($E$8:$CE$57, MATCH($C45, $C$8:$C$57, 0), (COLUMNS($DU45:DU45)-1)*5 + 4) = "SF"), INDEX($CZ$8:$CZ$23, COLUMNS($DU45:DU45)), "0"), "")</f>
        <v>0</v>
      </c>
      <c r="DV45" s="390" t="str">
        <f t="array" ref="DV45">IFERROR(IF(AND(INDEX($E$8:$CE$57, MATCH($C45, $C$8:$C$57, 0), (COLUMNS($DU45:DV45)-1)*5 + 1) = INDEX($E$5:$CE$5, 1, (COLUMNS($DU45:DV45)-1)*5 + 1), INDEX($E$8:$CE$57, MATCH($C45, $C$8:$C$57, 0), (COLUMNS($DU45:DV45)-1)*5 + 4) = "SF"), INDEX($CZ$8:$CZ$23, COLUMNS($DU45:DV45)), "0"), "")</f>
        <v>0</v>
      </c>
      <c r="DW45" s="390" t="str">
        <f t="array" ref="DW45">IFERROR(IF(AND(INDEX($E$8:$CE$57, MATCH($C45, $C$8:$C$57, 0), (COLUMNS($DU45:DW45)-1)*5 + 1) = INDEX($E$5:$CE$5, 1, (COLUMNS($DU45:DW45)-1)*5 + 1), INDEX($E$8:$CE$57, MATCH($C45, $C$8:$C$57, 0), (COLUMNS($DU45:DW45)-1)*5 + 4) = "SF"), INDEX($CZ$8:$CZ$23, COLUMNS($DU45:DW45)), "0"), "")</f>
        <v>0</v>
      </c>
      <c r="DX45" s="390" t="str">
        <f t="array" ref="DX45">IFERROR(IF(AND(INDEX($E$8:$CE$57, MATCH($C45, $C$8:$C$57, 0), (COLUMNS($DU45:DX45)-1)*5 + 1) = INDEX($E$5:$CE$5, 1, (COLUMNS($DU45:DX45)-1)*5 + 1), INDEX($E$8:$CE$57, MATCH($C45, $C$8:$C$57, 0), (COLUMNS($DU45:DX45)-1)*5 + 4) = "SF"), INDEX($CZ$8:$CZ$23, COLUMNS($DU45:DX45)), "0"), "")</f>
        <v>0</v>
      </c>
      <c r="DY45" s="390" t="str">
        <f t="array" ref="DY45">IFERROR(IF(AND(INDEX($E$8:$CE$57, MATCH($C45, $C$8:$C$57, 0), (COLUMNS($DU45:DY45)-1)*5 + 1) = INDEX($E$5:$CE$5, 1, (COLUMNS($DU45:DY45)-1)*5 + 1), INDEX($E$8:$CE$57, MATCH($C45, $C$8:$C$57, 0), (COLUMNS($DU45:DY45)-1)*5 + 4) = "SF"), INDEX($CZ$8:$CZ$23, COLUMNS($DU45:DY45)), "0"), "")</f>
        <v>0</v>
      </c>
      <c r="DZ45" s="390" t="str">
        <f t="array" ref="DZ45">IFERROR(IF(AND(INDEX($E$8:$CE$57, MATCH($C45, $C$8:$C$57, 0), (COLUMNS($DU45:DZ45)-1)*5 + 1) = INDEX($E$5:$CE$5, 1, (COLUMNS($DU45:DZ45)-1)*5 + 1), INDEX($E$8:$CE$57, MATCH($C45, $C$8:$C$57, 0), (COLUMNS($DU45:DZ45)-1)*5 + 4) = "SF"), INDEX($CZ$8:$CZ$23, COLUMNS($DU45:DZ45)), "0"), "")</f>
        <v>0</v>
      </c>
      <c r="EA45" s="390" t="str">
        <f t="array" ref="EA45">IFERROR(IF(AND(INDEX($E$8:$CE$57, MATCH($C45, $C$8:$C$57, 0), (COLUMNS($DU45:EA45)-1)*5 + 1) = INDEX($E$5:$CE$5, 1, (COLUMNS($DU45:EA45)-1)*5 + 1), INDEX($E$8:$CE$57, MATCH($C45, $C$8:$C$57, 0), (COLUMNS($DU45:EA45)-1)*5 + 4) = "SF"), INDEX($CZ$8:$CZ$23, COLUMNS($DU45:EA45)), "0"), "")</f>
        <v>0</v>
      </c>
      <c r="EB45" s="390" t="str">
        <f t="array" ref="EB45">IFERROR(IF(AND(INDEX($E$8:$CE$57, MATCH($C45, $C$8:$C$57, 0), (COLUMNS($DU45:EB45)-1)*5 + 1) = INDEX($E$5:$CE$5, 1, (COLUMNS($DU45:EB45)-1)*5 + 1), INDEX($E$8:$CE$57, MATCH($C45, $C$8:$C$57, 0), (COLUMNS($DU45:EB45)-1)*5 + 4) = "SF"), INDEX($CZ$8:$CZ$23, COLUMNS($DU45:EB45)), "0"), "")</f>
        <v>0</v>
      </c>
      <c r="EC45" s="390" t="str">
        <f t="array" ref="EC45">IFERROR(IF(AND(INDEX($E$8:$CE$57, MATCH($C45, $C$8:$C$57, 0), (COLUMNS($DU45:EC45)-1)*5 + 1) = INDEX($E$5:$CE$5, 1, (COLUMNS($DU45:EC45)-1)*5 + 1), INDEX($E$8:$CE$57, MATCH($C45, $C$8:$C$57, 0), (COLUMNS($DU45:EC45)-1)*5 + 4) = "SF"), INDEX($CZ$8:$CZ$23, COLUMNS($DU45:EC45)), "0"), "")</f>
        <v>0</v>
      </c>
      <c r="ED45" s="390" t="str">
        <f t="array" ref="ED45">IFERROR(IF(AND(INDEX($E$8:$CE$57, MATCH($C45, $C$8:$C$57, 0), (COLUMNS($DU45:ED45)-1)*5 + 1) = INDEX($E$5:$CE$5, 1, (COLUMNS($DU45:ED45)-1)*5 + 1), INDEX($E$8:$CE$57, MATCH($C45, $C$8:$C$57, 0), (COLUMNS($DU45:ED45)-1)*5 + 4) = "SF"), INDEX($CZ$8:$CZ$23, COLUMNS($DU45:ED45)), "0"), "")</f>
        <v>0</v>
      </c>
      <c r="EE45" s="390" t="str">
        <f t="array" ref="EE45">IFERROR(IF(AND(INDEX($E$8:$CE$57, MATCH($C45, $C$8:$C$57, 0), (COLUMNS($DU45:EE45)-1)*5 + 1) = INDEX($E$5:$CE$5, 1, (COLUMNS($DU45:EE45)-1)*5 + 1), INDEX($E$8:$CE$57, MATCH($C45, $C$8:$C$57, 0), (COLUMNS($DU45:EE45)-1)*5 + 4) = "SF"), INDEX($CZ$8:$CZ$23, COLUMNS($DU45:EE45)), "0"), "")</f>
        <v>0</v>
      </c>
      <c r="EF45" s="390" t="str">
        <f t="array" ref="EF45">IFERROR(IF(AND(INDEX($E$8:$CE$57, MATCH($C45, $C$8:$C$57, 0), (COLUMNS($DU45:EF45)-1)*5 + 1) = INDEX($E$5:$CE$5, 1, (COLUMNS($DU45:EF45)-1)*5 + 1), INDEX($E$8:$CE$57, MATCH($C45, $C$8:$C$57, 0), (COLUMNS($DU45:EF45)-1)*5 + 4) = "SF"), INDEX($CZ$8:$CZ$23, COLUMNS($DU45:EF45)), "0"), "")</f>
        <v>0</v>
      </c>
      <c r="EG45" s="390" t="str">
        <f t="array" ref="EG45">IFERROR(IF(AND(INDEX($E$8:$CE$57, MATCH($C45, $C$8:$C$57, 0), (COLUMNS($DU45:EG45)-1)*5 + 1) = INDEX($E$5:$CE$5, 1, (COLUMNS($DU45:EG45)-1)*5 + 1), INDEX($E$8:$CE$57, MATCH($C45, $C$8:$C$57, 0), (COLUMNS($DU45:EG45)-1)*5 + 4) = "SF"), INDEX($CZ$8:$CZ$23, COLUMNS($DU45:EG45)), "0"), "")</f>
        <v>0</v>
      </c>
      <c r="EH45" s="390" t="str">
        <f t="array" ref="EH45">IFERROR(IF(AND(INDEX($E$8:$CE$57, MATCH($C45, $C$8:$C$57, 0), (COLUMNS($DU45:EH45)-1)*5 + 1) = INDEX($E$5:$CE$5, 1, (COLUMNS($DU45:EH45)-1)*5 + 1), INDEX($E$8:$CE$57, MATCH($C45, $C$8:$C$57, 0), (COLUMNS($DU45:EH45)-1)*5 + 4) = "SF"), INDEX($CZ$8:$CZ$23, COLUMNS($DU45:EH45)), "0"), "")</f>
        <v>0</v>
      </c>
      <c r="EI45" s="390" t="str">
        <f t="array" ref="EI45">IFERROR(IF(AND(INDEX($E$8:$CE$57, MATCH($C45, $C$8:$C$57, 0), (COLUMNS($DU45:EI45)-1)*5 + 1) = INDEX($E$5:$CE$5, 1, (COLUMNS($DU45:EI45)-1)*5 + 1), INDEX($E$8:$CE$57, MATCH($C45, $C$8:$C$57, 0), (COLUMNS($DU45:EI45)-1)*5 + 4) = "SF"), INDEX($CZ$8:$CZ$23, COLUMNS($DU45:EI45)), "0"), "")</f>
        <v>0</v>
      </c>
      <c r="EJ45" s="390" t="str">
        <f t="array" ref="EJ45">IFERROR(IF(AND(INDEX($E$8:$CE$57, MATCH($C45, $C$8:$C$57, 0), (COLUMNS($DU45:EJ45)-1)*5 + 1) = INDEX($E$5:$CE$5, 1, (COLUMNS($DU45:EJ45)-1)*5 + 1), INDEX($E$8:$CE$57, MATCH($C45, $C$8:$C$57, 0), (COLUMNS($DU45:EJ45)-1)*5 + 4) = "SF"), INDEX($CZ$8:$CZ$23, COLUMNS($DU45:EJ45)), "0"), "")</f>
        <v>0</v>
      </c>
    </row>
    <row r="46" spans="1:140" ht="20.100000000000001" customHeight="1" x14ac:dyDescent="0.35">
      <c r="A46" s="515"/>
      <c r="B46" s="444">
        <f>IF(SEMANA29[[#This Row],[COD]]&lt;&gt;"",B45+1,"")</f>
        <v>39</v>
      </c>
      <c r="C46" s="554" t="s">
        <v>107</v>
      </c>
      <c r="D46" s="410" t="str">
        <f t="array" ref="D46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46" s="411"/>
      <c r="F46" s="413"/>
      <c r="G46" s="413"/>
      <c r="H46" s="413"/>
      <c r="I46" s="534">
        <f t="shared" si="18"/>
        <v>0</v>
      </c>
      <c r="J46" s="411"/>
      <c r="K46" s="413"/>
      <c r="L46" s="413"/>
      <c r="M46" s="413"/>
      <c r="N46" s="534">
        <f t="shared" si="19"/>
        <v>0</v>
      </c>
      <c r="O46" s="411"/>
      <c r="P46" s="413"/>
      <c r="Q46" s="413"/>
      <c r="R46" s="413"/>
      <c r="S46" s="534">
        <f t="shared" si="20"/>
        <v>0</v>
      </c>
      <c r="T46" s="411"/>
      <c r="U46" s="413"/>
      <c r="V46" s="413"/>
      <c r="W46" s="413"/>
      <c r="X46" s="534">
        <f t="shared" si="21"/>
        <v>0</v>
      </c>
      <c r="Y46" s="411"/>
      <c r="Z46" s="413"/>
      <c r="AA46" s="413"/>
      <c r="AB46" s="413"/>
      <c r="AC46" s="534">
        <f t="shared" si="22"/>
        <v>0</v>
      </c>
      <c r="AD46" s="411"/>
      <c r="AE46" s="413"/>
      <c r="AF46" s="413"/>
      <c r="AG46" s="413"/>
      <c r="AH46" s="534">
        <f t="shared" si="23"/>
        <v>0</v>
      </c>
      <c r="AI46" s="411"/>
      <c r="AJ46" s="413"/>
      <c r="AK46" s="413"/>
      <c r="AL46" s="413"/>
      <c r="AM46" s="534">
        <f t="shared" si="24"/>
        <v>0</v>
      </c>
      <c r="AN46" s="411"/>
      <c r="AO46" s="413"/>
      <c r="AP46" s="413"/>
      <c r="AQ46" s="413"/>
      <c r="AR46" s="534">
        <f t="shared" si="25"/>
        <v>0</v>
      </c>
      <c r="AS46" s="411"/>
      <c r="AT46" s="413"/>
      <c r="AU46" s="413"/>
      <c r="AV46" s="413"/>
      <c r="AW46" s="534">
        <f t="shared" si="26"/>
        <v>0</v>
      </c>
      <c r="AX46" s="411"/>
      <c r="AY46" s="413"/>
      <c r="AZ46" s="413"/>
      <c r="BA46" s="413"/>
      <c r="BB46" s="534">
        <f t="shared" si="27"/>
        <v>0</v>
      </c>
      <c r="BC46" s="411"/>
      <c r="BD46" s="413"/>
      <c r="BE46" s="413"/>
      <c r="BF46" s="413"/>
      <c r="BG46" s="534">
        <f t="shared" si="28"/>
        <v>0</v>
      </c>
      <c r="BH46" s="411"/>
      <c r="BI46" s="413"/>
      <c r="BJ46" s="413"/>
      <c r="BK46" s="413"/>
      <c r="BL46" s="534">
        <f t="shared" si="29"/>
        <v>0</v>
      </c>
      <c r="BM46" s="411"/>
      <c r="BN46" s="413"/>
      <c r="BO46" s="413"/>
      <c r="BP46" s="413"/>
      <c r="BQ46" s="534">
        <f t="shared" si="30"/>
        <v>0</v>
      </c>
      <c r="BR46" s="411"/>
      <c r="BS46" s="413"/>
      <c r="BT46" s="413"/>
      <c r="BU46" s="413"/>
      <c r="BV46" s="534">
        <f t="shared" si="31"/>
        <v>0</v>
      </c>
      <c r="BW46" s="411"/>
      <c r="BX46" s="413"/>
      <c r="BY46" s="413"/>
      <c r="BZ46" s="413"/>
      <c r="CA46" s="534">
        <f t="shared" si="32"/>
        <v>0</v>
      </c>
      <c r="CB46" s="411"/>
      <c r="CC46" s="413"/>
      <c r="CD46" s="413"/>
      <c r="CE46" s="413"/>
      <c r="CF46" s="534">
        <f t="shared" si="33"/>
        <v>0</v>
      </c>
      <c r="CG46" s="162">
        <f>IF(SEMANA29[[#This Row],[1]]="",0,$B$4)</f>
        <v>0</v>
      </c>
      <c r="CH46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46" s="164">
        <f>IF(SEMANA29[[#This Row],[Columna14]]=0,0,(CH46/CG46))</f>
        <v>0</v>
      </c>
      <c r="CJ46" s="163">
        <f>IF(SEMANA29[[#This Row],[1]]="",0,$B$4)</f>
        <v>0</v>
      </c>
      <c r="CK46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46" s="164">
        <f>IF(SEMANA29[[#This Row],[Columna14]]=0,0,(CK46/CJ46))</f>
        <v>0</v>
      </c>
      <c r="CM46" s="162">
        <f>IF(SEMANA29[[#This Row],[1]]="",0,$B$4)</f>
        <v>0</v>
      </c>
      <c r="CN46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46" s="164">
        <f>IF(SEMANA29[[#This Row],[Columna14]]=0,0,(CN46/CM46))</f>
        <v>0</v>
      </c>
      <c r="CP46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46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Row],[Columna25]],$AX$5,BA46,"SF")+COUNTIFS(SEMANA29[[#This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46" s="164">
        <f>IFERROR(IF(SEMANA29[[#This Row],[Columna14]]=0,0,(CQ46/CP46)),0)</f>
        <v>0</v>
      </c>
      <c r="CS46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46" s="93">
        <f>_xlfn.XLOOKUP(SEMANA29[[#This Row],[COD]],SEMANA2[COD],SEMANA2[Columna33])</f>
        <v>18.5</v>
      </c>
      <c r="CU46" s="536">
        <f t="shared" si="34"/>
        <v>18.5</v>
      </c>
      <c r="CV46" s="445" t="str">
        <f>IF(SEMANA29[[#This Row],[TIPO]]="PREMIO",$O$3,"0,00")</f>
        <v>0,00</v>
      </c>
      <c r="CW46" s="515"/>
      <c r="CY46" s="387" t="str">
        <f t="shared" si="17"/>
        <v/>
      </c>
      <c r="CZ46" s="387"/>
      <c r="DA46" s="387" t="str">
        <f t="array" ref="DA46">IF(CZ46="", "", IF((INDEX(E$8:CE$57, MATCH(CZ46, C$8:C$57, 0), ($CZ$25-1)*5 + 1) &amp; "") = (INDEX(E$5:CE$5, 1, ($CZ$25-1)*5 + 1) &amp; ""), 1, IF((INDEX(E$8:CE$57, MATCH(CZ46, C$8:C$57, 0), ($CZ$25-1)*5 + 2) &amp; "") = (INDEX(E$5:CE$5, 1, ($CZ$25-1)*5 + 1) &amp; ""), 2, IF((INDEX(E$8:CE$57, MATCH(CZ46, C$8:C$57, 0), ($CZ$25-1)*5 + 3) &amp; "") = (INDEX(E$5:CE$5, 1, ($CZ$25-1)*5 + 1) &amp; ""), 3, ""))))</f>
        <v/>
      </c>
      <c r="DB46" s="537" t="str">
        <f>SEMANA29[[#This Row],[COD]]</f>
        <v>COD 39</v>
      </c>
      <c r="DC46" s="390" t="str">
        <f t="array" ref="DC46">IFERROR(IF(AND(INDEX($E$8:$CE$57, MATCH($C46, $C$8:$C$57, 0), (COLUMNS($DC46:DC46)-1)*5 + 1) = INDEX($E$5:$CE$5, 1, (COLUMNS($DC46:DC46)-1)*5 + 1), INDEX($E$8:$CE$57, MATCH($C46, $C$8:$C$57, 0), (COLUMNS($DC46:DC46)-1)*5 + 4) = "F"), INDEX($CZ$8:$CZ$23, COLUMNS($DC46:DC46)), "0"), "")</f>
        <v>0</v>
      </c>
      <c r="DD46" s="390" t="str">
        <f t="array" ref="DD46">IFERROR(IF(AND(INDEX($E$8:$CE$57, MATCH($C46, $C$8:$C$57, 0), (COLUMNS($DC46:DD46)-1)*5 + 1) = INDEX($E$5:$CE$5, 1, (COLUMNS($DC46:DD46)-1)*5 + 1), INDEX($E$8:$CE$57, MATCH($C46, $C$8:$C$57, 0), (COLUMNS($DC46:DD46)-1)*5 + 4) = "F"), INDEX($CZ$8:$CZ$23, COLUMNS($DC46:DD46)), "0"), "")</f>
        <v>0</v>
      </c>
      <c r="DE46" s="390" t="str">
        <f t="array" ref="DE46">IFERROR(IF(AND(INDEX($E$8:$CE$57, MATCH($C46, $C$8:$C$57, 0), (COLUMNS($DC46:DE46)-1)*5 + 1) = INDEX($E$5:$CE$5, 1, (COLUMNS($DC46:DE46)-1)*5 + 1), INDEX($E$8:$CE$57, MATCH($C46, $C$8:$C$57, 0), (COLUMNS($DC46:DE46)-1)*5 + 4) = "F"), INDEX($CZ$8:$CZ$23, COLUMNS($DC46:DE46)), "0"), "")</f>
        <v>0</v>
      </c>
      <c r="DF46" s="390" t="str">
        <f t="array" ref="DF46">IFERROR(IF(AND(INDEX($E$8:$CE$57, MATCH($C46, $C$8:$C$57, 0), (COLUMNS($DC46:DF46)-1)*5 + 1) = INDEX($E$5:$CE$5, 1, (COLUMNS($DC46:DF46)-1)*5 + 1), INDEX($E$8:$CE$57, MATCH($C46, $C$8:$C$57, 0), (COLUMNS($DC46:DF46)-1)*5 + 4) = "F"), INDEX($CZ$8:$CZ$23, COLUMNS($DC46:DF46)), "0"), "")</f>
        <v>0</v>
      </c>
      <c r="DG46" s="390" t="str">
        <f t="array" ref="DG46">IFERROR(IF(AND(INDEX($E$8:$CE$57, MATCH($C46, $C$8:$C$57, 0), (COLUMNS($DC46:DG46)-1)*5 + 1) = INDEX($E$5:$CE$5, 1, (COLUMNS($DC46:DG46)-1)*5 + 1), INDEX($E$8:$CE$57, MATCH($C46, $C$8:$C$57, 0), (COLUMNS($DC46:DG46)-1)*5 + 4) = "F"), INDEX($CZ$8:$CZ$23, COLUMNS($DC46:DG46)), "0"), "")</f>
        <v>0</v>
      </c>
      <c r="DH46" s="390" t="str">
        <f t="array" ref="DH46">IFERROR(IF(AND(INDEX($E$8:$CE$57, MATCH($C46, $C$8:$C$57, 0), (COLUMNS($DC46:DH46)-1)*5 + 1) = INDEX($E$5:$CE$5, 1, (COLUMNS($DC46:DH46)-1)*5 + 1), INDEX($E$8:$CE$57, MATCH($C46, $C$8:$C$57, 0), (COLUMNS($DC46:DH46)-1)*5 + 4) = "F"), INDEX($CZ$8:$CZ$23, COLUMNS($DC46:DH46)), "0"), "")</f>
        <v>0</v>
      </c>
      <c r="DI46" s="390" t="str">
        <f t="array" ref="DI46">IFERROR(IF(AND(INDEX($E$8:$CE$57, MATCH($C46, $C$8:$C$57, 0), (COLUMNS($DC46:DI46)-1)*5 + 1) = INDEX($E$5:$CE$5, 1, (COLUMNS($DC46:DI46)-1)*5 + 1), INDEX($E$8:$CE$57, MATCH($C46, $C$8:$C$57, 0), (COLUMNS($DC46:DI46)-1)*5 + 4) = "F"), INDEX($CZ$8:$CZ$23, COLUMNS($DC46:DI46)), "0"), "")</f>
        <v>0</v>
      </c>
      <c r="DJ46" s="390" t="str">
        <f t="array" ref="DJ46">IFERROR(IF(AND(INDEX($E$8:$CE$57, MATCH($C46, $C$8:$C$57, 0), (COLUMNS($DC46:DJ46)-1)*5 + 1) = INDEX($E$5:$CE$5, 1, (COLUMNS($DC46:DJ46)-1)*5 + 1), INDEX($E$8:$CE$57, MATCH($C46, $C$8:$C$57, 0), (COLUMNS($DC46:DJ46)-1)*5 + 4) = "F"), INDEX($CZ$8:$CZ$23, COLUMNS($DC46:DJ46)), "0"), "")</f>
        <v>0</v>
      </c>
      <c r="DK46" s="390" t="str">
        <f t="array" ref="DK46">IFERROR(IF(AND(INDEX($E$8:$CE$57, MATCH($C46, $C$8:$C$57, 0), (COLUMNS($DC46:DK46)-1)*5 + 1) = INDEX($E$5:$CE$5, 1, (COLUMNS($DC46:DK46)-1)*5 + 1), INDEX($E$8:$CE$57, MATCH($C46, $C$8:$C$57, 0), (COLUMNS($DC46:DK46)-1)*5 + 4) = "F"), INDEX($CZ$8:$CZ$23, COLUMNS($DC46:DK46)), "0"), "")</f>
        <v>0</v>
      </c>
      <c r="DL46" s="390" t="str">
        <f t="array" ref="DL46">IFERROR(IF(AND(INDEX($E$8:$CE$57, MATCH($C46, $C$8:$C$57, 0), (COLUMNS($DC46:DL46)-1)*5 + 1) = INDEX($E$5:$CE$5, 1, (COLUMNS($DC46:DL46)-1)*5 + 1), INDEX($E$8:$CE$57, MATCH($C46, $C$8:$C$57, 0), (COLUMNS($DC46:DL46)-1)*5 + 4) = "F"), INDEX($CZ$8:$CZ$23, COLUMNS($DC46:DL46)), "0"), "")</f>
        <v>0</v>
      </c>
      <c r="DM46" s="390" t="str">
        <f t="array" ref="DM46">IFERROR(IF(AND(INDEX($E$8:$CE$57, MATCH($C46, $C$8:$C$57, 0), (COLUMNS($DC46:DM46)-1)*5 + 1) = INDEX($E$5:$CE$5, 1, (COLUMNS($DC46:DM46)-1)*5 + 1), INDEX($E$8:$CE$57, MATCH($C46, $C$8:$C$57, 0), (COLUMNS($DC46:DM46)-1)*5 + 4) = "F"), INDEX($CZ$8:$CZ$23, COLUMNS($DC46:DM46)), "0"), "")</f>
        <v>0</v>
      </c>
      <c r="DN46" s="390" t="str">
        <f t="array" ref="DN46">IFERROR(IF(AND(INDEX($E$8:$CE$57, MATCH($C46, $C$8:$C$57, 0), (COLUMNS($DC46:DN46)-1)*5 + 1) = INDEX($E$5:$CE$5, 1, (COLUMNS($DC46:DN46)-1)*5 + 1), INDEX($E$8:$CE$57, MATCH($C46, $C$8:$C$57, 0), (COLUMNS($DC46:DN46)-1)*5 + 4) = "F"), INDEX($CZ$8:$CZ$23, COLUMNS($DC46:DN46)), "0"), "")</f>
        <v>0</v>
      </c>
      <c r="DO46" s="390" t="str">
        <f t="array" ref="DO46">IFERROR(IF(AND(INDEX($E$8:$CE$57, MATCH($C46, $C$8:$C$57, 0), (COLUMNS($DC46:DO46)-1)*5 + 1) = INDEX($E$5:$CE$5, 1, (COLUMNS($DC46:DO46)-1)*5 + 1), INDEX($E$8:$CE$57, MATCH($C46, $C$8:$C$57, 0), (COLUMNS($DC46:DO46)-1)*5 + 4) = "F"), INDEX($CZ$8:$CZ$23, COLUMNS($DC46:DO46)), "0"), "")</f>
        <v>0</v>
      </c>
      <c r="DP46" s="390" t="str">
        <f t="array" ref="DP46">IFERROR(IF(AND(INDEX($E$8:$CE$57, MATCH($C46, $C$8:$C$57, 0), (COLUMNS($DC46:DP46)-1)*5 + 1) = INDEX($E$5:$CE$5, 1, (COLUMNS($DC46:DP46)-1)*5 + 1), INDEX($E$8:$CE$57, MATCH($C46, $C$8:$C$57, 0), (COLUMNS($DC46:DP46)-1)*5 + 4) = "F"), INDEX($CZ$8:$CZ$23, COLUMNS($DC46:DP46)), "0"), "")</f>
        <v>0</v>
      </c>
      <c r="DQ46" s="390" t="str">
        <f t="array" ref="DQ46">IFERROR(IF(AND(INDEX($E$8:$CE$57, MATCH($C46, $C$8:$C$57, 0), (COLUMNS($DC46:DQ46)-1)*5 + 1) = INDEX($E$5:$CE$5, 1, (COLUMNS($DC46:DQ46)-1)*5 + 1), INDEX($E$8:$CE$57, MATCH($C46, $C$8:$C$57, 0), (COLUMNS($DC46:DQ46)-1)*5 + 4) = "F"), INDEX($CZ$8:$CZ$23, COLUMNS($DC46:DQ46)), "0"), "")</f>
        <v>0</v>
      </c>
      <c r="DR46" s="390" t="str">
        <f t="array" ref="DR46">IFERROR(IF(AND(INDEX($E$8:$CE$57, MATCH($C46, $C$8:$C$57, 0), (COLUMNS($DC46:DR46)-1)*5 + 1) = INDEX($E$5:$CE$5, 1, (COLUMNS($DC46:DR46)-1)*5 + 1), INDEX($E$8:$CE$57, MATCH($C46, $C$8:$C$57, 0), (COLUMNS($DC46:DR46)-1)*5 + 4) = "F"), INDEX($CZ$8:$CZ$23, COLUMNS($DC46:DR46)), "0"), "")</f>
        <v>0</v>
      </c>
      <c r="DT46" s="537" t="str">
        <f>SEMANA29[[#This Row],[COD]]</f>
        <v>COD 39</v>
      </c>
      <c r="DU46" s="390" t="str">
        <f t="array" ref="DU46">IFERROR(IF(AND(INDEX($E$8:$CE$57, MATCH($C46, $C$8:$C$57, 0), (COLUMNS($DU46:DU46)-1)*5 + 1) = INDEX($E$5:$CE$5, 1, (COLUMNS($DU46:DU46)-1)*5 + 1), INDEX($E$8:$CE$57, MATCH($C46, $C$8:$C$57, 0), (COLUMNS($DU46:DU46)-1)*5 + 4) = "SF"), INDEX($CZ$8:$CZ$23, COLUMNS($DU46:DU46)), "0"), "")</f>
        <v>0</v>
      </c>
      <c r="DV46" s="390" t="str">
        <f t="array" ref="DV46">IFERROR(IF(AND(INDEX($E$8:$CE$57, MATCH($C46, $C$8:$C$57, 0), (COLUMNS($DU46:DV46)-1)*5 + 1) = INDEX($E$5:$CE$5, 1, (COLUMNS($DU46:DV46)-1)*5 + 1), INDEX($E$8:$CE$57, MATCH($C46, $C$8:$C$57, 0), (COLUMNS($DU46:DV46)-1)*5 + 4) = "SF"), INDEX($CZ$8:$CZ$23, COLUMNS($DU46:DV46)), "0"), "")</f>
        <v>0</v>
      </c>
      <c r="DW46" s="390" t="str">
        <f t="array" ref="DW46">IFERROR(IF(AND(INDEX($E$8:$CE$57, MATCH($C46, $C$8:$C$57, 0), (COLUMNS($DU46:DW46)-1)*5 + 1) = INDEX($E$5:$CE$5, 1, (COLUMNS($DU46:DW46)-1)*5 + 1), INDEX($E$8:$CE$57, MATCH($C46, $C$8:$C$57, 0), (COLUMNS($DU46:DW46)-1)*5 + 4) = "SF"), INDEX($CZ$8:$CZ$23, COLUMNS($DU46:DW46)), "0"), "")</f>
        <v>0</v>
      </c>
      <c r="DX46" s="390" t="str">
        <f t="array" ref="DX46">IFERROR(IF(AND(INDEX($E$8:$CE$57, MATCH($C46, $C$8:$C$57, 0), (COLUMNS($DU46:DX46)-1)*5 + 1) = INDEX($E$5:$CE$5, 1, (COLUMNS($DU46:DX46)-1)*5 + 1), INDEX($E$8:$CE$57, MATCH($C46, $C$8:$C$57, 0), (COLUMNS($DU46:DX46)-1)*5 + 4) = "SF"), INDEX($CZ$8:$CZ$23, COLUMNS($DU46:DX46)), "0"), "")</f>
        <v>0</v>
      </c>
      <c r="DY46" s="390" t="str">
        <f t="array" ref="DY46">IFERROR(IF(AND(INDEX($E$8:$CE$57, MATCH($C46, $C$8:$C$57, 0), (COLUMNS($DU46:DY46)-1)*5 + 1) = INDEX($E$5:$CE$5, 1, (COLUMNS($DU46:DY46)-1)*5 + 1), INDEX($E$8:$CE$57, MATCH($C46, $C$8:$C$57, 0), (COLUMNS($DU46:DY46)-1)*5 + 4) = "SF"), INDEX($CZ$8:$CZ$23, COLUMNS($DU46:DY46)), "0"), "")</f>
        <v>0</v>
      </c>
      <c r="DZ46" s="390" t="str">
        <f t="array" ref="DZ46">IFERROR(IF(AND(INDEX($E$8:$CE$57, MATCH($C46, $C$8:$C$57, 0), (COLUMNS($DU46:DZ46)-1)*5 + 1) = INDEX($E$5:$CE$5, 1, (COLUMNS($DU46:DZ46)-1)*5 + 1), INDEX($E$8:$CE$57, MATCH($C46, $C$8:$C$57, 0), (COLUMNS($DU46:DZ46)-1)*5 + 4) = "SF"), INDEX($CZ$8:$CZ$23, COLUMNS($DU46:DZ46)), "0"), "")</f>
        <v>0</v>
      </c>
      <c r="EA46" s="390" t="str">
        <f t="array" ref="EA46">IFERROR(IF(AND(INDEX($E$8:$CE$57, MATCH($C46, $C$8:$C$57, 0), (COLUMNS($DU46:EA46)-1)*5 + 1) = INDEX($E$5:$CE$5, 1, (COLUMNS($DU46:EA46)-1)*5 + 1), INDEX($E$8:$CE$57, MATCH($C46, $C$8:$C$57, 0), (COLUMNS($DU46:EA46)-1)*5 + 4) = "SF"), INDEX($CZ$8:$CZ$23, COLUMNS($DU46:EA46)), "0"), "")</f>
        <v>0</v>
      </c>
      <c r="EB46" s="390" t="str">
        <f t="array" ref="EB46">IFERROR(IF(AND(INDEX($E$8:$CE$57, MATCH($C46, $C$8:$C$57, 0), (COLUMNS($DU46:EB46)-1)*5 + 1) = INDEX($E$5:$CE$5, 1, (COLUMNS($DU46:EB46)-1)*5 + 1), INDEX($E$8:$CE$57, MATCH($C46, $C$8:$C$57, 0), (COLUMNS($DU46:EB46)-1)*5 + 4) = "SF"), INDEX($CZ$8:$CZ$23, COLUMNS($DU46:EB46)), "0"), "")</f>
        <v>0</v>
      </c>
      <c r="EC46" s="390" t="str">
        <f t="array" ref="EC46">IFERROR(IF(AND(INDEX($E$8:$CE$57, MATCH($C46, $C$8:$C$57, 0), (COLUMNS($DU46:EC46)-1)*5 + 1) = INDEX($E$5:$CE$5, 1, (COLUMNS($DU46:EC46)-1)*5 + 1), INDEX($E$8:$CE$57, MATCH($C46, $C$8:$C$57, 0), (COLUMNS($DU46:EC46)-1)*5 + 4) = "SF"), INDEX($CZ$8:$CZ$23, COLUMNS($DU46:EC46)), "0"), "")</f>
        <v>0</v>
      </c>
      <c r="ED46" s="390" t="str">
        <f t="array" ref="ED46">IFERROR(IF(AND(INDEX($E$8:$CE$57, MATCH($C46, $C$8:$C$57, 0), (COLUMNS($DU46:ED46)-1)*5 + 1) = INDEX($E$5:$CE$5, 1, (COLUMNS($DU46:ED46)-1)*5 + 1), INDEX($E$8:$CE$57, MATCH($C46, $C$8:$C$57, 0), (COLUMNS($DU46:ED46)-1)*5 + 4) = "SF"), INDEX($CZ$8:$CZ$23, COLUMNS($DU46:ED46)), "0"), "")</f>
        <v>0</v>
      </c>
      <c r="EE46" s="390" t="str">
        <f t="array" ref="EE46">IFERROR(IF(AND(INDEX($E$8:$CE$57, MATCH($C46, $C$8:$C$57, 0), (COLUMNS($DU46:EE46)-1)*5 + 1) = INDEX($E$5:$CE$5, 1, (COLUMNS($DU46:EE46)-1)*5 + 1), INDEX($E$8:$CE$57, MATCH($C46, $C$8:$C$57, 0), (COLUMNS($DU46:EE46)-1)*5 + 4) = "SF"), INDEX($CZ$8:$CZ$23, COLUMNS($DU46:EE46)), "0"), "")</f>
        <v>0</v>
      </c>
      <c r="EF46" s="390" t="str">
        <f t="array" ref="EF46">IFERROR(IF(AND(INDEX($E$8:$CE$57, MATCH($C46, $C$8:$C$57, 0), (COLUMNS($DU46:EF46)-1)*5 + 1) = INDEX($E$5:$CE$5, 1, (COLUMNS($DU46:EF46)-1)*5 + 1), INDEX($E$8:$CE$57, MATCH($C46, $C$8:$C$57, 0), (COLUMNS($DU46:EF46)-1)*5 + 4) = "SF"), INDEX($CZ$8:$CZ$23, COLUMNS($DU46:EF46)), "0"), "")</f>
        <v>0</v>
      </c>
      <c r="EG46" s="390" t="str">
        <f t="array" ref="EG46">IFERROR(IF(AND(INDEX($E$8:$CE$57, MATCH($C46, $C$8:$C$57, 0), (COLUMNS($DU46:EG46)-1)*5 + 1) = INDEX($E$5:$CE$5, 1, (COLUMNS($DU46:EG46)-1)*5 + 1), INDEX($E$8:$CE$57, MATCH($C46, $C$8:$C$57, 0), (COLUMNS($DU46:EG46)-1)*5 + 4) = "SF"), INDEX($CZ$8:$CZ$23, COLUMNS($DU46:EG46)), "0"), "")</f>
        <v>0</v>
      </c>
      <c r="EH46" s="390" t="str">
        <f t="array" ref="EH46">IFERROR(IF(AND(INDEX($E$8:$CE$57, MATCH($C46, $C$8:$C$57, 0), (COLUMNS($DU46:EH46)-1)*5 + 1) = INDEX($E$5:$CE$5, 1, (COLUMNS($DU46:EH46)-1)*5 + 1), INDEX($E$8:$CE$57, MATCH($C46, $C$8:$C$57, 0), (COLUMNS($DU46:EH46)-1)*5 + 4) = "SF"), INDEX($CZ$8:$CZ$23, COLUMNS($DU46:EH46)), "0"), "")</f>
        <v>0</v>
      </c>
      <c r="EI46" s="390" t="str">
        <f t="array" ref="EI46">IFERROR(IF(AND(INDEX($E$8:$CE$57, MATCH($C46, $C$8:$C$57, 0), (COLUMNS($DU46:EI46)-1)*5 + 1) = INDEX($E$5:$CE$5, 1, (COLUMNS($DU46:EI46)-1)*5 + 1), INDEX($E$8:$CE$57, MATCH($C46, $C$8:$C$57, 0), (COLUMNS($DU46:EI46)-1)*5 + 4) = "SF"), INDEX($CZ$8:$CZ$23, COLUMNS($DU46:EI46)), "0"), "")</f>
        <v>0</v>
      </c>
      <c r="EJ46" s="390" t="str">
        <f t="array" ref="EJ46">IFERROR(IF(AND(INDEX($E$8:$CE$57, MATCH($C46, $C$8:$C$57, 0), (COLUMNS($DU46:EJ46)-1)*5 + 1) = INDEX($E$5:$CE$5, 1, (COLUMNS($DU46:EJ46)-1)*5 + 1), INDEX($E$8:$CE$57, MATCH($C46, $C$8:$C$57, 0), (COLUMNS($DU46:EJ46)-1)*5 + 4) = "SF"), INDEX($CZ$8:$CZ$23, COLUMNS($DU46:EJ46)), "0"), "")</f>
        <v>0</v>
      </c>
    </row>
    <row r="47" spans="1:140" ht="20.100000000000001" customHeight="1" x14ac:dyDescent="0.35">
      <c r="A47" s="515"/>
      <c r="B47" s="444">
        <f>IF(SEMANA29[[#This Row],[COD]]&lt;&gt;"",B46+1,"")</f>
        <v>40</v>
      </c>
      <c r="C47" s="554" t="s">
        <v>109</v>
      </c>
      <c r="D47" s="410" t="str">
        <f t="array" ref="D47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PREMIO</v>
      </c>
      <c r="E47" s="411"/>
      <c r="F47" s="413"/>
      <c r="G47" s="413"/>
      <c r="H47" s="413"/>
      <c r="I47" s="534">
        <f t="shared" si="18"/>
        <v>0</v>
      </c>
      <c r="J47" s="411"/>
      <c r="K47" s="413"/>
      <c r="L47" s="413"/>
      <c r="M47" s="413"/>
      <c r="N47" s="534">
        <f t="shared" si="19"/>
        <v>0</v>
      </c>
      <c r="O47" s="411"/>
      <c r="P47" s="413"/>
      <c r="Q47" s="413"/>
      <c r="R47" s="413"/>
      <c r="S47" s="534">
        <f t="shared" si="20"/>
        <v>0</v>
      </c>
      <c r="T47" s="411"/>
      <c r="U47" s="413"/>
      <c r="V47" s="413"/>
      <c r="W47" s="413"/>
      <c r="X47" s="534">
        <f t="shared" si="21"/>
        <v>0</v>
      </c>
      <c r="Y47" s="411"/>
      <c r="Z47" s="413"/>
      <c r="AA47" s="413"/>
      <c r="AB47" s="413"/>
      <c r="AC47" s="534">
        <f t="shared" si="22"/>
        <v>0</v>
      </c>
      <c r="AD47" s="411"/>
      <c r="AE47" s="413"/>
      <c r="AF47" s="413"/>
      <c r="AG47" s="413"/>
      <c r="AH47" s="534">
        <f t="shared" si="23"/>
        <v>0</v>
      </c>
      <c r="AI47" s="411"/>
      <c r="AJ47" s="413"/>
      <c r="AK47" s="413"/>
      <c r="AL47" s="413"/>
      <c r="AM47" s="534">
        <f t="shared" si="24"/>
        <v>0</v>
      </c>
      <c r="AN47" s="411"/>
      <c r="AO47" s="413"/>
      <c r="AP47" s="413"/>
      <c r="AQ47" s="413"/>
      <c r="AR47" s="534">
        <f t="shared" si="25"/>
        <v>0</v>
      </c>
      <c r="AS47" s="411"/>
      <c r="AT47" s="413"/>
      <c r="AU47" s="413"/>
      <c r="AV47" s="413"/>
      <c r="AW47" s="534">
        <f t="shared" si="26"/>
        <v>0</v>
      </c>
      <c r="AX47" s="411"/>
      <c r="AY47" s="413"/>
      <c r="AZ47" s="413"/>
      <c r="BA47" s="413"/>
      <c r="BB47" s="534">
        <f t="shared" si="27"/>
        <v>0</v>
      </c>
      <c r="BC47" s="411"/>
      <c r="BD47" s="413"/>
      <c r="BE47" s="413"/>
      <c r="BF47" s="413"/>
      <c r="BG47" s="534">
        <f t="shared" si="28"/>
        <v>0</v>
      </c>
      <c r="BH47" s="411"/>
      <c r="BI47" s="413"/>
      <c r="BJ47" s="413"/>
      <c r="BK47" s="413"/>
      <c r="BL47" s="534">
        <f t="shared" si="29"/>
        <v>0</v>
      </c>
      <c r="BM47" s="411"/>
      <c r="BN47" s="413"/>
      <c r="BO47" s="413"/>
      <c r="BP47" s="413"/>
      <c r="BQ47" s="534">
        <f t="shared" si="30"/>
        <v>0</v>
      </c>
      <c r="BR47" s="411"/>
      <c r="BS47" s="413"/>
      <c r="BT47" s="413"/>
      <c r="BU47" s="413"/>
      <c r="BV47" s="534">
        <f t="shared" si="31"/>
        <v>0</v>
      </c>
      <c r="BW47" s="411"/>
      <c r="BX47" s="413"/>
      <c r="BY47" s="413"/>
      <c r="BZ47" s="413"/>
      <c r="CA47" s="534">
        <f t="shared" si="32"/>
        <v>0</v>
      </c>
      <c r="CB47" s="411"/>
      <c r="CC47" s="413"/>
      <c r="CD47" s="413"/>
      <c r="CE47" s="413"/>
      <c r="CF47" s="534">
        <f t="shared" si="33"/>
        <v>0</v>
      </c>
      <c r="CG47" s="162">
        <f>IF(SEMANA29[[#This Row],[1]]="",0,$B$4)</f>
        <v>0</v>
      </c>
      <c r="CH47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47" s="164">
        <f>IF(SEMANA29[[#This Row],[Columna14]]=0,0,(CH47/CG47))</f>
        <v>0</v>
      </c>
      <c r="CJ47" s="163">
        <f>IF(SEMANA29[[#This Row],[1]]="",0,$B$4)</f>
        <v>0</v>
      </c>
      <c r="CK47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47" s="164">
        <f>IF(SEMANA29[[#This Row],[Columna14]]=0,0,(CK47/CJ47))</f>
        <v>0</v>
      </c>
      <c r="CM47" s="162">
        <f>IF(SEMANA29[[#This Row],[1]]="",0,$B$4)</f>
        <v>0</v>
      </c>
      <c r="CN47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47" s="164">
        <f>IF(SEMANA29[[#This Row],[Columna14]]=0,0,(CN47/CM47))</f>
        <v>0</v>
      </c>
      <c r="CP47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47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Row],[Columna25]],$AX$5,BA47,"SF")+COUNTIFS(SEMANA29[[#This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47" s="164">
        <f>IFERROR(IF(SEMANA29[[#This Row],[Columna14]]=0,0,(CQ47/CP47)),0)</f>
        <v>0</v>
      </c>
      <c r="CS47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47" s="93">
        <f>_xlfn.XLOOKUP(SEMANA29[[#This Row],[COD]],SEMANA2[COD],SEMANA2[Columna33])</f>
        <v>0</v>
      </c>
      <c r="CU47" s="536">
        <f t="shared" si="34"/>
        <v>0</v>
      </c>
      <c r="CV47" s="445">
        <f>IF(SEMANA29[[#This Row],[TIPO]]="PREMIO",$O$3,"0,00")</f>
        <v>1000</v>
      </c>
      <c r="CW47" s="515"/>
      <c r="CY47" s="387" t="str">
        <f t="shared" si="17"/>
        <v/>
      </c>
      <c r="CZ47" s="387"/>
      <c r="DA47" s="387" t="str">
        <f t="array" ref="DA47">IF(CZ47="", "", IF((INDEX(E$8:CE$57, MATCH(CZ47, C$8:C$57, 0), ($CZ$25-1)*5 + 1) &amp; "") = (INDEX(E$5:CE$5, 1, ($CZ$25-1)*5 + 1) &amp; ""), 1, IF((INDEX(E$8:CE$57, MATCH(CZ47, C$8:C$57, 0), ($CZ$25-1)*5 + 2) &amp; "") = (INDEX(E$5:CE$5, 1, ($CZ$25-1)*5 + 1) &amp; ""), 2, IF((INDEX(E$8:CE$57, MATCH(CZ47, C$8:C$57, 0), ($CZ$25-1)*5 + 3) &amp; "") = (INDEX(E$5:CE$5, 1, ($CZ$25-1)*5 + 1) &amp; ""), 3, ""))))</f>
        <v/>
      </c>
      <c r="DB47" s="537" t="str">
        <f>SEMANA29[[#This Row],[COD]]</f>
        <v>COD 40</v>
      </c>
      <c r="DC47" s="390" t="str">
        <f t="array" ref="DC47">IFERROR(IF(AND(INDEX($E$8:$CE$57, MATCH($C47, $C$8:$C$57, 0), (COLUMNS($DC47:DC47)-1)*5 + 1) = INDEX($E$5:$CE$5, 1, (COLUMNS($DC47:DC47)-1)*5 + 1), INDEX($E$8:$CE$57, MATCH($C47, $C$8:$C$57, 0), (COLUMNS($DC47:DC47)-1)*5 + 4) = "F"), INDEX($CZ$8:$CZ$23, COLUMNS($DC47:DC47)), "0"), "")</f>
        <v>0</v>
      </c>
      <c r="DD47" s="390" t="str">
        <f t="array" ref="DD47">IFERROR(IF(AND(INDEX($E$8:$CE$57, MATCH($C47, $C$8:$C$57, 0), (COLUMNS($DC47:DD47)-1)*5 + 1) = INDEX($E$5:$CE$5, 1, (COLUMNS($DC47:DD47)-1)*5 + 1), INDEX($E$8:$CE$57, MATCH($C47, $C$8:$C$57, 0), (COLUMNS($DC47:DD47)-1)*5 + 4) = "F"), INDEX($CZ$8:$CZ$23, COLUMNS($DC47:DD47)), "0"), "")</f>
        <v>0</v>
      </c>
      <c r="DE47" s="390" t="str">
        <f t="array" ref="DE47">IFERROR(IF(AND(INDEX($E$8:$CE$57, MATCH($C47, $C$8:$C$57, 0), (COLUMNS($DC47:DE47)-1)*5 + 1) = INDEX($E$5:$CE$5, 1, (COLUMNS($DC47:DE47)-1)*5 + 1), INDEX($E$8:$CE$57, MATCH($C47, $C$8:$C$57, 0), (COLUMNS($DC47:DE47)-1)*5 + 4) = "F"), INDEX($CZ$8:$CZ$23, COLUMNS($DC47:DE47)), "0"), "")</f>
        <v>0</v>
      </c>
      <c r="DF47" s="390" t="str">
        <f t="array" ref="DF47">IFERROR(IF(AND(INDEX($E$8:$CE$57, MATCH($C47, $C$8:$C$57, 0), (COLUMNS($DC47:DF47)-1)*5 + 1) = INDEX($E$5:$CE$5, 1, (COLUMNS($DC47:DF47)-1)*5 + 1), INDEX($E$8:$CE$57, MATCH($C47, $C$8:$C$57, 0), (COLUMNS($DC47:DF47)-1)*5 + 4) = "F"), INDEX($CZ$8:$CZ$23, COLUMNS($DC47:DF47)), "0"), "")</f>
        <v>0</v>
      </c>
      <c r="DG47" s="390" t="str">
        <f t="array" ref="DG47">IFERROR(IF(AND(INDEX($E$8:$CE$57, MATCH($C47, $C$8:$C$57, 0), (COLUMNS($DC47:DG47)-1)*5 + 1) = INDEX($E$5:$CE$5, 1, (COLUMNS($DC47:DG47)-1)*5 + 1), INDEX($E$8:$CE$57, MATCH($C47, $C$8:$C$57, 0), (COLUMNS($DC47:DG47)-1)*5 + 4) = "F"), INDEX($CZ$8:$CZ$23, COLUMNS($DC47:DG47)), "0"), "")</f>
        <v>0</v>
      </c>
      <c r="DH47" s="390" t="str">
        <f t="array" ref="DH47">IFERROR(IF(AND(INDEX($E$8:$CE$57, MATCH($C47, $C$8:$C$57, 0), (COLUMNS($DC47:DH47)-1)*5 + 1) = INDEX($E$5:$CE$5, 1, (COLUMNS($DC47:DH47)-1)*5 + 1), INDEX($E$8:$CE$57, MATCH($C47, $C$8:$C$57, 0), (COLUMNS($DC47:DH47)-1)*5 + 4) = "F"), INDEX($CZ$8:$CZ$23, COLUMNS($DC47:DH47)), "0"), "")</f>
        <v>0</v>
      </c>
      <c r="DI47" s="390" t="str">
        <f t="array" ref="DI47">IFERROR(IF(AND(INDEX($E$8:$CE$57, MATCH($C47, $C$8:$C$57, 0), (COLUMNS($DC47:DI47)-1)*5 + 1) = INDEX($E$5:$CE$5, 1, (COLUMNS($DC47:DI47)-1)*5 + 1), INDEX($E$8:$CE$57, MATCH($C47, $C$8:$C$57, 0), (COLUMNS($DC47:DI47)-1)*5 + 4) = "F"), INDEX($CZ$8:$CZ$23, COLUMNS($DC47:DI47)), "0"), "")</f>
        <v>0</v>
      </c>
      <c r="DJ47" s="390" t="str">
        <f t="array" ref="DJ47">IFERROR(IF(AND(INDEX($E$8:$CE$57, MATCH($C47, $C$8:$C$57, 0), (COLUMNS($DC47:DJ47)-1)*5 + 1) = INDEX($E$5:$CE$5, 1, (COLUMNS($DC47:DJ47)-1)*5 + 1), INDEX($E$8:$CE$57, MATCH($C47, $C$8:$C$57, 0), (COLUMNS($DC47:DJ47)-1)*5 + 4) = "F"), INDEX($CZ$8:$CZ$23, COLUMNS($DC47:DJ47)), "0"), "")</f>
        <v>0</v>
      </c>
      <c r="DK47" s="390" t="str">
        <f t="array" ref="DK47">IFERROR(IF(AND(INDEX($E$8:$CE$57, MATCH($C47, $C$8:$C$57, 0), (COLUMNS($DC47:DK47)-1)*5 + 1) = INDEX($E$5:$CE$5, 1, (COLUMNS($DC47:DK47)-1)*5 + 1), INDEX($E$8:$CE$57, MATCH($C47, $C$8:$C$57, 0), (COLUMNS($DC47:DK47)-1)*5 + 4) = "F"), INDEX($CZ$8:$CZ$23, COLUMNS($DC47:DK47)), "0"), "")</f>
        <v>0</v>
      </c>
      <c r="DL47" s="390" t="str">
        <f t="array" ref="DL47">IFERROR(IF(AND(INDEX($E$8:$CE$57, MATCH($C47, $C$8:$C$57, 0), (COLUMNS($DC47:DL47)-1)*5 + 1) = INDEX($E$5:$CE$5, 1, (COLUMNS($DC47:DL47)-1)*5 + 1), INDEX($E$8:$CE$57, MATCH($C47, $C$8:$C$57, 0), (COLUMNS($DC47:DL47)-1)*5 + 4) = "F"), INDEX($CZ$8:$CZ$23, COLUMNS($DC47:DL47)), "0"), "")</f>
        <v>0</v>
      </c>
      <c r="DM47" s="390" t="str">
        <f t="array" ref="DM47">IFERROR(IF(AND(INDEX($E$8:$CE$57, MATCH($C47, $C$8:$C$57, 0), (COLUMNS($DC47:DM47)-1)*5 + 1) = INDEX($E$5:$CE$5, 1, (COLUMNS($DC47:DM47)-1)*5 + 1), INDEX($E$8:$CE$57, MATCH($C47, $C$8:$C$57, 0), (COLUMNS($DC47:DM47)-1)*5 + 4) = "F"), INDEX($CZ$8:$CZ$23, COLUMNS($DC47:DM47)), "0"), "")</f>
        <v>0</v>
      </c>
      <c r="DN47" s="390" t="str">
        <f t="array" ref="DN47">IFERROR(IF(AND(INDEX($E$8:$CE$57, MATCH($C47, $C$8:$C$57, 0), (COLUMNS($DC47:DN47)-1)*5 + 1) = INDEX($E$5:$CE$5, 1, (COLUMNS($DC47:DN47)-1)*5 + 1), INDEX($E$8:$CE$57, MATCH($C47, $C$8:$C$57, 0), (COLUMNS($DC47:DN47)-1)*5 + 4) = "F"), INDEX($CZ$8:$CZ$23, COLUMNS($DC47:DN47)), "0"), "")</f>
        <v>0</v>
      </c>
      <c r="DO47" s="390" t="str">
        <f t="array" ref="DO47">IFERROR(IF(AND(INDEX($E$8:$CE$57, MATCH($C47, $C$8:$C$57, 0), (COLUMNS($DC47:DO47)-1)*5 + 1) = INDEX($E$5:$CE$5, 1, (COLUMNS($DC47:DO47)-1)*5 + 1), INDEX($E$8:$CE$57, MATCH($C47, $C$8:$C$57, 0), (COLUMNS($DC47:DO47)-1)*5 + 4) = "F"), INDEX($CZ$8:$CZ$23, COLUMNS($DC47:DO47)), "0"), "")</f>
        <v>0</v>
      </c>
      <c r="DP47" s="390" t="str">
        <f t="array" ref="DP47">IFERROR(IF(AND(INDEX($E$8:$CE$57, MATCH($C47, $C$8:$C$57, 0), (COLUMNS($DC47:DP47)-1)*5 + 1) = INDEX($E$5:$CE$5, 1, (COLUMNS($DC47:DP47)-1)*5 + 1), INDEX($E$8:$CE$57, MATCH($C47, $C$8:$C$57, 0), (COLUMNS($DC47:DP47)-1)*5 + 4) = "F"), INDEX($CZ$8:$CZ$23, COLUMNS($DC47:DP47)), "0"), "")</f>
        <v>0</v>
      </c>
      <c r="DQ47" s="390" t="str">
        <f t="array" ref="DQ47">IFERROR(IF(AND(INDEX($E$8:$CE$57, MATCH($C47, $C$8:$C$57, 0), (COLUMNS($DC47:DQ47)-1)*5 + 1) = INDEX($E$5:$CE$5, 1, (COLUMNS($DC47:DQ47)-1)*5 + 1), INDEX($E$8:$CE$57, MATCH($C47, $C$8:$C$57, 0), (COLUMNS($DC47:DQ47)-1)*5 + 4) = "F"), INDEX($CZ$8:$CZ$23, COLUMNS($DC47:DQ47)), "0"), "")</f>
        <v>0</v>
      </c>
      <c r="DR47" s="390" t="str">
        <f t="array" ref="DR47">IFERROR(IF(AND(INDEX($E$8:$CE$57, MATCH($C47, $C$8:$C$57, 0), (COLUMNS($DC47:DR47)-1)*5 + 1) = INDEX($E$5:$CE$5, 1, (COLUMNS($DC47:DR47)-1)*5 + 1), INDEX($E$8:$CE$57, MATCH($C47, $C$8:$C$57, 0), (COLUMNS($DC47:DR47)-1)*5 + 4) = "F"), INDEX($CZ$8:$CZ$23, COLUMNS($DC47:DR47)), "0"), "")</f>
        <v>0</v>
      </c>
      <c r="DT47" s="537" t="str">
        <f>SEMANA29[[#This Row],[COD]]</f>
        <v>COD 40</v>
      </c>
      <c r="DU47" s="390" t="str">
        <f t="array" ref="DU47">IFERROR(IF(AND(INDEX($E$8:$CE$57, MATCH($C47, $C$8:$C$57, 0), (COLUMNS($DU47:DU47)-1)*5 + 1) = INDEX($E$5:$CE$5, 1, (COLUMNS($DU47:DU47)-1)*5 + 1), INDEX($E$8:$CE$57, MATCH($C47, $C$8:$C$57, 0), (COLUMNS($DU47:DU47)-1)*5 + 4) = "SF"), INDEX($CZ$8:$CZ$23, COLUMNS($DU47:DU47)), "0"), "")</f>
        <v>0</v>
      </c>
      <c r="DV47" s="390" t="str">
        <f t="array" ref="DV47">IFERROR(IF(AND(INDEX($E$8:$CE$57, MATCH($C47, $C$8:$C$57, 0), (COLUMNS($DU47:DV47)-1)*5 + 1) = INDEX($E$5:$CE$5, 1, (COLUMNS($DU47:DV47)-1)*5 + 1), INDEX($E$8:$CE$57, MATCH($C47, $C$8:$C$57, 0), (COLUMNS($DU47:DV47)-1)*5 + 4) = "SF"), INDEX($CZ$8:$CZ$23, COLUMNS($DU47:DV47)), "0"), "")</f>
        <v>0</v>
      </c>
      <c r="DW47" s="390" t="str">
        <f t="array" ref="DW47">IFERROR(IF(AND(INDEX($E$8:$CE$57, MATCH($C47, $C$8:$C$57, 0), (COLUMNS($DU47:DW47)-1)*5 + 1) = INDEX($E$5:$CE$5, 1, (COLUMNS($DU47:DW47)-1)*5 + 1), INDEX($E$8:$CE$57, MATCH($C47, $C$8:$C$57, 0), (COLUMNS($DU47:DW47)-1)*5 + 4) = "SF"), INDEX($CZ$8:$CZ$23, COLUMNS($DU47:DW47)), "0"), "")</f>
        <v>0</v>
      </c>
      <c r="DX47" s="390" t="str">
        <f t="array" ref="DX47">IFERROR(IF(AND(INDEX($E$8:$CE$57, MATCH($C47, $C$8:$C$57, 0), (COLUMNS($DU47:DX47)-1)*5 + 1) = INDEX($E$5:$CE$5, 1, (COLUMNS($DU47:DX47)-1)*5 + 1), INDEX($E$8:$CE$57, MATCH($C47, $C$8:$C$57, 0), (COLUMNS($DU47:DX47)-1)*5 + 4) = "SF"), INDEX($CZ$8:$CZ$23, COLUMNS($DU47:DX47)), "0"), "")</f>
        <v>0</v>
      </c>
      <c r="DY47" s="390" t="str">
        <f t="array" ref="DY47">IFERROR(IF(AND(INDEX($E$8:$CE$57, MATCH($C47, $C$8:$C$57, 0), (COLUMNS($DU47:DY47)-1)*5 + 1) = INDEX($E$5:$CE$5, 1, (COLUMNS($DU47:DY47)-1)*5 + 1), INDEX($E$8:$CE$57, MATCH($C47, $C$8:$C$57, 0), (COLUMNS($DU47:DY47)-1)*5 + 4) = "SF"), INDEX($CZ$8:$CZ$23, COLUMNS($DU47:DY47)), "0"), "")</f>
        <v>0</v>
      </c>
      <c r="DZ47" s="390" t="str">
        <f t="array" ref="DZ47">IFERROR(IF(AND(INDEX($E$8:$CE$57, MATCH($C47, $C$8:$C$57, 0), (COLUMNS($DU47:DZ47)-1)*5 + 1) = INDEX($E$5:$CE$5, 1, (COLUMNS($DU47:DZ47)-1)*5 + 1), INDEX($E$8:$CE$57, MATCH($C47, $C$8:$C$57, 0), (COLUMNS($DU47:DZ47)-1)*5 + 4) = "SF"), INDEX($CZ$8:$CZ$23, COLUMNS($DU47:DZ47)), "0"), "")</f>
        <v>0</v>
      </c>
      <c r="EA47" s="390" t="str">
        <f t="array" ref="EA47">IFERROR(IF(AND(INDEX($E$8:$CE$57, MATCH($C47, $C$8:$C$57, 0), (COLUMNS($DU47:EA47)-1)*5 + 1) = INDEX($E$5:$CE$5, 1, (COLUMNS($DU47:EA47)-1)*5 + 1), INDEX($E$8:$CE$57, MATCH($C47, $C$8:$C$57, 0), (COLUMNS($DU47:EA47)-1)*5 + 4) = "SF"), INDEX($CZ$8:$CZ$23, COLUMNS($DU47:EA47)), "0"), "")</f>
        <v>0</v>
      </c>
      <c r="EB47" s="390" t="str">
        <f t="array" ref="EB47">IFERROR(IF(AND(INDEX($E$8:$CE$57, MATCH($C47, $C$8:$C$57, 0), (COLUMNS($DU47:EB47)-1)*5 + 1) = INDEX($E$5:$CE$5, 1, (COLUMNS($DU47:EB47)-1)*5 + 1), INDEX($E$8:$CE$57, MATCH($C47, $C$8:$C$57, 0), (COLUMNS($DU47:EB47)-1)*5 + 4) = "SF"), INDEX($CZ$8:$CZ$23, COLUMNS($DU47:EB47)), "0"), "")</f>
        <v>0</v>
      </c>
      <c r="EC47" s="390" t="str">
        <f t="array" ref="EC47">IFERROR(IF(AND(INDEX($E$8:$CE$57, MATCH($C47, $C$8:$C$57, 0), (COLUMNS($DU47:EC47)-1)*5 + 1) = INDEX($E$5:$CE$5, 1, (COLUMNS($DU47:EC47)-1)*5 + 1), INDEX($E$8:$CE$57, MATCH($C47, $C$8:$C$57, 0), (COLUMNS($DU47:EC47)-1)*5 + 4) = "SF"), INDEX($CZ$8:$CZ$23, COLUMNS($DU47:EC47)), "0"), "")</f>
        <v>0</v>
      </c>
      <c r="ED47" s="390" t="str">
        <f t="array" ref="ED47">IFERROR(IF(AND(INDEX($E$8:$CE$57, MATCH($C47, $C$8:$C$57, 0), (COLUMNS($DU47:ED47)-1)*5 + 1) = INDEX($E$5:$CE$5, 1, (COLUMNS($DU47:ED47)-1)*5 + 1), INDEX($E$8:$CE$57, MATCH($C47, $C$8:$C$57, 0), (COLUMNS($DU47:ED47)-1)*5 + 4) = "SF"), INDEX($CZ$8:$CZ$23, COLUMNS($DU47:ED47)), "0"), "")</f>
        <v>0</v>
      </c>
      <c r="EE47" s="390" t="str">
        <f t="array" ref="EE47">IFERROR(IF(AND(INDEX($E$8:$CE$57, MATCH($C47, $C$8:$C$57, 0), (COLUMNS($DU47:EE47)-1)*5 + 1) = INDEX($E$5:$CE$5, 1, (COLUMNS($DU47:EE47)-1)*5 + 1), INDEX($E$8:$CE$57, MATCH($C47, $C$8:$C$57, 0), (COLUMNS($DU47:EE47)-1)*5 + 4) = "SF"), INDEX($CZ$8:$CZ$23, COLUMNS($DU47:EE47)), "0"), "")</f>
        <v>0</v>
      </c>
      <c r="EF47" s="390" t="str">
        <f t="array" ref="EF47">IFERROR(IF(AND(INDEX($E$8:$CE$57, MATCH($C47, $C$8:$C$57, 0), (COLUMNS($DU47:EF47)-1)*5 + 1) = INDEX($E$5:$CE$5, 1, (COLUMNS($DU47:EF47)-1)*5 + 1), INDEX($E$8:$CE$57, MATCH($C47, $C$8:$C$57, 0), (COLUMNS($DU47:EF47)-1)*5 + 4) = "SF"), INDEX($CZ$8:$CZ$23, COLUMNS($DU47:EF47)), "0"), "")</f>
        <v>0</v>
      </c>
      <c r="EG47" s="390" t="str">
        <f t="array" ref="EG47">IFERROR(IF(AND(INDEX($E$8:$CE$57, MATCH($C47, $C$8:$C$57, 0), (COLUMNS($DU47:EG47)-1)*5 + 1) = INDEX($E$5:$CE$5, 1, (COLUMNS($DU47:EG47)-1)*5 + 1), INDEX($E$8:$CE$57, MATCH($C47, $C$8:$C$57, 0), (COLUMNS($DU47:EG47)-1)*5 + 4) = "SF"), INDEX($CZ$8:$CZ$23, COLUMNS($DU47:EG47)), "0"), "")</f>
        <v>0</v>
      </c>
      <c r="EH47" s="390" t="str">
        <f t="array" ref="EH47">IFERROR(IF(AND(INDEX($E$8:$CE$57, MATCH($C47, $C$8:$C$57, 0), (COLUMNS($DU47:EH47)-1)*5 + 1) = INDEX($E$5:$CE$5, 1, (COLUMNS($DU47:EH47)-1)*5 + 1), INDEX($E$8:$CE$57, MATCH($C47, $C$8:$C$57, 0), (COLUMNS($DU47:EH47)-1)*5 + 4) = "SF"), INDEX($CZ$8:$CZ$23, COLUMNS($DU47:EH47)), "0"), "")</f>
        <v>0</v>
      </c>
      <c r="EI47" s="390" t="str">
        <f t="array" ref="EI47">IFERROR(IF(AND(INDEX($E$8:$CE$57, MATCH($C47, $C$8:$C$57, 0), (COLUMNS($DU47:EI47)-1)*5 + 1) = INDEX($E$5:$CE$5, 1, (COLUMNS($DU47:EI47)-1)*5 + 1), INDEX($E$8:$CE$57, MATCH($C47, $C$8:$C$57, 0), (COLUMNS($DU47:EI47)-1)*5 + 4) = "SF"), INDEX($CZ$8:$CZ$23, COLUMNS($DU47:EI47)), "0"), "")</f>
        <v>0</v>
      </c>
      <c r="EJ47" s="390" t="str">
        <f t="array" ref="EJ47">IFERROR(IF(AND(INDEX($E$8:$CE$57, MATCH($C47, $C$8:$C$57, 0), (COLUMNS($DU47:EJ47)-1)*5 + 1) = INDEX($E$5:$CE$5, 1, (COLUMNS($DU47:EJ47)-1)*5 + 1), INDEX($E$8:$CE$57, MATCH($C47, $C$8:$C$57, 0), (COLUMNS($DU47:EJ47)-1)*5 + 4) = "SF"), INDEX($CZ$8:$CZ$23, COLUMNS($DU47:EJ47)), "0"), "")</f>
        <v>0</v>
      </c>
    </row>
    <row r="48" spans="1:140" ht="20.100000000000001" customHeight="1" x14ac:dyDescent="0.35">
      <c r="A48" s="515"/>
      <c r="B48" s="444">
        <f>IF(SEMANA29[[#This Row],[COD]]&lt;&gt;"",B47+1,"")</f>
        <v>41</v>
      </c>
      <c r="C48" s="554" t="s">
        <v>111</v>
      </c>
      <c r="D48" s="410" t="str">
        <f t="array" ref="D48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MEETING</v>
      </c>
      <c r="E48" s="411"/>
      <c r="F48" s="413"/>
      <c r="G48" s="413"/>
      <c r="H48" s="413"/>
      <c r="I48" s="534">
        <f t="shared" si="18"/>
        <v>0</v>
      </c>
      <c r="J48" s="411"/>
      <c r="K48" s="413"/>
      <c r="L48" s="413"/>
      <c r="M48" s="413"/>
      <c r="N48" s="534">
        <f t="shared" si="19"/>
        <v>0</v>
      </c>
      <c r="O48" s="411"/>
      <c r="P48" s="413"/>
      <c r="Q48" s="413"/>
      <c r="R48" s="413"/>
      <c r="S48" s="534">
        <f t="shared" si="20"/>
        <v>0</v>
      </c>
      <c r="T48" s="411"/>
      <c r="U48" s="413"/>
      <c r="V48" s="413"/>
      <c r="W48" s="413"/>
      <c r="X48" s="534">
        <f t="shared" si="21"/>
        <v>0</v>
      </c>
      <c r="Y48" s="411"/>
      <c r="Z48" s="413"/>
      <c r="AA48" s="413"/>
      <c r="AB48" s="413"/>
      <c r="AC48" s="534">
        <f t="shared" si="22"/>
        <v>0</v>
      </c>
      <c r="AD48" s="411"/>
      <c r="AE48" s="413"/>
      <c r="AF48" s="413"/>
      <c r="AG48" s="413"/>
      <c r="AH48" s="534">
        <f t="shared" si="23"/>
        <v>0</v>
      </c>
      <c r="AI48" s="411"/>
      <c r="AJ48" s="413"/>
      <c r="AK48" s="413"/>
      <c r="AL48" s="413"/>
      <c r="AM48" s="534">
        <f t="shared" si="24"/>
        <v>0</v>
      </c>
      <c r="AN48" s="411"/>
      <c r="AO48" s="413"/>
      <c r="AP48" s="413"/>
      <c r="AQ48" s="413"/>
      <c r="AR48" s="534">
        <f t="shared" si="25"/>
        <v>0</v>
      </c>
      <c r="AS48" s="411"/>
      <c r="AT48" s="413"/>
      <c r="AU48" s="413"/>
      <c r="AV48" s="413"/>
      <c r="AW48" s="534">
        <f t="shared" si="26"/>
        <v>0</v>
      </c>
      <c r="AX48" s="411"/>
      <c r="AY48" s="413"/>
      <c r="AZ48" s="413"/>
      <c r="BA48" s="413"/>
      <c r="BB48" s="534">
        <f t="shared" si="27"/>
        <v>0</v>
      </c>
      <c r="BC48" s="411"/>
      <c r="BD48" s="413"/>
      <c r="BE48" s="413"/>
      <c r="BF48" s="413"/>
      <c r="BG48" s="534">
        <f t="shared" si="28"/>
        <v>0</v>
      </c>
      <c r="BH48" s="411"/>
      <c r="BI48" s="413"/>
      <c r="BJ48" s="413"/>
      <c r="BK48" s="413"/>
      <c r="BL48" s="534">
        <f t="shared" si="29"/>
        <v>0</v>
      </c>
      <c r="BM48" s="411"/>
      <c r="BN48" s="413"/>
      <c r="BO48" s="413"/>
      <c r="BP48" s="413"/>
      <c r="BQ48" s="534">
        <f t="shared" si="30"/>
        <v>0</v>
      </c>
      <c r="BR48" s="411"/>
      <c r="BS48" s="413"/>
      <c r="BT48" s="413"/>
      <c r="BU48" s="413"/>
      <c r="BV48" s="534">
        <f t="shared" si="31"/>
        <v>0</v>
      </c>
      <c r="BW48" s="411"/>
      <c r="BX48" s="413"/>
      <c r="BY48" s="413"/>
      <c r="BZ48" s="413"/>
      <c r="CA48" s="534">
        <f t="shared" si="32"/>
        <v>0</v>
      </c>
      <c r="CB48" s="411"/>
      <c r="CC48" s="413"/>
      <c r="CD48" s="413"/>
      <c r="CE48" s="413"/>
      <c r="CF48" s="534">
        <f t="shared" si="33"/>
        <v>0</v>
      </c>
      <c r="CG48" s="162">
        <f>IF(SEMANA29[[#This Row],[1]]="",0,$B$4)</f>
        <v>0</v>
      </c>
      <c r="CH48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48" s="164">
        <f>IF(SEMANA29[[#This Row],[Columna14]]=0,0,(CH48/CG48))</f>
        <v>0</v>
      </c>
      <c r="CJ48" s="163">
        <f>IF(SEMANA29[[#This Row],[1]]="",0,$B$4)</f>
        <v>0</v>
      </c>
      <c r="CK48" s="163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48" s="164">
        <f>IF(SEMANA29[[#This Row],[Columna14]]=0,0,(CK48/CJ48))</f>
        <v>0</v>
      </c>
      <c r="CM48" s="162">
        <f>IF(SEMANA29[[#This Row],[1]]="",0,$B$4)</f>
        <v>0</v>
      </c>
      <c r="CN48" s="163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48" s="164">
        <f>IF(SEMANA29[[#This Row],[Columna14]]=0,0,(CN48/CM48))</f>
        <v>0</v>
      </c>
      <c r="CP48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48" s="163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Row],[Columna25]],$AX$5,BA48,"SF")+COUNTIFS(SEMANA29[[#This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48" s="164">
        <f>IFERROR(IF(SEMANA29[[#This Row],[Columna14]]=0,0,(CQ48/CP48)),0)</f>
        <v>0</v>
      </c>
      <c r="CS48" s="535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48" s="93">
        <f>_xlfn.XLOOKUP(SEMANA29[[#This Row],[COD]],SEMANA2[COD],SEMANA2[Columna33])</f>
        <v>0</v>
      </c>
      <c r="CU48" s="536">
        <f t="shared" si="34"/>
        <v>0</v>
      </c>
      <c r="CV48" s="445" t="str">
        <f>IF(SEMANA29[[#This Row],[TIPO]]="PREMIO",$O$3,"0,00")</f>
        <v>0,00</v>
      </c>
      <c r="CW48" s="515"/>
      <c r="CY48" s="387" t="str">
        <f t="shared" si="17"/>
        <v/>
      </c>
      <c r="CZ48" s="387"/>
      <c r="DA48" s="387" t="str">
        <f t="array" ref="DA48">IF(CZ48="", "", IF((INDEX(E$8:CE$57, MATCH(CZ48, C$8:C$57, 0), ($CZ$25-1)*5 + 1) &amp; "") = (INDEX(E$5:CE$5, 1, ($CZ$25-1)*5 + 1) &amp; ""), 1, IF((INDEX(E$8:CE$57, MATCH(CZ48, C$8:C$57, 0), ($CZ$25-1)*5 + 2) &amp; "") = (INDEX(E$5:CE$5, 1, ($CZ$25-1)*5 + 1) &amp; ""), 2, IF((INDEX(E$8:CE$57, MATCH(CZ48, C$8:C$57, 0), ($CZ$25-1)*5 + 3) &amp; "") = (INDEX(E$5:CE$5, 1, ($CZ$25-1)*5 + 1) &amp; ""), 3, ""))))</f>
        <v/>
      </c>
      <c r="DB48" s="537" t="str">
        <f>SEMANA29[[#This Row],[COD]]</f>
        <v>COD 41</v>
      </c>
      <c r="DC48" s="390" t="str">
        <f t="array" ref="DC48">IFERROR(IF(AND(INDEX($E$8:$CE$57, MATCH($C48, $C$8:$C$57, 0), (COLUMNS($DC48:DC48)-1)*5 + 1) = INDEX($E$5:$CE$5, 1, (COLUMNS($DC48:DC48)-1)*5 + 1), INDEX($E$8:$CE$57, MATCH($C48, $C$8:$C$57, 0), (COLUMNS($DC48:DC48)-1)*5 + 4) = "F"), INDEX($CZ$8:$CZ$23, COLUMNS($DC48:DC48)), "0"), "")</f>
        <v>0</v>
      </c>
      <c r="DD48" s="390" t="str">
        <f t="array" ref="DD48">IFERROR(IF(AND(INDEX($E$8:$CE$57, MATCH($C48, $C$8:$C$57, 0), (COLUMNS($DC48:DD48)-1)*5 + 1) = INDEX($E$5:$CE$5, 1, (COLUMNS($DC48:DD48)-1)*5 + 1), INDEX($E$8:$CE$57, MATCH($C48, $C$8:$C$57, 0), (COLUMNS($DC48:DD48)-1)*5 + 4) = "F"), INDEX($CZ$8:$CZ$23, COLUMNS($DC48:DD48)), "0"), "")</f>
        <v>0</v>
      </c>
      <c r="DE48" s="390" t="str">
        <f t="array" ref="DE48">IFERROR(IF(AND(INDEX($E$8:$CE$57, MATCH($C48, $C$8:$C$57, 0), (COLUMNS($DC48:DE48)-1)*5 + 1) = INDEX($E$5:$CE$5, 1, (COLUMNS($DC48:DE48)-1)*5 + 1), INDEX($E$8:$CE$57, MATCH($C48, $C$8:$C$57, 0), (COLUMNS($DC48:DE48)-1)*5 + 4) = "F"), INDEX($CZ$8:$CZ$23, COLUMNS($DC48:DE48)), "0"), "")</f>
        <v>0</v>
      </c>
      <c r="DF48" s="390" t="str">
        <f t="array" ref="DF48">IFERROR(IF(AND(INDEX($E$8:$CE$57, MATCH($C48, $C$8:$C$57, 0), (COLUMNS($DC48:DF48)-1)*5 + 1) = INDEX($E$5:$CE$5, 1, (COLUMNS($DC48:DF48)-1)*5 + 1), INDEX($E$8:$CE$57, MATCH($C48, $C$8:$C$57, 0), (COLUMNS($DC48:DF48)-1)*5 + 4) = "F"), INDEX($CZ$8:$CZ$23, COLUMNS($DC48:DF48)), "0"), "")</f>
        <v>0</v>
      </c>
      <c r="DG48" s="390" t="str">
        <f t="array" ref="DG48">IFERROR(IF(AND(INDEX($E$8:$CE$57, MATCH($C48, $C$8:$C$57, 0), (COLUMNS($DC48:DG48)-1)*5 + 1) = INDEX($E$5:$CE$5, 1, (COLUMNS($DC48:DG48)-1)*5 + 1), INDEX($E$8:$CE$57, MATCH($C48, $C$8:$C$57, 0), (COLUMNS($DC48:DG48)-1)*5 + 4) = "F"), INDEX($CZ$8:$CZ$23, COLUMNS($DC48:DG48)), "0"), "")</f>
        <v>0</v>
      </c>
      <c r="DH48" s="390" t="str">
        <f t="array" ref="DH48">IFERROR(IF(AND(INDEX($E$8:$CE$57, MATCH($C48, $C$8:$C$57, 0), (COLUMNS($DC48:DH48)-1)*5 + 1) = INDEX($E$5:$CE$5, 1, (COLUMNS($DC48:DH48)-1)*5 + 1), INDEX($E$8:$CE$57, MATCH($C48, $C$8:$C$57, 0), (COLUMNS($DC48:DH48)-1)*5 + 4) = "F"), INDEX($CZ$8:$CZ$23, COLUMNS($DC48:DH48)), "0"), "")</f>
        <v>0</v>
      </c>
      <c r="DI48" s="390" t="str">
        <f t="array" ref="DI48">IFERROR(IF(AND(INDEX($E$8:$CE$57, MATCH($C48, $C$8:$C$57, 0), (COLUMNS($DC48:DI48)-1)*5 + 1) = INDEX($E$5:$CE$5, 1, (COLUMNS($DC48:DI48)-1)*5 + 1), INDEX($E$8:$CE$57, MATCH($C48, $C$8:$C$57, 0), (COLUMNS($DC48:DI48)-1)*5 + 4) = "F"), INDEX($CZ$8:$CZ$23, COLUMNS($DC48:DI48)), "0"), "")</f>
        <v>0</v>
      </c>
      <c r="DJ48" s="390" t="str">
        <f t="array" ref="DJ48">IFERROR(IF(AND(INDEX($E$8:$CE$57, MATCH($C48, $C$8:$C$57, 0), (COLUMNS($DC48:DJ48)-1)*5 + 1) = INDEX($E$5:$CE$5, 1, (COLUMNS($DC48:DJ48)-1)*5 + 1), INDEX($E$8:$CE$57, MATCH($C48, $C$8:$C$57, 0), (COLUMNS($DC48:DJ48)-1)*5 + 4) = "F"), INDEX($CZ$8:$CZ$23, COLUMNS($DC48:DJ48)), "0"), "")</f>
        <v>0</v>
      </c>
      <c r="DK48" s="390" t="str">
        <f t="array" ref="DK48">IFERROR(IF(AND(INDEX($E$8:$CE$57, MATCH($C48, $C$8:$C$57, 0), (COLUMNS($DC48:DK48)-1)*5 + 1) = INDEX($E$5:$CE$5, 1, (COLUMNS($DC48:DK48)-1)*5 + 1), INDEX($E$8:$CE$57, MATCH($C48, $C$8:$C$57, 0), (COLUMNS($DC48:DK48)-1)*5 + 4) = "F"), INDEX($CZ$8:$CZ$23, COLUMNS($DC48:DK48)), "0"), "")</f>
        <v>0</v>
      </c>
      <c r="DL48" s="390" t="str">
        <f t="array" ref="DL48">IFERROR(IF(AND(INDEX($E$8:$CE$57, MATCH($C48, $C$8:$C$57, 0), (COLUMNS($DC48:DL48)-1)*5 + 1) = INDEX($E$5:$CE$5, 1, (COLUMNS($DC48:DL48)-1)*5 + 1), INDEX($E$8:$CE$57, MATCH($C48, $C$8:$C$57, 0), (COLUMNS($DC48:DL48)-1)*5 + 4) = "F"), INDEX($CZ$8:$CZ$23, COLUMNS($DC48:DL48)), "0"), "")</f>
        <v>0</v>
      </c>
      <c r="DM48" s="390" t="str">
        <f t="array" ref="DM48">IFERROR(IF(AND(INDEX($E$8:$CE$57, MATCH($C48, $C$8:$C$57, 0), (COLUMNS($DC48:DM48)-1)*5 + 1) = INDEX($E$5:$CE$5, 1, (COLUMNS($DC48:DM48)-1)*5 + 1), INDEX($E$8:$CE$57, MATCH($C48, $C$8:$C$57, 0), (COLUMNS($DC48:DM48)-1)*5 + 4) = "F"), INDEX($CZ$8:$CZ$23, COLUMNS($DC48:DM48)), "0"), "")</f>
        <v>0</v>
      </c>
      <c r="DN48" s="390" t="str">
        <f t="array" ref="DN48">IFERROR(IF(AND(INDEX($E$8:$CE$57, MATCH($C48, $C$8:$C$57, 0), (COLUMNS($DC48:DN48)-1)*5 + 1) = INDEX($E$5:$CE$5, 1, (COLUMNS($DC48:DN48)-1)*5 + 1), INDEX($E$8:$CE$57, MATCH($C48, $C$8:$C$57, 0), (COLUMNS($DC48:DN48)-1)*5 + 4) = "F"), INDEX($CZ$8:$CZ$23, COLUMNS($DC48:DN48)), "0"), "")</f>
        <v>0</v>
      </c>
      <c r="DO48" s="390" t="str">
        <f t="array" ref="DO48">IFERROR(IF(AND(INDEX($E$8:$CE$57, MATCH($C48, $C$8:$C$57, 0), (COLUMNS($DC48:DO48)-1)*5 + 1) = INDEX($E$5:$CE$5, 1, (COLUMNS($DC48:DO48)-1)*5 + 1), INDEX($E$8:$CE$57, MATCH($C48, $C$8:$C$57, 0), (COLUMNS($DC48:DO48)-1)*5 + 4) = "F"), INDEX($CZ$8:$CZ$23, COLUMNS($DC48:DO48)), "0"), "")</f>
        <v>0</v>
      </c>
      <c r="DP48" s="390" t="str">
        <f t="array" ref="DP48">IFERROR(IF(AND(INDEX($E$8:$CE$57, MATCH($C48, $C$8:$C$57, 0), (COLUMNS($DC48:DP48)-1)*5 + 1) = INDEX($E$5:$CE$5, 1, (COLUMNS($DC48:DP48)-1)*5 + 1), INDEX($E$8:$CE$57, MATCH($C48, $C$8:$C$57, 0), (COLUMNS($DC48:DP48)-1)*5 + 4) = "F"), INDEX($CZ$8:$CZ$23, COLUMNS($DC48:DP48)), "0"), "")</f>
        <v>0</v>
      </c>
      <c r="DQ48" s="390" t="str">
        <f t="array" ref="DQ48">IFERROR(IF(AND(INDEX($E$8:$CE$57, MATCH($C48, $C$8:$C$57, 0), (COLUMNS($DC48:DQ48)-1)*5 + 1) = INDEX($E$5:$CE$5, 1, (COLUMNS($DC48:DQ48)-1)*5 + 1), INDEX($E$8:$CE$57, MATCH($C48, $C$8:$C$57, 0), (COLUMNS($DC48:DQ48)-1)*5 + 4) = "F"), INDEX($CZ$8:$CZ$23, COLUMNS($DC48:DQ48)), "0"), "")</f>
        <v>0</v>
      </c>
      <c r="DR48" s="390" t="str">
        <f t="array" ref="DR48">IFERROR(IF(AND(INDEX($E$8:$CE$57, MATCH($C48, $C$8:$C$57, 0), (COLUMNS($DC48:DR48)-1)*5 + 1) = INDEX($E$5:$CE$5, 1, (COLUMNS($DC48:DR48)-1)*5 + 1), INDEX($E$8:$CE$57, MATCH($C48, $C$8:$C$57, 0), (COLUMNS($DC48:DR48)-1)*5 + 4) = "F"), INDEX($CZ$8:$CZ$23, COLUMNS($DC48:DR48)), "0"), "")</f>
        <v>0</v>
      </c>
      <c r="DT48" s="537" t="str">
        <f>SEMANA29[[#This Row],[COD]]</f>
        <v>COD 41</v>
      </c>
      <c r="DU48" s="390" t="str">
        <f t="array" ref="DU48">IFERROR(IF(AND(INDEX($E$8:$CE$57, MATCH($C48, $C$8:$C$57, 0), (COLUMNS($DU48:DU48)-1)*5 + 1) = INDEX($E$5:$CE$5, 1, (COLUMNS($DU48:DU48)-1)*5 + 1), INDEX($E$8:$CE$57, MATCH($C48, $C$8:$C$57, 0), (COLUMNS($DU48:DU48)-1)*5 + 4) = "SF"), INDEX($CZ$8:$CZ$23, COLUMNS($DU48:DU48)), "0"), "")</f>
        <v>0</v>
      </c>
      <c r="DV48" s="390" t="str">
        <f t="array" ref="DV48">IFERROR(IF(AND(INDEX($E$8:$CE$57, MATCH($C48, $C$8:$C$57, 0), (COLUMNS($DU48:DV48)-1)*5 + 1) = INDEX($E$5:$CE$5, 1, (COLUMNS($DU48:DV48)-1)*5 + 1), INDEX($E$8:$CE$57, MATCH($C48, $C$8:$C$57, 0), (COLUMNS($DU48:DV48)-1)*5 + 4) = "SF"), INDEX($CZ$8:$CZ$23, COLUMNS($DU48:DV48)), "0"), "")</f>
        <v>0</v>
      </c>
      <c r="DW48" s="390" t="str">
        <f t="array" ref="DW48">IFERROR(IF(AND(INDEX($E$8:$CE$57, MATCH($C48, $C$8:$C$57, 0), (COLUMNS($DU48:DW48)-1)*5 + 1) = INDEX($E$5:$CE$5, 1, (COLUMNS($DU48:DW48)-1)*5 + 1), INDEX($E$8:$CE$57, MATCH($C48, $C$8:$C$57, 0), (COLUMNS($DU48:DW48)-1)*5 + 4) = "SF"), INDEX($CZ$8:$CZ$23, COLUMNS($DU48:DW48)), "0"), "")</f>
        <v>0</v>
      </c>
      <c r="DX48" s="390" t="str">
        <f t="array" ref="DX48">IFERROR(IF(AND(INDEX($E$8:$CE$57, MATCH($C48, $C$8:$C$57, 0), (COLUMNS($DU48:DX48)-1)*5 + 1) = INDEX($E$5:$CE$5, 1, (COLUMNS($DU48:DX48)-1)*5 + 1), INDEX($E$8:$CE$57, MATCH($C48, $C$8:$C$57, 0), (COLUMNS($DU48:DX48)-1)*5 + 4) = "SF"), INDEX($CZ$8:$CZ$23, COLUMNS($DU48:DX48)), "0"), "")</f>
        <v>0</v>
      </c>
      <c r="DY48" s="390" t="str">
        <f t="array" ref="DY48">IFERROR(IF(AND(INDEX($E$8:$CE$57, MATCH($C48, $C$8:$C$57, 0), (COLUMNS($DU48:DY48)-1)*5 + 1) = INDEX($E$5:$CE$5, 1, (COLUMNS($DU48:DY48)-1)*5 + 1), INDEX($E$8:$CE$57, MATCH($C48, $C$8:$C$57, 0), (COLUMNS($DU48:DY48)-1)*5 + 4) = "SF"), INDEX($CZ$8:$CZ$23, COLUMNS($DU48:DY48)), "0"), "")</f>
        <v>0</v>
      </c>
      <c r="DZ48" s="390" t="str">
        <f t="array" ref="DZ48">IFERROR(IF(AND(INDEX($E$8:$CE$57, MATCH($C48, $C$8:$C$57, 0), (COLUMNS($DU48:DZ48)-1)*5 + 1) = INDEX($E$5:$CE$5, 1, (COLUMNS($DU48:DZ48)-1)*5 + 1), INDEX($E$8:$CE$57, MATCH($C48, $C$8:$C$57, 0), (COLUMNS($DU48:DZ48)-1)*5 + 4) = "SF"), INDEX($CZ$8:$CZ$23, COLUMNS($DU48:DZ48)), "0"), "")</f>
        <v>0</v>
      </c>
      <c r="EA48" s="390" t="str">
        <f t="array" ref="EA48">IFERROR(IF(AND(INDEX($E$8:$CE$57, MATCH($C48, $C$8:$C$57, 0), (COLUMNS($DU48:EA48)-1)*5 + 1) = INDEX($E$5:$CE$5, 1, (COLUMNS($DU48:EA48)-1)*5 + 1), INDEX($E$8:$CE$57, MATCH($C48, $C$8:$C$57, 0), (COLUMNS($DU48:EA48)-1)*5 + 4) = "SF"), INDEX($CZ$8:$CZ$23, COLUMNS($DU48:EA48)), "0"), "")</f>
        <v>0</v>
      </c>
      <c r="EB48" s="390" t="str">
        <f t="array" ref="EB48">IFERROR(IF(AND(INDEX($E$8:$CE$57, MATCH($C48, $C$8:$C$57, 0), (COLUMNS($DU48:EB48)-1)*5 + 1) = INDEX($E$5:$CE$5, 1, (COLUMNS($DU48:EB48)-1)*5 + 1), INDEX($E$8:$CE$57, MATCH($C48, $C$8:$C$57, 0), (COLUMNS($DU48:EB48)-1)*5 + 4) = "SF"), INDEX($CZ$8:$CZ$23, COLUMNS($DU48:EB48)), "0"), "")</f>
        <v>0</v>
      </c>
      <c r="EC48" s="390" t="str">
        <f t="array" ref="EC48">IFERROR(IF(AND(INDEX($E$8:$CE$57, MATCH($C48, $C$8:$C$57, 0), (COLUMNS($DU48:EC48)-1)*5 + 1) = INDEX($E$5:$CE$5, 1, (COLUMNS($DU48:EC48)-1)*5 + 1), INDEX($E$8:$CE$57, MATCH($C48, $C$8:$C$57, 0), (COLUMNS($DU48:EC48)-1)*5 + 4) = "SF"), INDEX($CZ$8:$CZ$23, COLUMNS($DU48:EC48)), "0"), "")</f>
        <v>0</v>
      </c>
      <c r="ED48" s="390" t="str">
        <f t="array" ref="ED48">IFERROR(IF(AND(INDEX($E$8:$CE$57, MATCH($C48, $C$8:$C$57, 0), (COLUMNS($DU48:ED48)-1)*5 + 1) = INDEX($E$5:$CE$5, 1, (COLUMNS($DU48:ED48)-1)*5 + 1), INDEX($E$8:$CE$57, MATCH($C48, $C$8:$C$57, 0), (COLUMNS($DU48:ED48)-1)*5 + 4) = "SF"), INDEX($CZ$8:$CZ$23, COLUMNS($DU48:ED48)), "0"), "")</f>
        <v>0</v>
      </c>
      <c r="EE48" s="390" t="str">
        <f t="array" ref="EE48">IFERROR(IF(AND(INDEX($E$8:$CE$57, MATCH($C48, $C$8:$C$57, 0), (COLUMNS($DU48:EE48)-1)*5 + 1) = INDEX($E$5:$CE$5, 1, (COLUMNS($DU48:EE48)-1)*5 + 1), INDEX($E$8:$CE$57, MATCH($C48, $C$8:$C$57, 0), (COLUMNS($DU48:EE48)-1)*5 + 4) = "SF"), INDEX($CZ$8:$CZ$23, COLUMNS($DU48:EE48)), "0"), "")</f>
        <v>0</v>
      </c>
      <c r="EF48" s="390" t="str">
        <f t="array" ref="EF48">IFERROR(IF(AND(INDEX($E$8:$CE$57, MATCH($C48, $C$8:$C$57, 0), (COLUMNS($DU48:EF48)-1)*5 + 1) = INDEX($E$5:$CE$5, 1, (COLUMNS($DU48:EF48)-1)*5 + 1), INDEX($E$8:$CE$57, MATCH($C48, $C$8:$C$57, 0), (COLUMNS($DU48:EF48)-1)*5 + 4) = "SF"), INDEX($CZ$8:$CZ$23, COLUMNS($DU48:EF48)), "0"), "")</f>
        <v>0</v>
      </c>
      <c r="EG48" s="390" t="str">
        <f t="array" ref="EG48">IFERROR(IF(AND(INDEX($E$8:$CE$57, MATCH($C48, $C$8:$C$57, 0), (COLUMNS($DU48:EG48)-1)*5 + 1) = INDEX($E$5:$CE$5, 1, (COLUMNS($DU48:EG48)-1)*5 + 1), INDEX($E$8:$CE$57, MATCH($C48, $C$8:$C$57, 0), (COLUMNS($DU48:EG48)-1)*5 + 4) = "SF"), INDEX($CZ$8:$CZ$23, COLUMNS($DU48:EG48)), "0"), "")</f>
        <v>0</v>
      </c>
      <c r="EH48" s="390" t="str">
        <f t="array" ref="EH48">IFERROR(IF(AND(INDEX($E$8:$CE$57, MATCH($C48, $C$8:$C$57, 0), (COLUMNS($DU48:EH48)-1)*5 + 1) = INDEX($E$5:$CE$5, 1, (COLUMNS($DU48:EH48)-1)*5 + 1), INDEX($E$8:$CE$57, MATCH($C48, $C$8:$C$57, 0), (COLUMNS($DU48:EH48)-1)*5 + 4) = "SF"), INDEX($CZ$8:$CZ$23, COLUMNS($DU48:EH48)), "0"), "")</f>
        <v>0</v>
      </c>
      <c r="EI48" s="390" t="str">
        <f t="array" ref="EI48">IFERROR(IF(AND(INDEX($E$8:$CE$57, MATCH($C48, $C$8:$C$57, 0), (COLUMNS($DU48:EI48)-1)*5 + 1) = INDEX($E$5:$CE$5, 1, (COLUMNS($DU48:EI48)-1)*5 + 1), INDEX($E$8:$CE$57, MATCH($C48, $C$8:$C$57, 0), (COLUMNS($DU48:EI48)-1)*5 + 4) = "SF"), INDEX($CZ$8:$CZ$23, COLUMNS($DU48:EI48)), "0"), "")</f>
        <v>0</v>
      </c>
      <c r="EJ48" s="390" t="str">
        <f t="array" ref="EJ48">IFERROR(IF(AND(INDEX($E$8:$CE$57, MATCH($C48, $C$8:$C$57, 0), (COLUMNS($DU48:EJ48)-1)*5 + 1) = INDEX($E$5:$CE$5, 1, (COLUMNS($DU48:EJ48)-1)*5 + 1), INDEX($E$8:$CE$57, MATCH($C48, $C$8:$C$57, 0), (COLUMNS($DU48:EJ48)-1)*5 + 4) = "SF"), INDEX($CZ$8:$CZ$23, COLUMNS($DU48:EJ48)), "0"), "")</f>
        <v>0</v>
      </c>
    </row>
    <row r="49" spans="1:140" ht="20.100000000000001" customHeight="1" x14ac:dyDescent="0.35">
      <c r="A49" s="515"/>
      <c r="B49" s="444">
        <f>IF(SEMANA29[[#This Row],[COD]]&lt;&gt;"",B48+1,"")</f>
        <v>42</v>
      </c>
      <c r="C49" s="554" t="s">
        <v>113</v>
      </c>
      <c r="D49" s="410" t="str">
        <f t="array" ref="D49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49" s="411"/>
      <c r="F49" s="413"/>
      <c r="G49" s="413"/>
      <c r="H49" s="413"/>
      <c r="I49" s="534">
        <f t="shared" si="18"/>
        <v>0</v>
      </c>
      <c r="J49" s="411"/>
      <c r="K49" s="413"/>
      <c r="L49" s="413"/>
      <c r="M49" s="413"/>
      <c r="N49" s="534">
        <f t="shared" si="19"/>
        <v>0</v>
      </c>
      <c r="O49" s="411"/>
      <c r="P49" s="413"/>
      <c r="Q49" s="413"/>
      <c r="R49" s="413"/>
      <c r="S49" s="534">
        <f t="shared" si="20"/>
        <v>0</v>
      </c>
      <c r="T49" s="411"/>
      <c r="U49" s="413"/>
      <c r="V49" s="413"/>
      <c r="W49" s="413"/>
      <c r="X49" s="534">
        <f t="shared" si="21"/>
        <v>0</v>
      </c>
      <c r="Y49" s="411"/>
      <c r="Z49" s="413"/>
      <c r="AA49" s="413"/>
      <c r="AB49" s="413"/>
      <c r="AC49" s="534">
        <f t="shared" si="22"/>
        <v>0</v>
      </c>
      <c r="AD49" s="411"/>
      <c r="AE49" s="413"/>
      <c r="AF49" s="413"/>
      <c r="AG49" s="413"/>
      <c r="AH49" s="534">
        <f t="shared" si="23"/>
        <v>0</v>
      </c>
      <c r="AI49" s="411"/>
      <c r="AJ49" s="413"/>
      <c r="AK49" s="413"/>
      <c r="AL49" s="413"/>
      <c r="AM49" s="534">
        <f t="shared" si="24"/>
        <v>0</v>
      </c>
      <c r="AN49" s="411"/>
      <c r="AO49" s="413"/>
      <c r="AP49" s="413"/>
      <c r="AQ49" s="413"/>
      <c r="AR49" s="534">
        <f t="shared" si="25"/>
        <v>0</v>
      </c>
      <c r="AS49" s="411"/>
      <c r="AT49" s="413"/>
      <c r="AU49" s="413"/>
      <c r="AV49" s="413"/>
      <c r="AW49" s="534">
        <f t="shared" si="26"/>
        <v>0</v>
      </c>
      <c r="AX49" s="411"/>
      <c r="AY49" s="413"/>
      <c r="AZ49" s="413"/>
      <c r="BA49" s="413"/>
      <c r="BB49" s="534">
        <f t="shared" si="27"/>
        <v>0</v>
      </c>
      <c r="BC49" s="411"/>
      <c r="BD49" s="413"/>
      <c r="BE49" s="413"/>
      <c r="BF49" s="413"/>
      <c r="BG49" s="534">
        <f t="shared" si="28"/>
        <v>0</v>
      </c>
      <c r="BH49" s="411"/>
      <c r="BI49" s="413"/>
      <c r="BJ49" s="413"/>
      <c r="BK49" s="413"/>
      <c r="BL49" s="534">
        <f t="shared" si="29"/>
        <v>0</v>
      </c>
      <c r="BM49" s="411"/>
      <c r="BN49" s="413"/>
      <c r="BO49" s="413"/>
      <c r="BP49" s="413"/>
      <c r="BQ49" s="534">
        <f t="shared" si="30"/>
        <v>0</v>
      </c>
      <c r="BR49" s="411"/>
      <c r="BS49" s="413"/>
      <c r="BT49" s="413"/>
      <c r="BU49" s="413"/>
      <c r="BV49" s="534">
        <f t="shared" si="31"/>
        <v>0</v>
      </c>
      <c r="BW49" s="411"/>
      <c r="BX49" s="413"/>
      <c r="BY49" s="413"/>
      <c r="BZ49" s="413"/>
      <c r="CA49" s="534">
        <f t="shared" si="32"/>
        <v>0</v>
      </c>
      <c r="CB49" s="411"/>
      <c r="CC49" s="413"/>
      <c r="CD49" s="413"/>
      <c r="CE49" s="413"/>
      <c r="CF49" s="534">
        <f t="shared" si="33"/>
        <v>0</v>
      </c>
      <c r="CG49" s="162">
        <f>IF(SEMANA29[[#This Row],[1]]="",0,$B$4)</f>
        <v>0</v>
      </c>
      <c r="CH49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49" s="185">
        <f>IF(SEMANA29[[#This Row],[Columna14]]=0,0,(CH49/CG49))</f>
        <v>0</v>
      </c>
      <c r="CJ49" s="163">
        <f>IF(SEMANA29[[#This Row],[1]]="",0,$B$4)</f>
        <v>0</v>
      </c>
      <c r="CK49" s="186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49" s="185">
        <f>IF(SEMANA29[[#This Row],[Columna14]]=0,0,(CK49/CJ49))</f>
        <v>0</v>
      </c>
      <c r="CM49" s="162">
        <f>IF(SEMANA29[[#This Row],[1]]="",0,$B$4)</f>
        <v>0</v>
      </c>
      <c r="CN49" s="186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49" s="185">
        <f>IF(SEMANA29[[#This Row],[Columna14]]=0,0,(CN49/CM49))</f>
        <v>0</v>
      </c>
      <c r="CP49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49" s="186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Row],[Columna25]],$AX$5,BA49,"SF")+COUNTIFS(SEMANA29[[#This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49" s="185">
        <f>IFERROR(IF(SEMANA29[[#This Row],[Columna14]]=0,0,(CQ49/CP49)),0)</f>
        <v>0</v>
      </c>
      <c r="CS49" s="539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49" s="93">
        <f>_xlfn.XLOOKUP(SEMANA29[[#This Row],[COD]],SEMANA2[COD],SEMANA2[Columna33])</f>
        <v>0</v>
      </c>
      <c r="CU49" s="536">
        <f t="shared" si="34"/>
        <v>0</v>
      </c>
      <c r="CV49" s="445" t="str">
        <f>IF(SEMANA29[[#This Row],[TIPO]]="PREMIO",$O$3,"0,00")</f>
        <v>0,00</v>
      </c>
      <c r="CW49" s="515"/>
      <c r="CY49" s="387" t="str">
        <f t="shared" si="17"/>
        <v/>
      </c>
      <c r="CZ49" s="387"/>
      <c r="DA49" s="387" t="str">
        <f t="array" ref="DA49">IF(CZ49="", "", IF((INDEX(E$8:CE$57, MATCH(CZ49, C$8:C$57, 0), ($CZ$25-1)*5 + 1) &amp; "") = (INDEX(E$5:CE$5, 1, ($CZ$25-1)*5 + 1) &amp; ""), 1, IF((INDEX(E$8:CE$57, MATCH(CZ49, C$8:C$57, 0), ($CZ$25-1)*5 + 2) &amp; "") = (INDEX(E$5:CE$5, 1, ($CZ$25-1)*5 + 1) &amp; ""), 2, IF((INDEX(E$8:CE$57, MATCH(CZ49, C$8:C$57, 0), ($CZ$25-1)*5 + 3) &amp; "") = (INDEX(E$5:CE$5, 1, ($CZ$25-1)*5 + 1) &amp; ""), 3, ""))))</f>
        <v/>
      </c>
      <c r="DB49" s="537" t="str">
        <f>SEMANA29[[#This Row],[COD]]</f>
        <v>COD 42</v>
      </c>
      <c r="DC49" s="390" t="str">
        <f t="array" ref="DC49">IFERROR(IF(AND(INDEX($E$8:$CE$57, MATCH($C49, $C$8:$C$57, 0), (COLUMNS($DC49:DC49)-1)*5 + 1) = INDEX($E$5:$CE$5, 1, (COLUMNS($DC49:DC49)-1)*5 + 1), INDEX($E$8:$CE$57, MATCH($C49, $C$8:$C$57, 0), (COLUMNS($DC49:DC49)-1)*5 + 4) = "F"), INDEX($CZ$8:$CZ$23, COLUMNS($DC49:DC49)), "0"), "")</f>
        <v>0</v>
      </c>
      <c r="DD49" s="390" t="str">
        <f t="array" ref="DD49">IFERROR(IF(AND(INDEX($E$8:$CE$57, MATCH($C49, $C$8:$C$57, 0), (COLUMNS($DC49:DD49)-1)*5 + 1) = INDEX($E$5:$CE$5, 1, (COLUMNS($DC49:DD49)-1)*5 + 1), INDEX($E$8:$CE$57, MATCH($C49, $C$8:$C$57, 0), (COLUMNS($DC49:DD49)-1)*5 + 4) = "F"), INDEX($CZ$8:$CZ$23, COLUMNS($DC49:DD49)), "0"), "")</f>
        <v>0</v>
      </c>
      <c r="DE49" s="390" t="str">
        <f t="array" ref="DE49">IFERROR(IF(AND(INDEX($E$8:$CE$57, MATCH($C49, $C$8:$C$57, 0), (COLUMNS($DC49:DE49)-1)*5 + 1) = INDEX($E$5:$CE$5, 1, (COLUMNS($DC49:DE49)-1)*5 + 1), INDEX($E$8:$CE$57, MATCH($C49, $C$8:$C$57, 0), (COLUMNS($DC49:DE49)-1)*5 + 4) = "F"), INDEX($CZ$8:$CZ$23, COLUMNS($DC49:DE49)), "0"), "")</f>
        <v>0</v>
      </c>
      <c r="DF49" s="390" t="str">
        <f t="array" ref="DF49">IFERROR(IF(AND(INDEX($E$8:$CE$57, MATCH($C49, $C$8:$C$57, 0), (COLUMNS($DC49:DF49)-1)*5 + 1) = INDEX($E$5:$CE$5, 1, (COLUMNS($DC49:DF49)-1)*5 + 1), INDEX($E$8:$CE$57, MATCH($C49, $C$8:$C$57, 0), (COLUMNS($DC49:DF49)-1)*5 + 4) = "F"), INDEX($CZ$8:$CZ$23, COLUMNS($DC49:DF49)), "0"), "")</f>
        <v>0</v>
      </c>
      <c r="DG49" s="390" t="str">
        <f t="array" ref="DG49">IFERROR(IF(AND(INDEX($E$8:$CE$57, MATCH($C49, $C$8:$C$57, 0), (COLUMNS($DC49:DG49)-1)*5 + 1) = INDEX($E$5:$CE$5, 1, (COLUMNS($DC49:DG49)-1)*5 + 1), INDEX($E$8:$CE$57, MATCH($C49, $C$8:$C$57, 0), (COLUMNS($DC49:DG49)-1)*5 + 4) = "F"), INDEX($CZ$8:$CZ$23, COLUMNS($DC49:DG49)), "0"), "")</f>
        <v>0</v>
      </c>
      <c r="DH49" s="390" t="str">
        <f t="array" ref="DH49">IFERROR(IF(AND(INDEX($E$8:$CE$57, MATCH($C49, $C$8:$C$57, 0), (COLUMNS($DC49:DH49)-1)*5 + 1) = INDEX($E$5:$CE$5, 1, (COLUMNS($DC49:DH49)-1)*5 + 1), INDEX($E$8:$CE$57, MATCH($C49, $C$8:$C$57, 0), (COLUMNS($DC49:DH49)-1)*5 + 4) = "F"), INDEX($CZ$8:$CZ$23, COLUMNS($DC49:DH49)), "0"), "")</f>
        <v>0</v>
      </c>
      <c r="DI49" s="390" t="str">
        <f t="array" ref="DI49">IFERROR(IF(AND(INDEX($E$8:$CE$57, MATCH($C49, $C$8:$C$57, 0), (COLUMNS($DC49:DI49)-1)*5 + 1) = INDEX($E$5:$CE$5, 1, (COLUMNS($DC49:DI49)-1)*5 + 1), INDEX($E$8:$CE$57, MATCH($C49, $C$8:$C$57, 0), (COLUMNS($DC49:DI49)-1)*5 + 4) = "F"), INDEX($CZ$8:$CZ$23, COLUMNS($DC49:DI49)), "0"), "")</f>
        <v>0</v>
      </c>
      <c r="DJ49" s="390" t="str">
        <f t="array" ref="DJ49">IFERROR(IF(AND(INDEX($E$8:$CE$57, MATCH($C49, $C$8:$C$57, 0), (COLUMNS($DC49:DJ49)-1)*5 + 1) = INDEX($E$5:$CE$5, 1, (COLUMNS($DC49:DJ49)-1)*5 + 1), INDEX($E$8:$CE$57, MATCH($C49, $C$8:$C$57, 0), (COLUMNS($DC49:DJ49)-1)*5 + 4) = "F"), INDEX($CZ$8:$CZ$23, COLUMNS($DC49:DJ49)), "0"), "")</f>
        <v>0</v>
      </c>
      <c r="DK49" s="390" t="str">
        <f t="array" ref="DK49">IFERROR(IF(AND(INDEX($E$8:$CE$57, MATCH($C49, $C$8:$C$57, 0), (COLUMNS($DC49:DK49)-1)*5 + 1) = INDEX($E$5:$CE$5, 1, (COLUMNS($DC49:DK49)-1)*5 + 1), INDEX($E$8:$CE$57, MATCH($C49, $C$8:$C$57, 0), (COLUMNS($DC49:DK49)-1)*5 + 4) = "F"), INDEX($CZ$8:$CZ$23, COLUMNS($DC49:DK49)), "0"), "")</f>
        <v>0</v>
      </c>
      <c r="DL49" s="390" t="str">
        <f t="array" ref="DL49">IFERROR(IF(AND(INDEX($E$8:$CE$57, MATCH($C49, $C$8:$C$57, 0), (COLUMNS($DC49:DL49)-1)*5 + 1) = INDEX($E$5:$CE$5, 1, (COLUMNS($DC49:DL49)-1)*5 + 1), INDEX($E$8:$CE$57, MATCH($C49, $C$8:$C$57, 0), (COLUMNS($DC49:DL49)-1)*5 + 4) = "F"), INDEX($CZ$8:$CZ$23, COLUMNS($DC49:DL49)), "0"), "")</f>
        <v>0</v>
      </c>
      <c r="DM49" s="390" t="str">
        <f t="array" ref="DM49">IFERROR(IF(AND(INDEX($E$8:$CE$57, MATCH($C49, $C$8:$C$57, 0), (COLUMNS($DC49:DM49)-1)*5 + 1) = INDEX($E$5:$CE$5, 1, (COLUMNS($DC49:DM49)-1)*5 + 1), INDEX($E$8:$CE$57, MATCH($C49, $C$8:$C$57, 0), (COLUMNS($DC49:DM49)-1)*5 + 4) = "F"), INDEX($CZ$8:$CZ$23, COLUMNS($DC49:DM49)), "0"), "")</f>
        <v>0</v>
      </c>
      <c r="DN49" s="390" t="str">
        <f t="array" ref="DN49">IFERROR(IF(AND(INDEX($E$8:$CE$57, MATCH($C49, $C$8:$C$57, 0), (COLUMNS($DC49:DN49)-1)*5 + 1) = INDEX($E$5:$CE$5, 1, (COLUMNS($DC49:DN49)-1)*5 + 1), INDEX($E$8:$CE$57, MATCH($C49, $C$8:$C$57, 0), (COLUMNS($DC49:DN49)-1)*5 + 4) = "F"), INDEX($CZ$8:$CZ$23, COLUMNS($DC49:DN49)), "0"), "")</f>
        <v>0</v>
      </c>
      <c r="DO49" s="390" t="str">
        <f t="array" ref="DO49">IFERROR(IF(AND(INDEX($E$8:$CE$57, MATCH($C49, $C$8:$C$57, 0), (COLUMNS($DC49:DO49)-1)*5 + 1) = INDEX($E$5:$CE$5, 1, (COLUMNS($DC49:DO49)-1)*5 + 1), INDEX($E$8:$CE$57, MATCH($C49, $C$8:$C$57, 0), (COLUMNS($DC49:DO49)-1)*5 + 4) = "F"), INDEX($CZ$8:$CZ$23, COLUMNS($DC49:DO49)), "0"), "")</f>
        <v>0</v>
      </c>
      <c r="DP49" s="390" t="str">
        <f t="array" ref="DP49">IFERROR(IF(AND(INDEX($E$8:$CE$57, MATCH($C49, $C$8:$C$57, 0), (COLUMNS($DC49:DP49)-1)*5 + 1) = INDEX($E$5:$CE$5, 1, (COLUMNS($DC49:DP49)-1)*5 + 1), INDEX($E$8:$CE$57, MATCH($C49, $C$8:$C$57, 0), (COLUMNS($DC49:DP49)-1)*5 + 4) = "F"), INDEX($CZ$8:$CZ$23, COLUMNS($DC49:DP49)), "0"), "")</f>
        <v>0</v>
      </c>
      <c r="DQ49" s="390" t="str">
        <f t="array" ref="DQ49">IFERROR(IF(AND(INDEX($E$8:$CE$57, MATCH($C49, $C$8:$C$57, 0), (COLUMNS($DC49:DQ49)-1)*5 + 1) = INDEX($E$5:$CE$5, 1, (COLUMNS($DC49:DQ49)-1)*5 + 1), INDEX($E$8:$CE$57, MATCH($C49, $C$8:$C$57, 0), (COLUMNS($DC49:DQ49)-1)*5 + 4) = "F"), INDEX($CZ$8:$CZ$23, COLUMNS($DC49:DQ49)), "0"), "")</f>
        <v>0</v>
      </c>
      <c r="DR49" s="390" t="str">
        <f t="array" ref="DR49">IFERROR(IF(AND(INDEX($E$8:$CE$57, MATCH($C49, $C$8:$C$57, 0), (COLUMNS($DC49:DR49)-1)*5 + 1) = INDEX($E$5:$CE$5, 1, (COLUMNS($DC49:DR49)-1)*5 + 1), INDEX($E$8:$CE$57, MATCH($C49, $C$8:$C$57, 0), (COLUMNS($DC49:DR49)-1)*5 + 4) = "F"), INDEX($CZ$8:$CZ$23, COLUMNS($DC49:DR49)), "0"), "")</f>
        <v>0</v>
      </c>
      <c r="DT49" s="537" t="str">
        <f>SEMANA29[[#This Row],[COD]]</f>
        <v>COD 42</v>
      </c>
      <c r="DU49" s="390" t="str">
        <f t="array" ref="DU49">IFERROR(IF(AND(INDEX($E$8:$CE$57, MATCH($C49, $C$8:$C$57, 0), (COLUMNS($DU49:DU49)-1)*5 + 1) = INDEX($E$5:$CE$5, 1, (COLUMNS($DU49:DU49)-1)*5 + 1), INDEX($E$8:$CE$57, MATCH($C49, $C$8:$C$57, 0), (COLUMNS($DU49:DU49)-1)*5 + 4) = "SF"), INDEX($CZ$8:$CZ$23, COLUMNS($DU49:DU49)), "0"), "")</f>
        <v>0</v>
      </c>
      <c r="DV49" s="390" t="str">
        <f t="array" ref="DV49">IFERROR(IF(AND(INDEX($E$8:$CE$57, MATCH($C49, $C$8:$C$57, 0), (COLUMNS($DU49:DV49)-1)*5 + 1) = INDEX($E$5:$CE$5, 1, (COLUMNS($DU49:DV49)-1)*5 + 1), INDEX($E$8:$CE$57, MATCH($C49, $C$8:$C$57, 0), (COLUMNS($DU49:DV49)-1)*5 + 4) = "SF"), INDEX($CZ$8:$CZ$23, COLUMNS($DU49:DV49)), "0"), "")</f>
        <v>0</v>
      </c>
      <c r="DW49" s="390" t="str">
        <f t="array" ref="DW49">IFERROR(IF(AND(INDEX($E$8:$CE$57, MATCH($C49, $C$8:$C$57, 0), (COLUMNS($DU49:DW49)-1)*5 + 1) = INDEX($E$5:$CE$5, 1, (COLUMNS($DU49:DW49)-1)*5 + 1), INDEX($E$8:$CE$57, MATCH($C49, $C$8:$C$57, 0), (COLUMNS($DU49:DW49)-1)*5 + 4) = "SF"), INDEX($CZ$8:$CZ$23, COLUMNS($DU49:DW49)), "0"), "")</f>
        <v>0</v>
      </c>
      <c r="DX49" s="390" t="str">
        <f t="array" ref="DX49">IFERROR(IF(AND(INDEX($E$8:$CE$57, MATCH($C49, $C$8:$C$57, 0), (COLUMNS($DU49:DX49)-1)*5 + 1) = INDEX($E$5:$CE$5, 1, (COLUMNS($DU49:DX49)-1)*5 + 1), INDEX($E$8:$CE$57, MATCH($C49, $C$8:$C$57, 0), (COLUMNS($DU49:DX49)-1)*5 + 4) = "SF"), INDEX($CZ$8:$CZ$23, COLUMNS($DU49:DX49)), "0"), "")</f>
        <v>0</v>
      </c>
      <c r="DY49" s="390" t="str">
        <f t="array" ref="DY49">IFERROR(IF(AND(INDEX($E$8:$CE$57, MATCH($C49, $C$8:$C$57, 0), (COLUMNS($DU49:DY49)-1)*5 + 1) = INDEX($E$5:$CE$5, 1, (COLUMNS($DU49:DY49)-1)*5 + 1), INDEX($E$8:$CE$57, MATCH($C49, $C$8:$C$57, 0), (COLUMNS($DU49:DY49)-1)*5 + 4) = "SF"), INDEX($CZ$8:$CZ$23, COLUMNS($DU49:DY49)), "0"), "")</f>
        <v>0</v>
      </c>
      <c r="DZ49" s="390" t="str">
        <f t="array" ref="DZ49">IFERROR(IF(AND(INDEX($E$8:$CE$57, MATCH($C49, $C$8:$C$57, 0), (COLUMNS($DU49:DZ49)-1)*5 + 1) = INDEX($E$5:$CE$5, 1, (COLUMNS($DU49:DZ49)-1)*5 + 1), INDEX($E$8:$CE$57, MATCH($C49, $C$8:$C$57, 0), (COLUMNS($DU49:DZ49)-1)*5 + 4) = "SF"), INDEX($CZ$8:$CZ$23, COLUMNS($DU49:DZ49)), "0"), "")</f>
        <v>0</v>
      </c>
      <c r="EA49" s="390" t="str">
        <f t="array" ref="EA49">IFERROR(IF(AND(INDEX($E$8:$CE$57, MATCH($C49, $C$8:$C$57, 0), (COLUMNS($DU49:EA49)-1)*5 + 1) = INDEX($E$5:$CE$5, 1, (COLUMNS($DU49:EA49)-1)*5 + 1), INDEX($E$8:$CE$57, MATCH($C49, $C$8:$C$57, 0), (COLUMNS($DU49:EA49)-1)*5 + 4) = "SF"), INDEX($CZ$8:$CZ$23, COLUMNS($DU49:EA49)), "0"), "")</f>
        <v>0</v>
      </c>
      <c r="EB49" s="390" t="str">
        <f t="array" ref="EB49">IFERROR(IF(AND(INDEX($E$8:$CE$57, MATCH($C49, $C$8:$C$57, 0), (COLUMNS($DU49:EB49)-1)*5 + 1) = INDEX($E$5:$CE$5, 1, (COLUMNS($DU49:EB49)-1)*5 + 1), INDEX($E$8:$CE$57, MATCH($C49, $C$8:$C$57, 0), (COLUMNS($DU49:EB49)-1)*5 + 4) = "SF"), INDEX($CZ$8:$CZ$23, COLUMNS($DU49:EB49)), "0"), "")</f>
        <v>0</v>
      </c>
      <c r="EC49" s="390" t="str">
        <f t="array" ref="EC49">IFERROR(IF(AND(INDEX($E$8:$CE$57, MATCH($C49, $C$8:$C$57, 0), (COLUMNS($DU49:EC49)-1)*5 + 1) = INDEX($E$5:$CE$5, 1, (COLUMNS($DU49:EC49)-1)*5 + 1), INDEX($E$8:$CE$57, MATCH($C49, $C$8:$C$57, 0), (COLUMNS($DU49:EC49)-1)*5 + 4) = "SF"), INDEX($CZ$8:$CZ$23, COLUMNS($DU49:EC49)), "0"), "")</f>
        <v>0</v>
      </c>
      <c r="ED49" s="390" t="str">
        <f t="array" ref="ED49">IFERROR(IF(AND(INDEX($E$8:$CE$57, MATCH($C49, $C$8:$C$57, 0), (COLUMNS($DU49:ED49)-1)*5 + 1) = INDEX($E$5:$CE$5, 1, (COLUMNS($DU49:ED49)-1)*5 + 1), INDEX($E$8:$CE$57, MATCH($C49, $C$8:$C$57, 0), (COLUMNS($DU49:ED49)-1)*5 + 4) = "SF"), INDEX($CZ$8:$CZ$23, COLUMNS($DU49:ED49)), "0"), "")</f>
        <v>0</v>
      </c>
      <c r="EE49" s="390" t="str">
        <f t="array" ref="EE49">IFERROR(IF(AND(INDEX($E$8:$CE$57, MATCH($C49, $C$8:$C$57, 0), (COLUMNS($DU49:EE49)-1)*5 + 1) = INDEX($E$5:$CE$5, 1, (COLUMNS($DU49:EE49)-1)*5 + 1), INDEX($E$8:$CE$57, MATCH($C49, $C$8:$C$57, 0), (COLUMNS($DU49:EE49)-1)*5 + 4) = "SF"), INDEX($CZ$8:$CZ$23, COLUMNS($DU49:EE49)), "0"), "")</f>
        <v>0</v>
      </c>
      <c r="EF49" s="390" t="str">
        <f t="array" ref="EF49">IFERROR(IF(AND(INDEX($E$8:$CE$57, MATCH($C49, $C$8:$C$57, 0), (COLUMNS($DU49:EF49)-1)*5 + 1) = INDEX($E$5:$CE$5, 1, (COLUMNS($DU49:EF49)-1)*5 + 1), INDEX($E$8:$CE$57, MATCH($C49, $C$8:$C$57, 0), (COLUMNS($DU49:EF49)-1)*5 + 4) = "SF"), INDEX($CZ$8:$CZ$23, COLUMNS($DU49:EF49)), "0"), "")</f>
        <v>0</v>
      </c>
      <c r="EG49" s="390" t="str">
        <f t="array" ref="EG49">IFERROR(IF(AND(INDEX($E$8:$CE$57, MATCH($C49, $C$8:$C$57, 0), (COLUMNS($DU49:EG49)-1)*5 + 1) = INDEX($E$5:$CE$5, 1, (COLUMNS($DU49:EG49)-1)*5 + 1), INDEX($E$8:$CE$57, MATCH($C49, $C$8:$C$57, 0), (COLUMNS($DU49:EG49)-1)*5 + 4) = "SF"), INDEX($CZ$8:$CZ$23, COLUMNS($DU49:EG49)), "0"), "")</f>
        <v>0</v>
      </c>
      <c r="EH49" s="390" t="str">
        <f t="array" ref="EH49">IFERROR(IF(AND(INDEX($E$8:$CE$57, MATCH($C49, $C$8:$C$57, 0), (COLUMNS($DU49:EH49)-1)*5 + 1) = INDEX($E$5:$CE$5, 1, (COLUMNS($DU49:EH49)-1)*5 + 1), INDEX($E$8:$CE$57, MATCH($C49, $C$8:$C$57, 0), (COLUMNS($DU49:EH49)-1)*5 + 4) = "SF"), INDEX($CZ$8:$CZ$23, COLUMNS($DU49:EH49)), "0"), "")</f>
        <v>0</v>
      </c>
      <c r="EI49" s="390" t="str">
        <f t="array" ref="EI49">IFERROR(IF(AND(INDEX($E$8:$CE$57, MATCH($C49, $C$8:$C$57, 0), (COLUMNS($DU49:EI49)-1)*5 + 1) = INDEX($E$5:$CE$5, 1, (COLUMNS($DU49:EI49)-1)*5 + 1), INDEX($E$8:$CE$57, MATCH($C49, $C$8:$C$57, 0), (COLUMNS($DU49:EI49)-1)*5 + 4) = "SF"), INDEX($CZ$8:$CZ$23, COLUMNS($DU49:EI49)), "0"), "")</f>
        <v>0</v>
      </c>
      <c r="EJ49" s="390" t="str">
        <f t="array" ref="EJ49">IFERROR(IF(AND(INDEX($E$8:$CE$57, MATCH($C49, $C$8:$C$57, 0), (COLUMNS($DU49:EJ49)-1)*5 + 1) = INDEX($E$5:$CE$5, 1, (COLUMNS($DU49:EJ49)-1)*5 + 1), INDEX($E$8:$CE$57, MATCH($C49, $C$8:$C$57, 0), (COLUMNS($DU49:EJ49)-1)*5 + 4) = "SF"), INDEX($CZ$8:$CZ$23, COLUMNS($DU49:EJ49)), "0"), "")</f>
        <v>0</v>
      </c>
    </row>
    <row r="50" spans="1:140" ht="20.100000000000001" customHeight="1" x14ac:dyDescent="0.35">
      <c r="A50" s="515"/>
      <c r="B50" s="444">
        <f>IF(SEMANA29[[#This Row],[COD]]&lt;&gt;"",B49+1,"")</f>
        <v>43</v>
      </c>
      <c r="C50" s="554" t="s">
        <v>114</v>
      </c>
      <c r="D50" s="410" t="str">
        <f t="array" ref="D50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50" s="411"/>
      <c r="F50" s="413"/>
      <c r="G50" s="413"/>
      <c r="H50" s="413"/>
      <c r="I50" s="534">
        <f t="shared" si="18"/>
        <v>0</v>
      </c>
      <c r="J50" s="411"/>
      <c r="K50" s="413"/>
      <c r="L50" s="413"/>
      <c r="M50" s="413"/>
      <c r="N50" s="534">
        <f t="shared" si="19"/>
        <v>0</v>
      </c>
      <c r="O50" s="411"/>
      <c r="P50" s="413"/>
      <c r="Q50" s="413"/>
      <c r="R50" s="413"/>
      <c r="S50" s="534">
        <f t="shared" si="20"/>
        <v>0</v>
      </c>
      <c r="T50" s="411"/>
      <c r="U50" s="413"/>
      <c r="V50" s="413"/>
      <c r="W50" s="413"/>
      <c r="X50" s="534">
        <f t="shared" si="21"/>
        <v>0</v>
      </c>
      <c r="Y50" s="411"/>
      <c r="Z50" s="413"/>
      <c r="AA50" s="413"/>
      <c r="AB50" s="413"/>
      <c r="AC50" s="534">
        <f t="shared" si="22"/>
        <v>0</v>
      </c>
      <c r="AD50" s="411"/>
      <c r="AE50" s="413"/>
      <c r="AF50" s="413"/>
      <c r="AG50" s="413"/>
      <c r="AH50" s="534">
        <f t="shared" si="23"/>
        <v>0</v>
      </c>
      <c r="AI50" s="411"/>
      <c r="AJ50" s="413"/>
      <c r="AK50" s="413"/>
      <c r="AL50" s="413"/>
      <c r="AM50" s="534">
        <f t="shared" si="24"/>
        <v>0</v>
      </c>
      <c r="AN50" s="411"/>
      <c r="AO50" s="413"/>
      <c r="AP50" s="413"/>
      <c r="AQ50" s="413"/>
      <c r="AR50" s="534">
        <f t="shared" si="25"/>
        <v>0</v>
      </c>
      <c r="AS50" s="411"/>
      <c r="AT50" s="413"/>
      <c r="AU50" s="413"/>
      <c r="AV50" s="413"/>
      <c r="AW50" s="534">
        <f t="shared" si="26"/>
        <v>0</v>
      </c>
      <c r="AX50" s="411"/>
      <c r="AY50" s="413"/>
      <c r="AZ50" s="413"/>
      <c r="BA50" s="413"/>
      <c r="BB50" s="534">
        <f t="shared" si="27"/>
        <v>0</v>
      </c>
      <c r="BC50" s="411"/>
      <c r="BD50" s="413"/>
      <c r="BE50" s="413"/>
      <c r="BF50" s="413"/>
      <c r="BG50" s="534">
        <f t="shared" si="28"/>
        <v>0</v>
      </c>
      <c r="BH50" s="411"/>
      <c r="BI50" s="413"/>
      <c r="BJ50" s="413"/>
      <c r="BK50" s="413"/>
      <c r="BL50" s="534">
        <f t="shared" si="29"/>
        <v>0</v>
      </c>
      <c r="BM50" s="411"/>
      <c r="BN50" s="413"/>
      <c r="BO50" s="413"/>
      <c r="BP50" s="413"/>
      <c r="BQ50" s="534">
        <f t="shared" si="30"/>
        <v>0</v>
      </c>
      <c r="BR50" s="411"/>
      <c r="BS50" s="413"/>
      <c r="BT50" s="413"/>
      <c r="BU50" s="413"/>
      <c r="BV50" s="534">
        <f t="shared" si="31"/>
        <v>0</v>
      </c>
      <c r="BW50" s="411"/>
      <c r="BX50" s="413"/>
      <c r="BY50" s="413"/>
      <c r="BZ50" s="413"/>
      <c r="CA50" s="534">
        <f t="shared" si="32"/>
        <v>0</v>
      </c>
      <c r="CB50" s="411"/>
      <c r="CC50" s="413"/>
      <c r="CD50" s="413"/>
      <c r="CE50" s="413"/>
      <c r="CF50" s="534">
        <f t="shared" si="33"/>
        <v>0</v>
      </c>
      <c r="CG50" s="162">
        <f>IF(SEMANA29[[#This Row],[1]]="",0,$B$4)</f>
        <v>0</v>
      </c>
      <c r="CH50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50" s="185">
        <f>IF(SEMANA29[[#This Row],[Columna14]]=0,0,(CH50/CG50))</f>
        <v>0</v>
      </c>
      <c r="CJ50" s="163">
        <f>IF(SEMANA29[[#This Row],[1]]="",0,$B$4)</f>
        <v>0</v>
      </c>
      <c r="CK50" s="186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50" s="185">
        <f>IF(SEMANA29[[#This Row],[Columna14]]=0,0,(CK50/CJ50))</f>
        <v>0</v>
      </c>
      <c r="CM50" s="162">
        <f>IF(SEMANA29[[#This Row],[1]]="",0,$B$4)</f>
        <v>0</v>
      </c>
      <c r="CN50" s="186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50" s="185">
        <f>IF(SEMANA29[[#This Row],[Columna14]]=0,0,(CN50/CM50))</f>
        <v>0</v>
      </c>
      <c r="CP50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50" s="186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Row],[Columna25]],$AX$5,BA50,"SF")+COUNTIFS(SEMANA29[[#This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50" s="185">
        <f>IFERROR(IF(SEMANA29[[#This Row],[Columna14]]=0,0,(CQ50/CP50)),0)</f>
        <v>0</v>
      </c>
      <c r="CS50" s="539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50" s="93">
        <f>_xlfn.XLOOKUP(SEMANA29[[#This Row],[COD]],SEMANA2[COD],SEMANA2[Columna33])</f>
        <v>0</v>
      </c>
      <c r="CU50" s="536">
        <f t="shared" si="34"/>
        <v>0</v>
      </c>
      <c r="CV50" s="445" t="str">
        <f>IF(SEMANA29[[#This Row],[TIPO]]="PREMIO",$O$3,"0,00")</f>
        <v>0,00</v>
      </c>
      <c r="CW50" s="515"/>
      <c r="CY50" s="387" t="str">
        <f t="shared" si="17"/>
        <v/>
      </c>
      <c r="CZ50" s="387"/>
      <c r="DA50" s="387" t="str">
        <f t="array" ref="DA50">IF(CZ50="", "", IF((INDEX(E$8:CE$57, MATCH(CZ50, C$8:C$57, 0), ($CZ$25-1)*5 + 1) &amp; "") = (INDEX(E$5:CE$5, 1, ($CZ$25-1)*5 + 1) &amp; ""), 1, IF((INDEX(E$8:CE$57, MATCH(CZ50, C$8:C$57, 0), ($CZ$25-1)*5 + 2) &amp; "") = (INDEX(E$5:CE$5, 1, ($CZ$25-1)*5 + 1) &amp; ""), 2, IF((INDEX(E$8:CE$57, MATCH(CZ50, C$8:C$57, 0), ($CZ$25-1)*5 + 3) &amp; "") = (INDEX(E$5:CE$5, 1, ($CZ$25-1)*5 + 1) &amp; ""), 3, ""))))</f>
        <v/>
      </c>
      <c r="DB50" s="537" t="str">
        <f>SEMANA29[[#This Row],[COD]]</f>
        <v>COD 43</v>
      </c>
      <c r="DC50" s="390" t="str">
        <f t="array" ref="DC50">IFERROR(IF(AND(INDEX($E$8:$CE$57, MATCH($C50, $C$8:$C$57, 0), (COLUMNS($DC50:DC50)-1)*5 + 1) = INDEX($E$5:$CE$5, 1, (COLUMNS($DC50:DC50)-1)*5 + 1), INDEX($E$8:$CE$57, MATCH($C50, $C$8:$C$57, 0), (COLUMNS($DC50:DC50)-1)*5 + 4) = "F"), INDEX($CZ$8:$CZ$23, COLUMNS($DC50:DC50)), "0"), "")</f>
        <v>0</v>
      </c>
      <c r="DD50" s="390" t="str">
        <f t="array" ref="DD50">IFERROR(IF(AND(INDEX($E$8:$CE$57, MATCH($C50, $C$8:$C$57, 0), (COLUMNS($DC50:DD50)-1)*5 + 1) = INDEX($E$5:$CE$5, 1, (COLUMNS($DC50:DD50)-1)*5 + 1), INDEX($E$8:$CE$57, MATCH($C50, $C$8:$C$57, 0), (COLUMNS($DC50:DD50)-1)*5 + 4) = "F"), INDEX($CZ$8:$CZ$23, COLUMNS($DC50:DD50)), "0"), "")</f>
        <v>0</v>
      </c>
      <c r="DE50" s="390" t="str">
        <f t="array" ref="DE50">IFERROR(IF(AND(INDEX($E$8:$CE$57, MATCH($C50, $C$8:$C$57, 0), (COLUMNS($DC50:DE50)-1)*5 + 1) = INDEX($E$5:$CE$5, 1, (COLUMNS($DC50:DE50)-1)*5 + 1), INDEX($E$8:$CE$57, MATCH($C50, $C$8:$C$57, 0), (COLUMNS($DC50:DE50)-1)*5 + 4) = "F"), INDEX($CZ$8:$CZ$23, COLUMNS($DC50:DE50)), "0"), "")</f>
        <v>0</v>
      </c>
      <c r="DF50" s="390" t="str">
        <f t="array" ref="DF50">IFERROR(IF(AND(INDEX($E$8:$CE$57, MATCH($C50, $C$8:$C$57, 0), (COLUMNS($DC50:DF50)-1)*5 + 1) = INDEX($E$5:$CE$5, 1, (COLUMNS($DC50:DF50)-1)*5 + 1), INDEX($E$8:$CE$57, MATCH($C50, $C$8:$C$57, 0), (COLUMNS($DC50:DF50)-1)*5 + 4) = "F"), INDEX($CZ$8:$CZ$23, COLUMNS($DC50:DF50)), "0"), "")</f>
        <v>0</v>
      </c>
      <c r="DG50" s="390" t="str">
        <f t="array" ref="DG50">IFERROR(IF(AND(INDEX($E$8:$CE$57, MATCH($C50, $C$8:$C$57, 0), (COLUMNS($DC50:DG50)-1)*5 + 1) = INDEX($E$5:$CE$5, 1, (COLUMNS($DC50:DG50)-1)*5 + 1), INDEX($E$8:$CE$57, MATCH($C50, $C$8:$C$57, 0), (COLUMNS($DC50:DG50)-1)*5 + 4) = "F"), INDEX($CZ$8:$CZ$23, COLUMNS($DC50:DG50)), "0"), "")</f>
        <v>0</v>
      </c>
      <c r="DH50" s="390" t="str">
        <f t="array" ref="DH50">IFERROR(IF(AND(INDEX($E$8:$CE$57, MATCH($C50, $C$8:$C$57, 0), (COLUMNS($DC50:DH50)-1)*5 + 1) = INDEX($E$5:$CE$5, 1, (COLUMNS($DC50:DH50)-1)*5 + 1), INDEX($E$8:$CE$57, MATCH($C50, $C$8:$C$57, 0), (COLUMNS($DC50:DH50)-1)*5 + 4) = "F"), INDEX($CZ$8:$CZ$23, COLUMNS($DC50:DH50)), "0"), "")</f>
        <v>0</v>
      </c>
      <c r="DI50" s="390" t="str">
        <f t="array" ref="DI50">IFERROR(IF(AND(INDEX($E$8:$CE$57, MATCH($C50, $C$8:$C$57, 0), (COLUMNS($DC50:DI50)-1)*5 + 1) = INDEX($E$5:$CE$5, 1, (COLUMNS($DC50:DI50)-1)*5 + 1), INDEX($E$8:$CE$57, MATCH($C50, $C$8:$C$57, 0), (COLUMNS($DC50:DI50)-1)*5 + 4) = "F"), INDEX($CZ$8:$CZ$23, COLUMNS($DC50:DI50)), "0"), "")</f>
        <v>0</v>
      </c>
      <c r="DJ50" s="390" t="str">
        <f t="array" ref="DJ50">IFERROR(IF(AND(INDEX($E$8:$CE$57, MATCH($C50, $C$8:$C$57, 0), (COLUMNS($DC50:DJ50)-1)*5 + 1) = INDEX($E$5:$CE$5, 1, (COLUMNS($DC50:DJ50)-1)*5 + 1), INDEX($E$8:$CE$57, MATCH($C50, $C$8:$C$57, 0), (COLUMNS($DC50:DJ50)-1)*5 + 4) = "F"), INDEX($CZ$8:$CZ$23, COLUMNS($DC50:DJ50)), "0"), "")</f>
        <v>0</v>
      </c>
      <c r="DK50" s="390" t="str">
        <f t="array" ref="DK50">IFERROR(IF(AND(INDEX($E$8:$CE$57, MATCH($C50, $C$8:$C$57, 0), (COLUMNS($DC50:DK50)-1)*5 + 1) = INDEX($E$5:$CE$5, 1, (COLUMNS($DC50:DK50)-1)*5 + 1), INDEX($E$8:$CE$57, MATCH($C50, $C$8:$C$57, 0), (COLUMNS($DC50:DK50)-1)*5 + 4) = "F"), INDEX($CZ$8:$CZ$23, COLUMNS($DC50:DK50)), "0"), "")</f>
        <v>0</v>
      </c>
      <c r="DL50" s="390" t="str">
        <f t="array" ref="DL50">IFERROR(IF(AND(INDEX($E$8:$CE$57, MATCH($C50, $C$8:$C$57, 0), (COLUMNS($DC50:DL50)-1)*5 + 1) = INDEX($E$5:$CE$5, 1, (COLUMNS($DC50:DL50)-1)*5 + 1), INDEX($E$8:$CE$57, MATCH($C50, $C$8:$C$57, 0), (COLUMNS($DC50:DL50)-1)*5 + 4) = "F"), INDEX($CZ$8:$CZ$23, COLUMNS($DC50:DL50)), "0"), "")</f>
        <v>0</v>
      </c>
      <c r="DM50" s="390" t="str">
        <f t="array" ref="DM50">IFERROR(IF(AND(INDEX($E$8:$CE$57, MATCH($C50, $C$8:$C$57, 0), (COLUMNS($DC50:DM50)-1)*5 + 1) = INDEX($E$5:$CE$5, 1, (COLUMNS($DC50:DM50)-1)*5 + 1), INDEX($E$8:$CE$57, MATCH($C50, $C$8:$C$57, 0), (COLUMNS($DC50:DM50)-1)*5 + 4) = "F"), INDEX($CZ$8:$CZ$23, COLUMNS($DC50:DM50)), "0"), "")</f>
        <v>0</v>
      </c>
      <c r="DN50" s="390" t="str">
        <f t="array" ref="DN50">IFERROR(IF(AND(INDEX($E$8:$CE$57, MATCH($C50, $C$8:$C$57, 0), (COLUMNS($DC50:DN50)-1)*5 + 1) = INDEX($E$5:$CE$5, 1, (COLUMNS($DC50:DN50)-1)*5 + 1), INDEX($E$8:$CE$57, MATCH($C50, $C$8:$C$57, 0), (COLUMNS($DC50:DN50)-1)*5 + 4) = "F"), INDEX($CZ$8:$CZ$23, COLUMNS($DC50:DN50)), "0"), "")</f>
        <v>0</v>
      </c>
      <c r="DO50" s="390" t="str">
        <f t="array" ref="DO50">IFERROR(IF(AND(INDEX($E$8:$CE$57, MATCH($C50, $C$8:$C$57, 0), (COLUMNS($DC50:DO50)-1)*5 + 1) = INDEX($E$5:$CE$5, 1, (COLUMNS($DC50:DO50)-1)*5 + 1), INDEX($E$8:$CE$57, MATCH($C50, $C$8:$C$57, 0), (COLUMNS($DC50:DO50)-1)*5 + 4) = "F"), INDEX($CZ$8:$CZ$23, COLUMNS($DC50:DO50)), "0"), "")</f>
        <v>0</v>
      </c>
      <c r="DP50" s="390" t="str">
        <f t="array" ref="DP50">IFERROR(IF(AND(INDEX($E$8:$CE$57, MATCH($C50, $C$8:$C$57, 0), (COLUMNS($DC50:DP50)-1)*5 + 1) = INDEX($E$5:$CE$5, 1, (COLUMNS($DC50:DP50)-1)*5 + 1), INDEX($E$8:$CE$57, MATCH($C50, $C$8:$C$57, 0), (COLUMNS($DC50:DP50)-1)*5 + 4) = "F"), INDEX($CZ$8:$CZ$23, COLUMNS($DC50:DP50)), "0"), "")</f>
        <v>0</v>
      </c>
      <c r="DQ50" s="390" t="str">
        <f t="array" ref="DQ50">IFERROR(IF(AND(INDEX($E$8:$CE$57, MATCH($C50, $C$8:$C$57, 0), (COLUMNS($DC50:DQ50)-1)*5 + 1) = INDEX($E$5:$CE$5, 1, (COLUMNS($DC50:DQ50)-1)*5 + 1), INDEX($E$8:$CE$57, MATCH($C50, $C$8:$C$57, 0), (COLUMNS($DC50:DQ50)-1)*5 + 4) = "F"), INDEX($CZ$8:$CZ$23, COLUMNS($DC50:DQ50)), "0"), "")</f>
        <v>0</v>
      </c>
      <c r="DR50" s="390" t="str">
        <f t="array" ref="DR50">IFERROR(IF(AND(INDEX($E$8:$CE$57, MATCH($C50, $C$8:$C$57, 0), (COLUMNS($DC50:DR50)-1)*5 + 1) = INDEX($E$5:$CE$5, 1, (COLUMNS($DC50:DR50)-1)*5 + 1), INDEX($E$8:$CE$57, MATCH($C50, $C$8:$C$57, 0), (COLUMNS($DC50:DR50)-1)*5 + 4) = "F"), INDEX($CZ$8:$CZ$23, COLUMNS($DC50:DR50)), "0"), "")</f>
        <v>0</v>
      </c>
      <c r="DT50" s="537" t="str">
        <f>SEMANA29[[#This Row],[COD]]</f>
        <v>COD 43</v>
      </c>
      <c r="DU50" s="390" t="str">
        <f t="array" ref="DU50">IFERROR(IF(AND(INDEX($E$8:$CE$57, MATCH($C50, $C$8:$C$57, 0), (COLUMNS($DU50:DU50)-1)*5 + 1) = INDEX($E$5:$CE$5, 1, (COLUMNS($DU50:DU50)-1)*5 + 1), INDEX($E$8:$CE$57, MATCH($C50, $C$8:$C$57, 0), (COLUMNS($DU50:DU50)-1)*5 + 4) = "SF"), INDEX($CZ$8:$CZ$23, COLUMNS($DU50:DU50)), "0"), "")</f>
        <v>0</v>
      </c>
      <c r="DV50" s="390" t="str">
        <f t="array" ref="DV50">IFERROR(IF(AND(INDEX($E$8:$CE$57, MATCH($C50, $C$8:$C$57, 0), (COLUMNS($DU50:DV50)-1)*5 + 1) = INDEX($E$5:$CE$5, 1, (COLUMNS($DU50:DV50)-1)*5 + 1), INDEX($E$8:$CE$57, MATCH($C50, $C$8:$C$57, 0), (COLUMNS($DU50:DV50)-1)*5 + 4) = "SF"), INDEX($CZ$8:$CZ$23, COLUMNS($DU50:DV50)), "0"), "")</f>
        <v>0</v>
      </c>
      <c r="DW50" s="390" t="str">
        <f t="array" ref="DW50">IFERROR(IF(AND(INDEX($E$8:$CE$57, MATCH($C50, $C$8:$C$57, 0), (COLUMNS($DU50:DW50)-1)*5 + 1) = INDEX($E$5:$CE$5, 1, (COLUMNS($DU50:DW50)-1)*5 + 1), INDEX($E$8:$CE$57, MATCH($C50, $C$8:$C$57, 0), (COLUMNS($DU50:DW50)-1)*5 + 4) = "SF"), INDEX($CZ$8:$CZ$23, COLUMNS($DU50:DW50)), "0"), "")</f>
        <v>0</v>
      </c>
      <c r="DX50" s="390" t="str">
        <f t="array" ref="DX50">IFERROR(IF(AND(INDEX($E$8:$CE$57, MATCH($C50, $C$8:$C$57, 0), (COLUMNS($DU50:DX50)-1)*5 + 1) = INDEX($E$5:$CE$5, 1, (COLUMNS($DU50:DX50)-1)*5 + 1), INDEX($E$8:$CE$57, MATCH($C50, $C$8:$C$57, 0), (COLUMNS($DU50:DX50)-1)*5 + 4) = "SF"), INDEX($CZ$8:$CZ$23, COLUMNS($DU50:DX50)), "0"), "")</f>
        <v>0</v>
      </c>
      <c r="DY50" s="390" t="str">
        <f t="array" ref="DY50">IFERROR(IF(AND(INDEX($E$8:$CE$57, MATCH($C50, $C$8:$C$57, 0), (COLUMNS($DU50:DY50)-1)*5 + 1) = INDEX($E$5:$CE$5, 1, (COLUMNS($DU50:DY50)-1)*5 + 1), INDEX($E$8:$CE$57, MATCH($C50, $C$8:$C$57, 0), (COLUMNS($DU50:DY50)-1)*5 + 4) = "SF"), INDEX($CZ$8:$CZ$23, COLUMNS($DU50:DY50)), "0"), "")</f>
        <v>0</v>
      </c>
      <c r="DZ50" s="390" t="str">
        <f t="array" ref="DZ50">IFERROR(IF(AND(INDEX($E$8:$CE$57, MATCH($C50, $C$8:$C$57, 0), (COLUMNS($DU50:DZ50)-1)*5 + 1) = INDEX($E$5:$CE$5, 1, (COLUMNS($DU50:DZ50)-1)*5 + 1), INDEX($E$8:$CE$57, MATCH($C50, $C$8:$C$57, 0), (COLUMNS($DU50:DZ50)-1)*5 + 4) = "SF"), INDEX($CZ$8:$CZ$23, COLUMNS($DU50:DZ50)), "0"), "")</f>
        <v>0</v>
      </c>
      <c r="EA50" s="390" t="str">
        <f t="array" ref="EA50">IFERROR(IF(AND(INDEX($E$8:$CE$57, MATCH($C50, $C$8:$C$57, 0), (COLUMNS($DU50:EA50)-1)*5 + 1) = INDEX($E$5:$CE$5, 1, (COLUMNS($DU50:EA50)-1)*5 + 1), INDEX($E$8:$CE$57, MATCH($C50, $C$8:$C$57, 0), (COLUMNS($DU50:EA50)-1)*5 + 4) = "SF"), INDEX($CZ$8:$CZ$23, COLUMNS($DU50:EA50)), "0"), "")</f>
        <v>0</v>
      </c>
      <c r="EB50" s="390" t="str">
        <f t="array" ref="EB50">IFERROR(IF(AND(INDEX($E$8:$CE$57, MATCH($C50, $C$8:$C$57, 0), (COLUMNS($DU50:EB50)-1)*5 + 1) = INDEX($E$5:$CE$5, 1, (COLUMNS($DU50:EB50)-1)*5 + 1), INDEX($E$8:$CE$57, MATCH($C50, $C$8:$C$57, 0), (COLUMNS($DU50:EB50)-1)*5 + 4) = "SF"), INDEX($CZ$8:$CZ$23, COLUMNS($DU50:EB50)), "0"), "")</f>
        <v>0</v>
      </c>
      <c r="EC50" s="390" t="str">
        <f t="array" ref="EC50">IFERROR(IF(AND(INDEX($E$8:$CE$57, MATCH($C50, $C$8:$C$57, 0), (COLUMNS($DU50:EC50)-1)*5 + 1) = INDEX($E$5:$CE$5, 1, (COLUMNS($DU50:EC50)-1)*5 + 1), INDEX($E$8:$CE$57, MATCH($C50, $C$8:$C$57, 0), (COLUMNS($DU50:EC50)-1)*5 + 4) = "SF"), INDEX($CZ$8:$CZ$23, COLUMNS($DU50:EC50)), "0"), "")</f>
        <v>0</v>
      </c>
      <c r="ED50" s="390" t="str">
        <f t="array" ref="ED50">IFERROR(IF(AND(INDEX($E$8:$CE$57, MATCH($C50, $C$8:$C$57, 0), (COLUMNS($DU50:ED50)-1)*5 + 1) = INDEX($E$5:$CE$5, 1, (COLUMNS($DU50:ED50)-1)*5 + 1), INDEX($E$8:$CE$57, MATCH($C50, $C$8:$C$57, 0), (COLUMNS($DU50:ED50)-1)*5 + 4) = "SF"), INDEX($CZ$8:$CZ$23, COLUMNS($DU50:ED50)), "0"), "")</f>
        <v>0</v>
      </c>
      <c r="EE50" s="390" t="str">
        <f t="array" ref="EE50">IFERROR(IF(AND(INDEX($E$8:$CE$57, MATCH($C50, $C$8:$C$57, 0), (COLUMNS($DU50:EE50)-1)*5 + 1) = INDEX($E$5:$CE$5, 1, (COLUMNS($DU50:EE50)-1)*5 + 1), INDEX($E$8:$CE$57, MATCH($C50, $C$8:$C$57, 0), (COLUMNS($DU50:EE50)-1)*5 + 4) = "SF"), INDEX($CZ$8:$CZ$23, COLUMNS($DU50:EE50)), "0"), "")</f>
        <v>0</v>
      </c>
      <c r="EF50" s="390" t="str">
        <f t="array" ref="EF50">IFERROR(IF(AND(INDEX($E$8:$CE$57, MATCH($C50, $C$8:$C$57, 0), (COLUMNS($DU50:EF50)-1)*5 + 1) = INDEX($E$5:$CE$5, 1, (COLUMNS($DU50:EF50)-1)*5 + 1), INDEX($E$8:$CE$57, MATCH($C50, $C$8:$C$57, 0), (COLUMNS($DU50:EF50)-1)*5 + 4) = "SF"), INDEX($CZ$8:$CZ$23, COLUMNS($DU50:EF50)), "0"), "")</f>
        <v>0</v>
      </c>
      <c r="EG50" s="390" t="str">
        <f t="array" ref="EG50">IFERROR(IF(AND(INDEX($E$8:$CE$57, MATCH($C50, $C$8:$C$57, 0), (COLUMNS($DU50:EG50)-1)*5 + 1) = INDEX($E$5:$CE$5, 1, (COLUMNS($DU50:EG50)-1)*5 + 1), INDEX($E$8:$CE$57, MATCH($C50, $C$8:$C$57, 0), (COLUMNS($DU50:EG50)-1)*5 + 4) = "SF"), INDEX($CZ$8:$CZ$23, COLUMNS($DU50:EG50)), "0"), "")</f>
        <v>0</v>
      </c>
      <c r="EH50" s="390" t="str">
        <f t="array" ref="EH50">IFERROR(IF(AND(INDEX($E$8:$CE$57, MATCH($C50, $C$8:$C$57, 0), (COLUMNS($DU50:EH50)-1)*5 + 1) = INDEX($E$5:$CE$5, 1, (COLUMNS($DU50:EH50)-1)*5 + 1), INDEX($E$8:$CE$57, MATCH($C50, $C$8:$C$57, 0), (COLUMNS($DU50:EH50)-1)*5 + 4) = "SF"), INDEX($CZ$8:$CZ$23, COLUMNS($DU50:EH50)), "0"), "")</f>
        <v>0</v>
      </c>
      <c r="EI50" s="390" t="str">
        <f t="array" ref="EI50">IFERROR(IF(AND(INDEX($E$8:$CE$57, MATCH($C50, $C$8:$C$57, 0), (COLUMNS($DU50:EI50)-1)*5 + 1) = INDEX($E$5:$CE$5, 1, (COLUMNS($DU50:EI50)-1)*5 + 1), INDEX($E$8:$CE$57, MATCH($C50, $C$8:$C$57, 0), (COLUMNS($DU50:EI50)-1)*5 + 4) = "SF"), INDEX($CZ$8:$CZ$23, COLUMNS($DU50:EI50)), "0"), "")</f>
        <v>0</v>
      </c>
      <c r="EJ50" s="390" t="str">
        <f t="array" ref="EJ50">IFERROR(IF(AND(INDEX($E$8:$CE$57, MATCH($C50, $C$8:$C$57, 0), (COLUMNS($DU50:EJ50)-1)*5 + 1) = INDEX($E$5:$CE$5, 1, (COLUMNS($DU50:EJ50)-1)*5 + 1), INDEX($E$8:$CE$57, MATCH($C50, $C$8:$C$57, 0), (COLUMNS($DU50:EJ50)-1)*5 + 4) = "SF"), INDEX($CZ$8:$CZ$23, COLUMNS($DU50:EJ50)), "0"), "")</f>
        <v>0</v>
      </c>
    </row>
    <row r="51" spans="1:140" ht="20.100000000000001" customHeight="1" x14ac:dyDescent="0.35">
      <c r="A51" s="515"/>
      <c r="B51" s="444">
        <f>IF(SEMANA29[[#This Row],[COD]]&lt;&gt;"",B50+1,"")</f>
        <v>44</v>
      </c>
      <c r="C51" s="554" t="s">
        <v>115</v>
      </c>
      <c r="D51" s="410" t="str">
        <f t="array" ref="D51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51" s="411"/>
      <c r="F51" s="413"/>
      <c r="G51" s="413"/>
      <c r="H51" s="413"/>
      <c r="I51" s="534">
        <f t="shared" si="18"/>
        <v>0</v>
      </c>
      <c r="J51" s="411"/>
      <c r="K51" s="413"/>
      <c r="L51" s="413"/>
      <c r="M51" s="413"/>
      <c r="N51" s="534">
        <f t="shared" si="19"/>
        <v>0</v>
      </c>
      <c r="O51" s="411"/>
      <c r="P51" s="413"/>
      <c r="Q51" s="413"/>
      <c r="R51" s="413"/>
      <c r="S51" s="534">
        <f t="shared" si="20"/>
        <v>0</v>
      </c>
      <c r="T51" s="411"/>
      <c r="U51" s="413"/>
      <c r="V51" s="413"/>
      <c r="W51" s="413"/>
      <c r="X51" s="534">
        <f t="shared" si="21"/>
        <v>0</v>
      </c>
      <c r="Y51" s="411"/>
      <c r="Z51" s="413"/>
      <c r="AA51" s="413"/>
      <c r="AB51" s="413"/>
      <c r="AC51" s="534">
        <f t="shared" si="22"/>
        <v>0</v>
      </c>
      <c r="AD51" s="411"/>
      <c r="AE51" s="413"/>
      <c r="AF51" s="413"/>
      <c r="AG51" s="413"/>
      <c r="AH51" s="534">
        <f t="shared" si="23"/>
        <v>0</v>
      </c>
      <c r="AI51" s="411"/>
      <c r="AJ51" s="413"/>
      <c r="AK51" s="413"/>
      <c r="AL51" s="413"/>
      <c r="AM51" s="534">
        <f t="shared" si="24"/>
        <v>0</v>
      </c>
      <c r="AN51" s="411"/>
      <c r="AO51" s="413"/>
      <c r="AP51" s="413"/>
      <c r="AQ51" s="413"/>
      <c r="AR51" s="534">
        <f t="shared" si="25"/>
        <v>0</v>
      </c>
      <c r="AS51" s="411"/>
      <c r="AT51" s="413"/>
      <c r="AU51" s="413"/>
      <c r="AV51" s="413"/>
      <c r="AW51" s="534">
        <f t="shared" si="26"/>
        <v>0</v>
      </c>
      <c r="AX51" s="411"/>
      <c r="AY51" s="413"/>
      <c r="AZ51" s="413"/>
      <c r="BA51" s="413"/>
      <c r="BB51" s="534">
        <f t="shared" si="27"/>
        <v>0</v>
      </c>
      <c r="BC51" s="411"/>
      <c r="BD51" s="413"/>
      <c r="BE51" s="413"/>
      <c r="BF51" s="413"/>
      <c r="BG51" s="534">
        <f t="shared" si="28"/>
        <v>0</v>
      </c>
      <c r="BH51" s="411"/>
      <c r="BI51" s="413"/>
      <c r="BJ51" s="413"/>
      <c r="BK51" s="413"/>
      <c r="BL51" s="534">
        <f t="shared" si="29"/>
        <v>0</v>
      </c>
      <c r="BM51" s="411"/>
      <c r="BN51" s="413"/>
      <c r="BO51" s="413"/>
      <c r="BP51" s="413"/>
      <c r="BQ51" s="534">
        <f t="shared" si="30"/>
        <v>0</v>
      </c>
      <c r="BR51" s="411"/>
      <c r="BS51" s="413"/>
      <c r="BT51" s="413"/>
      <c r="BU51" s="413"/>
      <c r="BV51" s="534">
        <f t="shared" si="31"/>
        <v>0</v>
      </c>
      <c r="BW51" s="411"/>
      <c r="BX51" s="413"/>
      <c r="BY51" s="413"/>
      <c r="BZ51" s="413"/>
      <c r="CA51" s="534">
        <f t="shared" si="32"/>
        <v>0</v>
      </c>
      <c r="CB51" s="411"/>
      <c r="CC51" s="413"/>
      <c r="CD51" s="413"/>
      <c r="CE51" s="413"/>
      <c r="CF51" s="534">
        <f t="shared" si="33"/>
        <v>0</v>
      </c>
      <c r="CG51" s="162">
        <f>IF(SEMANA29[[#This Row],[1]]="",0,$B$4)</f>
        <v>0</v>
      </c>
      <c r="CH51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51" s="185">
        <f>IF(SEMANA29[[#This Row],[Columna14]]=0,0,(CH51/CG51))</f>
        <v>0</v>
      </c>
      <c r="CJ51" s="163">
        <f>IF(SEMANA29[[#This Row],[1]]="",0,$B$4)</f>
        <v>0</v>
      </c>
      <c r="CK51" s="186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51" s="185">
        <f>IF(SEMANA29[[#This Row],[Columna14]]=0,0,(CK51/CJ51))</f>
        <v>0</v>
      </c>
      <c r="CM51" s="162">
        <f>IF(SEMANA29[[#This Row],[1]]="",0,$B$4)</f>
        <v>0</v>
      </c>
      <c r="CN51" s="186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51" s="185">
        <f>IF(SEMANA29[[#This Row],[Columna14]]=0,0,(CN51/CM51))</f>
        <v>0</v>
      </c>
      <c r="CP51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51" s="186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Row],[Columna25]],$AX$5,BA51,"SF")+COUNTIFS(SEMANA29[[#This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51" s="185">
        <f>IFERROR(IF(SEMANA29[[#This Row],[Columna14]]=0,0,(CQ51/CP51)),0)</f>
        <v>0</v>
      </c>
      <c r="CS51" s="539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51" s="93">
        <f>_xlfn.XLOOKUP(SEMANA29[[#This Row],[COD]],SEMANA2[COD],SEMANA2[Columna33])</f>
        <v>0</v>
      </c>
      <c r="CU51" s="536">
        <f t="shared" si="34"/>
        <v>0</v>
      </c>
      <c r="CV51" s="445" t="str">
        <f>IF(SEMANA29[[#This Row],[TIPO]]="PREMIO",$O$3,"0,00")</f>
        <v>0,00</v>
      </c>
      <c r="CW51" s="515"/>
      <c r="CY51" s="387" t="str">
        <f t="shared" si="17"/>
        <v/>
      </c>
      <c r="CZ51" s="387"/>
      <c r="DA51" s="387" t="str">
        <f t="array" ref="DA51">IF(CZ51="", "", IF((INDEX(E$8:CE$57, MATCH(CZ51, C$8:C$57, 0), ($CZ$25-1)*5 + 1) &amp; "") = (INDEX(E$5:CE$5, 1, ($CZ$25-1)*5 + 1) &amp; ""), 1, IF((INDEX(E$8:CE$57, MATCH(CZ51, C$8:C$57, 0), ($CZ$25-1)*5 + 2) &amp; "") = (INDEX(E$5:CE$5, 1, ($CZ$25-1)*5 + 1) &amp; ""), 2, IF((INDEX(E$8:CE$57, MATCH(CZ51, C$8:C$57, 0), ($CZ$25-1)*5 + 3) &amp; "") = (INDEX(E$5:CE$5, 1, ($CZ$25-1)*5 + 1) &amp; ""), 3, ""))))</f>
        <v/>
      </c>
      <c r="DB51" s="537" t="str">
        <f>SEMANA29[[#This Row],[COD]]</f>
        <v>COD 44</v>
      </c>
      <c r="DC51" s="390" t="str">
        <f t="array" ref="DC51">IFERROR(IF(AND(INDEX($E$8:$CE$57, MATCH($C51, $C$8:$C$57, 0), (COLUMNS($DC51:DC51)-1)*5 + 1) = INDEX($E$5:$CE$5, 1, (COLUMNS($DC51:DC51)-1)*5 + 1), INDEX($E$8:$CE$57, MATCH($C51, $C$8:$C$57, 0), (COLUMNS($DC51:DC51)-1)*5 + 4) = "F"), INDEX($CZ$8:$CZ$23, COLUMNS($DC51:DC51)), "0"), "")</f>
        <v>0</v>
      </c>
      <c r="DD51" s="390" t="str">
        <f t="array" ref="DD51">IFERROR(IF(AND(INDEX($E$8:$CE$57, MATCH($C51, $C$8:$C$57, 0), (COLUMNS($DC51:DD51)-1)*5 + 1) = INDEX($E$5:$CE$5, 1, (COLUMNS($DC51:DD51)-1)*5 + 1), INDEX($E$8:$CE$57, MATCH($C51, $C$8:$C$57, 0), (COLUMNS($DC51:DD51)-1)*5 + 4) = "F"), INDEX($CZ$8:$CZ$23, COLUMNS($DC51:DD51)), "0"), "")</f>
        <v>0</v>
      </c>
      <c r="DE51" s="390" t="str">
        <f t="array" ref="DE51">IFERROR(IF(AND(INDEX($E$8:$CE$57, MATCH($C51, $C$8:$C$57, 0), (COLUMNS($DC51:DE51)-1)*5 + 1) = INDEX($E$5:$CE$5, 1, (COLUMNS($DC51:DE51)-1)*5 + 1), INDEX($E$8:$CE$57, MATCH($C51, $C$8:$C$57, 0), (COLUMNS($DC51:DE51)-1)*5 + 4) = "F"), INDEX($CZ$8:$CZ$23, COLUMNS($DC51:DE51)), "0"), "")</f>
        <v>0</v>
      </c>
      <c r="DF51" s="390" t="str">
        <f t="array" ref="DF51">IFERROR(IF(AND(INDEX($E$8:$CE$57, MATCH($C51, $C$8:$C$57, 0), (COLUMNS($DC51:DF51)-1)*5 + 1) = INDEX($E$5:$CE$5, 1, (COLUMNS($DC51:DF51)-1)*5 + 1), INDEX($E$8:$CE$57, MATCH($C51, $C$8:$C$57, 0), (COLUMNS($DC51:DF51)-1)*5 + 4) = "F"), INDEX($CZ$8:$CZ$23, COLUMNS($DC51:DF51)), "0"), "")</f>
        <v>0</v>
      </c>
      <c r="DG51" s="390" t="str">
        <f t="array" ref="DG51">IFERROR(IF(AND(INDEX($E$8:$CE$57, MATCH($C51, $C$8:$C$57, 0), (COLUMNS($DC51:DG51)-1)*5 + 1) = INDEX($E$5:$CE$5, 1, (COLUMNS($DC51:DG51)-1)*5 + 1), INDEX($E$8:$CE$57, MATCH($C51, $C$8:$C$57, 0), (COLUMNS($DC51:DG51)-1)*5 + 4) = "F"), INDEX($CZ$8:$CZ$23, COLUMNS($DC51:DG51)), "0"), "")</f>
        <v>0</v>
      </c>
      <c r="DH51" s="390" t="str">
        <f t="array" ref="DH51">IFERROR(IF(AND(INDEX($E$8:$CE$57, MATCH($C51, $C$8:$C$57, 0), (COLUMNS($DC51:DH51)-1)*5 + 1) = INDEX($E$5:$CE$5, 1, (COLUMNS($DC51:DH51)-1)*5 + 1), INDEX($E$8:$CE$57, MATCH($C51, $C$8:$C$57, 0), (COLUMNS($DC51:DH51)-1)*5 + 4) = "F"), INDEX($CZ$8:$CZ$23, COLUMNS($DC51:DH51)), "0"), "")</f>
        <v>0</v>
      </c>
      <c r="DI51" s="390" t="str">
        <f t="array" ref="DI51">IFERROR(IF(AND(INDEX($E$8:$CE$57, MATCH($C51, $C$8:$C$57, 0), (COLUMNS($DC51:DI51)-1)*5 + 1) = INDEX($E$5:$CE$5, 1, (COLUMNS($DC51:DI51)-1)*5 + 1), INDEX($E$8:$CE$57, MATCH($C51, $C$8:$C$57, 0), (COLUMNS($DC51:DI51)-1)*5 + 4) = "F"), INDEX($CZ$8:$CZ$23, COLUMNS($DC51:DI51)), "0"), "")</f>
        <v>0</v>
      </c>
      <c r="DJ51" s="390" t="str">
        <f t="array" ref="DJ51">IFERROR(IF(AND(INDEX($E$8:$CE$57, MATCH($C51, $C$8:$C$57, 0), (COLUMNS($DC51:DJ51)-1)*5 + 1) = INDEX($E$5:$CE$5, 1, (COLUMNS($DC51:DJ51)-1)*5 + 1), INDEX($E$8:$CE$57, MATCH($C51, $C$8:$C$57, 0), (COLUMNS($DC51:DJ51)-1)*5 + 4) = "F"), INDEX($CZ$8:$CZ$23, COLUMNS($DC51:DJ51)), "0"), "")</f>
        <v>0</v>
      </c>
      <c r="DK51" s="390" t="str">
        <f t="array" ref="DK51">IFERROR(IF(AND(INDEX($E$8:$CE$57, MATCH($C51, $C$8:$C$57, 0), (COLUMNS($DC51:DK51)-1)*5 + 1) = INDEX($E$5:$CE$5, 1, (COLUMNS($DC51:DK51)-1)*5 + 1), INDEX($E$8:$CE$57, MATCH($C51, $C$8:$C$57, 0), (COLUMNS($DC51:DK51)-1)*5 + 4) = "F"), INDEX($CZ$8:$CZ$23, COLUMNS($DC51:DK51)), "0"), "")</f>
        <v>0</v>
      </c>
      <c r="DL51" s="390" t="str">
        <f t="array" ref="DL51">IFERROR(IF(AND(INDEX($E$8:$CE$57, MATCH($C51, $C$8:$C$57, 0), (COLUMNS($DC51:DL51)-1)*5 + 1) = INDEX($E$5:$CE$5, 1, (COLUMNS($DC51:DL51)-1)*5 + 1), INDEX($E$8:$CE$57, MATCH($C51, $C$8:$C$57, 0), (COLUMNS($DC51:DL51)-1)*5 + 4) = "F"), INDEX($CZ$8:$CZ$23, COLUMNS($DC51:DL51)), "0"), "")</f>
        <v>0</v>
      </c>
      <c r="DM51" s="390" t="str">
        <f t="array" ref="DM51">IFERROR(IF(AND(INDEX($E$8:$CE$57, MATCH($C51, $C$8:$C$57, 0), (COLUMNS($DC51:DM51)-1)*5 + 1) = INDEX($E$5:$CE$5, 1, (COLUMNS($DC51:DM51)-1)*5 + 1), INDEX($E$8:$CE$57, MATCH($C51, $C$8:$C$57, 0), (COLUMNS($DC51:DM51)-1)*5 + 4) = "F"), INDEX($CZ$8:$CZ$23, COLUMNS($DC51:DM51)), "0"), "")</f>
        <v>0</v>
      </c>
      <c r="DN51" s="390" t="str">
        <f t="array" ref="DN51">IFERROR(IF(AND(INDEX($E$8:$CE$57, MATCH($C51, $C$8:$C$57, 0), (COLUMNS($DC51:DN51)-1)*5 + 1) = INDEX($E$5:$CE$5, 1, (COLUMNS($DC51:DN51)-1)*5 + 1), INDEX($E$8:$CE$57, MATCH($C51, $C$8:$C$57, 0), (COLUMNS($DC51:DN51)-1)*5 + 4) = "F"), INDEX($CZ$8:$CZ$23, COLUMNS($DC51:DN51)), "0"), "")</f>
        <v>0</v>
      </c>
      <c r="DO51" s="390" t="str">
        <f t="array" ref="DO51">IFERROR(IF(AND(INDEX($E$8:$CE$57, MATCH($C51, $C$8:$C$57, 0), (COLUMNS($DC51:DO51)-1)*5 + 1) = INDEX($E$5:$CE$5, 1, (COLUMNS($DC51:DO51)-1)*5 + 1), INDEX($E$8:$CE$57, MATCH($C51, $C$8:$C$57, 0), (COLUMNS($DC51:DO51)-1)*5 + 4) = "F"), INDEX($CZ$8:$CZ$23, COLUMNS($DC51:DO51)), "0"), "")</f>
        <v>0</v>
      </c>
      <c r="DP51" s="390" t="str">
        <f t="array" ref="DP51">IFERROR(IF(AND(INDEX($E$8:$CE$57, MATCH($C51, $C$8:$C$57, 0), (COLUMNS($DC51:DP51)-1)*5 + 1) = INDEX($E$5:$CE$5, 1, (COLUMNS($DC51:DP51)-1)*5 + 1), INDEX($E$8:$CE$57, MATCH($C51, $C$8:$C$57, 0), (COLUMNS($DC51:DP51)-1)*5 + 4) = "F"), INDEX($CZ$8:$CZ$23, COLUMNS($DC51:DP51)), "0"), "")</f>
        <v>0</v>
      </c>
      <c r="DQ51" s="390" t="str">
        <f t="array" ref="DQ51">IFERROR(IF(AND(INDEX($E$8:$CE$57, MATCH($C51, $C$8:$C$57, 0), (COLUMNS($DC51:DQ51)-1)*5 + 1) = INDEX($E$5:$CE$5, 1, (COLUMNS($DC51:DQ51)-1)*5 + 1), INDEX($E$8:$CE$57, MATCH($C51, $C$8:$C$57, 0), (COLUMNS($DC51:DQ51)-1)*5 + 4) = "F"), INDEX($CZ$8:$CZ$23, COLUMNS($DC51:DQ51)), "0"), "")</f>
        <v>0</v>
      </c>
      <c r="DR51" s="390" t="str">
        <f t="array" ref="DR51">IFERROR(IF(AND(INDEX($E$8:$CE$57, MATCH($C51, $C$8:$C$57, 0), (COLUMNS($DC51:DR51)-1)*5 + 1) = INDEX($E$5:$CE$5, 1, (COLUMNS($DC51:DR51)-1)*5 + 1), INDEX($E$8:$CE$57, MATCH($C51, $C$8:$C$57, 0), (COLUMNS($DC51:DR51)-1)*5 + 4) = "F"), INDEX($CZ$8:$CZ$23, COLUMNS($DC51:DR51)), "0"), "")</f>
        <v>0</v>
      </c>
      <c r="DT51" s="537" t="str">
        <f>SEMANA29[[#This Row],[COD]]</f>
        <v>COD 44</v>
      </c>
      <c r="DU51" s="390" t="str">
        <f t="array" ref="DU51">IFERROR(IF(AND(INDEX($E$8:$CE$57, MATCH($C51, $C$8:$C$57, 0), (COLUMNS($DU51:DU51)-1)*5 + 1) = INDEX($E$5:$CE$5, 1, (COLUMNS($DU51:DU51)-1)*5 + 1), INDEX($E$8:$CE$57, MATCH($C51, $C$8:$C$57, 0), (COLUMNS($DU51:DU51)-1)*5 + 4) = "SF"), INDEX($CZ$8:$CZ$23, COLUMNS($DU51:DU51)), "0"), "")</f>
        <v>0</v>
      </c>
      <c r="DV51" s="390" t="str">
        <f t="array" ref="DV51">IFERROR(IF(AND(INDEX($E$8:$CE$57, MATCH($C51, $C$8:$C$57, 0), (COLUMNS($DU51:DV51)-1)*5 + 1) = INDEX($E$5:$CE$5, 1, (COLUMNS($DU51:DV51)-1)*5 + 1), INDEX($E$8:$CE$57, MATCH($C51, $C$8:$C$57, 0), (COLUMNS($DU51:DV51)-1)*5 + 4) = "SF"), INDEX($CZ$8:$CZ$23, COLUMNS($DU51:DV51)), "0"), "")</f>
        <v>0</v>
      </c>
      <c r="DW51" s="390" t="str">
        <f t="array" ref="DW51">IFERROR(IF(AND(INDEX($E$8:$CE$57, MATCH($C51, $C$8:$C$57, 0), (COLUMNS($DU51:DW51)-1)*5 + 1) = INDEX($E$5:$CE$5, 1, (COLUMNS($DU51:DW51)-1)*5 + 1), INDEX($E$8:$CE$57, MATCH($C51, $C$8:$C$57, 0), (COLUMNS($DU51:DW51)-1)*5 + 4) = "SF"), INDEX($CZ$8:$CZ$23, COLUMNS($DU51:DW51)), "0"), "")</f>
        <v>0</v>
      </c>
      <c r="DX51" s="390" t="str">
        <f t="array" ref="DX51">IFERROR(IF(AND(INDEX($E$8:$CE$57, MATCH($C51, $C$8:$C$57, 0), (COLUMNS($DU51:DX51)-1)*5 + 1) = INDEX($E$5:$CE$5, 1, (COLUMNS($DU51:DX51)-1)*5 + 1), INDEX($E$8:$CE$57, MATCH($C51, $C$8:$C$57, 0), (COLUMNS($DU51:DX51)-1)*5 + 4) = "SF"), INDEX($CZ$8:$CZ$23, COLUMNS($DU51:DX51)), "0"), "")</f>
        <v>0</v>
      </c>
      <c r="DY51" s="390" t="str">
        <f t="array" ref="DY51">IFERROR(IF(AND(INDEX($E$8:$CE$57, MATCH($C51, $C$8:$C$57, 0), (COLUMNS($DU51:DY51)-1)*5 + 1) = INDEX($E$5:$CE$5, 1, (COLUMNS($DU51:DY51)-1)*5 + 1), INDEX($E$8:$CE$57, MATCH($C51, $C$8:$C$57, 0), (COLUMNS($DU51:DY51)-1)*5 + 4) = "SF"), INDEX($CZ$8:$CZ$23, COLUMNS($DU51:DY51)), "0"), "")</f>
        <v>0</v>
      </c>
      <c r="DZ51" s="390" t="str">
        <f t="array" ref="DZ51">IFERROR(IF(AND(INDEX($E$8:$CE$57, MATCH($C51, $C$8:$C$57, 0), (COLUMNS($DU51:DZ51)-1)*5 + 1) = INDEX($E$5:$CE$5, 1, (COLUMNS($DU51:DZ51)-1)*5 + 1), INDEX($E$8:$CE$57, MATCH($C51, $C$8:$C$57, 0), (COLUMNS($DU51:DZ51)-1)*5 + 4) = "SF"), INDEX($CZ$8:$CZ$23, COLUMNS($DU51:DZ51)), "0"), "")</f>
        <v>0</v>
      </c>
      <c r="EA51" s="390" t="str">
        <f t="array" ref="EA51">IFERROR(IF(AND(INDEX($E$8:$CE$57, MATCH($C51, $C$8:$C$57, 0), (COLUMNS($DU51:EA51)-1)*5 + 1) = INDEX($E$5:$CE$5, 1, (COLUMNS($DU51:EA51)-1)*5 + 1), INDEX($E$8:$CE$57, MATCH($C51, $C$8:$C$57, 0), (COLUMNS($DU51:EA51)-1)*5 + 4) = "SF"), INDEX($CZ$8:$CZ$23, COLUMNS($DU51:EA51)), "0"), "")</f>
        <v>0</v>
      </c>
      <c r="EB51" s="390" t="str">
        <f t="array" ref="EB51">IFERROR(IF(AND(INDEX($E$8:$CE$57, MATCH($C51, $C$8:$C$57, 0), (COLUMNS($DU51:EB51)-1)*5 + 1) = INDEX($E$5:$CE$5, 1, (COLUMNS($DU51:EB51)-1)*5 + 1), INDEX($E$8:$CE$57, MATCH($C51, $C$8:$C$57, 0), (COLUMNS($DU51:EB51)-1)*5 + 4) = "SF"), INDEX($CZ$8:$CZ$23, COLUMNS($DU51:EB51)), "0"), "")</f>
        <v>0</v>
      </c>
      <c r="EC51" s="390" t="str">
        <f t="array" ref="EC51">IFERROR(IF(AND(INDEX($E$8:$CE$57, MATCH($C51, $C$8:$C$57, 0), (COLUMNS($DU51:EC51)-1)*5 + 1) = INDEX($E$5:$CE$5, 1, (COLUMNS($DU51:EC51)-1)*5 + 1), INDEX($E$8:$CE$57, MATCH($C51, $C$8:$C$57, 0), (COLUMNS($DU51:EC51)-1)*5 + 4) = "SF"), INDEX($CZ$8:$CZ$23, COLUMNS($DU51:EC51)), "0"), "")</f>
        <v>0</v>
      </c>
      <c r="ED51" s="390" t="str">
        <f t="array" ref="ED51">IFERROR(IF(AND(INDEX($E$8:$CE$57, MATCH($C51, $C$8:$C$57, 0), (COLUMNS($DU51:ED51)-1)*5 + 1) = INDEX($E$5:$CE$5, 1, (COLUMNS($DU51:ED51)-1)*5 + 1), INDEX($E$8:$CE$57, MATCH($C51, $C$8:$C$57, 0), (COLUMNS($DU51:ED51)-1)*5 + 4) = "SF"), INDEX($CZ$8:$CZ$23, COLUMNS($DU51:ED51)), "0"), "")</f>
        <v>0</v>
      </c>
      <c r="EE51" s="390" t="str">
        <f t="array" ref="EE51">IFERROR(IF(AND(INDEX($E$8:$CE$57, MATCH($C51, $C$8:$C$57, 0), (COLUMNS($DU51:EE51)-1)*5 + 1) = INDEX($E$5:$CE$5, 1, (COLUMNS($DU51:EE51)-1)*5 + 1), INDEX($E$8:$CE$57, MATCH($C51, $C$8:$C$57, 0), (COLUMNS($DU51:EE51)-1)*5 + 4) = "SF"), INDEX($CZ$8:$CZ$23, COLUMNS($DU51:EE51)), "0"), "")</f>
        <v>0</v>
      </c>
      <c r="EF51" s="390" t="str">
        <f t="array" ref="EF51">IFERROR(IF(AND(INDEX($E$8:$CE$57, MATCH($C51, $C$8:$C$57, 0), (COLUMNS($DU51:EF51)-1)*5 + 1) = INDEX($E$5:$CE$5, 1, (COLUMNS($DU51:EF51)-1)*5 + 1), INDEX($E$8:$CE$57, MATCH($C51, $C$8:$C$57, 0), (COLUMNS($DU51:EF51)-1)*5 + 4) = "SF"), INDEX($CZ$8:$CZ$23, COLUMNS($DU51:EF51)), "0"), "")</f>
        <v>0</v>
      </c>
      <c r="EG51" s="390" t="str">
        <f t="array" ref="EG51">IFERROR(IF(AND(INDEX($E$8:$CE$57, MATCH($C51, $C$8:$C$57, 0), (COLUMNS($DU51:EG51)-1)*5 + 1) = INDEX($E$5:$CE$5, 1, (COLUMNS($DU51:EG51)-1)*5 + 1), INDEX($E$8:$CE$57, MATCH($C51, $C$8:$C$57, 0), (COLUMNS($DU51:EG51)-1)*5 + 4) = "SF"), INDEX($CZ$8:$CZ$23, COLUMNS($DU51:EG51)), "0"), "")</f>
        <v>0</v>
      </c>
      <c r="EH51" s="390" t="str">
        <f t="array" ref="EH51">IFERROR(IF(AND(INDEX($E$8:$CE$57, MATCH($C51, $C$8:$C$57, 0), (COLUMNS($DU51:EH51)-1)*5 + 1) = INDEX($E$5:$CE$5, 1, (COLUMNS($DU51:EH51)-1)*5 + 1), INDEX($E$8:$CE$57, MATCH($C51, $C$8:$C$57, 0), (COLUMNS($DU51:EH51)-1)*5 + 4) = "SF"), INDEX($CZ$8:$CZ$23, COLUMNS($DU51:EH51)), "0"), "")</f>
        <v>0</v>
      </c>
      <c r="EI51" s="390" t="str">
        <f t="array" ref="EI51">IFERROR(IF(AND(INDEX($E$8:$CE$57, MATCH($C51, $C$8:$C$57, 0), (COLUMNS($DU51:EI51)-1)*5 + 1) = INDEX($E$5:$CE$5, 1, (COLUMNS($DU51:EI51)-1)*5 + 1), INDEX($E$8:$CE$57, MATCH($C51, $C$8:$C$57, 0), (COLUMNS($DU51:EI51)-1)*5 + 4) = "SF"), INDEX($CZ$8:$CZ$23, COLUMNS($DU51:EI51)), "0"), "")</f>
        <v>0</v>
      </c>
      <c r="EJ51" s="390" t="str">
        <f t="array" ref="EJ51">IFERROR(IF(AND(INDEX($E$8:$CE$57, MATCH($C51, $C$8:$C$57, 0), (COLUMNS($DU51:EJ51)-1)*5 + 1) = INDEX($E$5:$CE$5, 1, (COLUMNS($DU51:EJ51)-1)*5 + 1), INDEX($E$8:$CE$57, MATCH($C51, $C$8:$C$57, 0), (COLUMNS($DU51:EJ51)-1)*5 + 4) = "SF"), INDEX($CZ$8:$CZ$23, COLUMNS($DU51:EJ51)), "0"), "")</f>
        <v>0</v>
      </c>
    </row>
    <row r="52" spans="1:140" ht="20.100000000000001" customHeight="1" x14ac:dyDescent="0.35">
      <c r="A52" s="515"/>
      <c r="B52" s="444">
        <f>IF(SEMANA29[[#This Row],[COD]]&lt;&gt;"",B51+1,"")</f>
        <v>45</v>
      </c>
      <c r="C52" s="554" t="s">
        <v>116</v>
      </c>
      <c r="D52" s="410" t="str">
        <f t="array" ref="D52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52" s="411"/>
      <c r="F52" s="413"/>
      <c r="G52" s="413"/>
      <c r="H52" s="413"/>
      <c r="I52" s="534">
        <f t="shared" si="18"/>
        <v>0</v>
      </c>
      <c r="J52" s="411"/>
      <c r="K52" s="413"/>
      <c r="L52" s="413"/>
      <c r="M52" s="413"/>
      <c r="N52" s="534">
        <f t="shared" si="19"/>
        <v>0</v>
      </c>
      <c r="O52" s="411"/>
      <c r="P52" s="413"/>
      <c r="Q52" s="413"/>
      <c r="R52" s="413"/>
      <c r="S52" s="534">
        <f t="shared" si="20"/>
        <v>0</v>
      </c>
      <c r="T52" s="411"/>
      <c r="U52" s="413"/>
      <c r="V52" s="413"/>
      <c r="W52" s="413"/>
      <c r="X52" s="534">
        <f t="shared" si="21"/>
        <v>0</v>
      </c>
      <c r="Y52" s="411"/>
      <c r="Z52" s="413"/>
      <c r="AA52" s="413"/>
      <c r="AB52" s="413"/>
      <c r="AC52" s="534">
        <f t="shared" si="22"/>
        <v>0</v>
      </c>
      <c r="AD52" s="411"/>
      <c r="AE52" s="413"/>
      <c r="AF52" s="413"/>
      <c r="AG52" s="413"/>
      <c r="AH52" s="534">
        <f t="shared" si="23"/>
        <v>0</v>
      </c>
      <c r="AI52" s="411"/>
      <c r="AJ52" s="413"/>
      <c r="AK52" s="413"/>
      <c r="AL52" s="413"/>
      <c r="AM52" s="534">
        <f t="shared" si="24"/>
        <v>0</v>
      </c>
      <c r="AN52" s="411"/>
      <c r="AO52" s="413"/>
      <c r="AP52" s="413"/>
      <c r="AQ52" s="413"/>
      <c r="AR52" s="534">
        <f t="shared" si="25"/>
        <v>0</v>
      </c>
      <c r="AS52" s="411"/>
      <c r="AT52" s="413"/>
      <c r="AU52" s="413"/>
      <c r="AV52" s="413"/>
      <c r="AW52" s="534">
        <f t="shared" si="26"/>
        <v>0</v>
      </c>
      <c r="AX52" s="411"/>
      <c r="AY52" s="413"/>
      <c r="AZ52" s="413"/>
      <c r="BA52" s="413"/>
      <c r="BB52" s="534">
        <f t="shared" si="27"/>
        <v>0</v>
      </c>
      <c r="BC52" s="411"/>
      <c r="BD52" s="413"/>
      <c r="BE52" s="413"/>
      <c r="BF52" s="413"/>
      <c r="BG52" s="534">
        <f t="shared" si="28"/>
        <v>0</v>
      </c>
      <c r="BH52" s="411"/>
      <c r="BI52" s="413"/>
      <c r="BJ52" s="413"/>
      <c r="BK52" s="413"/>
      <c r="BL52" s="534">
        <f t="shared" si="29"/>
        <v>0</v>
      </c>
      <c r="BM52" s="411"/>
      <c r="BN52" s="413"/>
      <c r="BO52" s="413"/>
      <c r="BP52" s="413"/>
      <c r="BQ52" s="534">
        <f t="shared" si="30"/>
        <v>0</v>
      </c>
      <c r="BR52" s="411"/>
      <c r="BS52" s="413"/>
      <c r="BT52" s="413"/>
      <c r="BU52" s="413"/>
      <c r="BV52" s="534">
        <f t="shared" si="31"/>
        <v>0</v>
      </c>
      <c r="BW52" s="411"/>
      <c r="BX52" s="413"/>
      <c r="BY52" s="413"/>
      <c r="BZ52" s="413"/>
      <c r="CA52" s="534">
        <f t="shared" si="32"/>
        <v>0</v>
      </c>
      <c r="CB52" s="411"/>
      <c r="CC52" s="413"/>
      <c r="CD52" s="413"/>
      <c r="CE52" s="413"/>
      <c r="CF52" s="534">
        <f t="shared" si="33"/>
        <v>0</v>
      </c>
      <c r="CG52" s="162">
        <f>IF(SEMANA29[[#This Row],[1]]="",0,$B$4)</f>
        <v>0</v>
      </c>
      <c r="CH52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52" s="185">
        <f>IF(SEMANA29[[#This Row],[Columna14]]=0,0,(CH52/CG52))</f>
        <v>0</v>
      </c>
      <c r="CJ52" s="163">
        <f>IF(SEMANA29[[#This Row],[1]]="",0,$B$4)</f>
        <v>0</v>
      </c>
      <c r="CK52" s="186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52" s="185">
        <f>IF(SEMANA29[[#This Row],[Columna14]]=0,0,(CK52/CJ52))</f>
        <v>0</v>
      </c>
      <c r="CM52" s="162">
        <f>IF(SEMANA29[[#This Row],[1]]="",0,$B$4)</f>
        <v>0</v>
      </c>
      <c r="CN52" s="186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52" s="185">
        <f>IF(SEMANA29[[#This Row],[Columna14]]=0,0,(CN52/CM52))</f>
        <v>0</v>
      </c>
      <c r="CP52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52" s="186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Row],[Columna25]],$AX$5,BA52,"SF")+COUNTIFS(SEMANA29[[#This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52" s="185">
        <f>IFERROR(IF(SEMANA29[[#This Row],[Columna14]]=0,0,(CQ52/CP52)),0)</f>
        <v>0</v>
      </c>
      <c r="CS52" s="539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52" s="93">
        <f>_xlfn.XLOOKUP(SEMANA29[[#This Row],[COD]],SEMANA2[COD],SEMANA2[Columna33])</f>
        <v>0</v>
      </c>
      <c r="CU52" s="536">
        <f t="shared" si="34"/>
        <v>0</v>
      </c>
      <c r="CV52" s="445" t="str">
        <f>IF(SEMANA29[[#This Row],[TIPO]]="PREMIO",$O$3,"0,00")</f>
        <v>0,00</v>
      </c>
      <c r="CW52" s="515"/>
      <c r="CY52" s="387" t="str">
        <f t="shared" si="17"/>
        <v/>
      </c>
      <c r="CZ52" s="387"/>
      <c r="DA52" s="387" t="str">
        <f t="array" ref="DA52">IF(CZ52="", "", IF((INDEX(E$8:CE$57, MATCH(CZ52, C$8:C$57, 0), ($CZ$25-1)*5 + 1) &amp; "") = (INDEX(E$5:CE$5, 1, ($CZ$25-1)*5 + 1) &amp; ""), 1, IF((INDEX(E$8:CE$57, MATCH(CZ52, C$8:C$57, 0), ($CZ$25-1)*5 + 2) &amp; "") = (INDEX(E$5:CE$5, 1, ($CZ$25-1)*5 + 1) &amp; ""), 2, IF((INDEX(E$8:CE$57, MATCH(CZ52, C$8:C$57, 0), ($CZ$25-1)*5 + 3) &amp; "") = (INDEX(E$5:CE$5, 1, ($CZ$25-1)*5 + 1) &amp; ""), 3, ""))))</f>
        <v/>
      </c>
      <c r="DB52" s="537" t="str">
        <f>SEMANA29[[#This Row],[COD]]</f>
        <v>COD 45</v>
      </c>
      <c r="DC52" s="390" t="str">
        <f t="array" ref="DC52">IFERROR(IF(AND(INDEX($E$8:$CE$57, MATCH($C52, $C$8:$C$57, 0), (COLUMNS($DC52:DC52)-1)*5 + 1) = INDEX($E$5:$CE$5, 1, (COLUMNS($DC52:DC52)-1)*5 + 1), INDEX($E$8:$CE$57, MATCH($C52, $C$8:$C$57, 0), (COLUMNS($DC52:DC52)-1)*5 + 4) = "F"), INDEX($CZ$8:$CZ$23, COLUMNS($DC52:DC52)), "0"), "")</f>
        <v>0</v>
      </c>
      <c r="DD52" s="390" t="str">
        <f t="array" ref="DD52">IFERROR(IF(AND(INDEX($E$8:$CE$57, MATCH($C52, $C$8:$C$57, 0), (COLUMNS($DC52:DD52)-1)*5 + 1) = INDEX($E$5:$CE$5, 1, (COLUMNS($DC52:DD52)-1)*5 + 1), INDEX($E$8:$CE$57, MATCH($C52, $C$8:$C$57, 0), (COLUMNS($DC52:DD52)-1)*5 + 4) = "F"), INDEX($CZ$8:$CZ$23, COLUMNS($DC52:DD52)), "0"), "")</f>
        <v>0</v>
      </c>
      <c r="DE52" s="390" t="str">
        <f t="array" ref="DE52">IFERROR(IF(AND(INDEX($E$8:$CE$57, MATCH($C52, $C$8:$C$57, 0), (COLUMNS($DC52:DE52)-1)*5 + 1) = INDEX($E$5:$CE$5, 1, (COLUMNS($DC52:DE52)-1)*5 + 1), INDEX($E$8:$CE$57, MATCH($C52, $C$8:$C$57, 0), (COLUMNS($DC52:DE52)-1)*5 + 4) = "F"), INDEX($CZ$8:$CZ$23, COLUMNS($DC52:DE52)), "0"), "")</f>
        <v>0</v>
      </c>
      <c r="DF52" s="390" t="str">
        <f t="array" ref="DF52">IFERROR(IF(AND(INDEX($E$8:$CE$57, MATCH($C52, $C$8:$C$57, 0), (COLUMNS($DC52:DF52)-1)*5 + 1) = INDEX($E$5:$CE$5, 1, (COLUMNS($DC52:DF52)-1)*5 + 1), INDEX($E$8:$CE$57, MATCH($C52, $C$8:$C$57, 0), (COLUMNS($DC52:DF52)-1)*5 + 4) = "F"), INDEX($CZ$8:$CZ$23, COLUMNS($DC52:DF52)), "0"), "")</f>
        <v>0</v>
      </c>
      <c r="DG52" s="390" t="str">
        <f t="array" ref="DG52">IFERROR(IF(AND(INDEX($E$8:$CE$57, MATCH($C52, $C$8:$C$57, 0), (COLUMNS($DC52:DG52)-1)*5 + 1) = INDEX($E$5:$CE$5, 1, (COLUMNS($DC52:DG52)-1)*5 + 1), INDEX($E$8:$CE$57, MATCH($C52, $C$8:$C$57, 0), (COLUMNS($DC52:DG52)-1)*5 + 4) = "F"), INDEX($CZ$8:$CZ$23, COLUMNS($DC52:DG52)), "0"), "")</f>
        <v>0</v>
      </c>
      <c r="DH52" s="390" t="str">
        <f t="array" ref="DH52">IFERROR(IF(AND(INDEX($E$8:$CE$57, MATCH($C52, $C$8:$C$57, 0), (COLUMNS($DC52:DH52)-1)*5 + 1) = INDEX($E$5:$CE$5, 1, (COLUMNS($DC52:DH52)-1)*5 + 1), INDEX($E$8:$CE$57, MATCH($C52, $C$8:$C$57, 0), (COLUMNS($DC52:DH52)-1)*5 + 4) = "F"), INDEX($CZ$8:$CZ$23, COLUMNS($DC52:DH52)), "0"), "")</f>
        <v>0</v>
      </c>
      <c r="DI52" s="390" t="str">
        <f t="array" ref="DI52">IFERROR(IF(AND(INDEX($E$8:$CE$57, MATCH($C52, $C$8:$C$57, 0), (COLUMNS($DC52:DI52)-1)*5 + 1) = INDEX($E$5:$CE$5, 1, (COLUMNS($DC52:DI52)-1)*5 + 1), INDEX($E$8:$CE$57, MATCH($C52, $C$8:$C$57, 0), (COLUMNS($DC52:DI52)-1)*5 + 4) = "F"), INDEX($CZ$8:$CZ$23, COLUMNS($DC52:DI52)), "0"), "")</f>
        <v>0</v>
      </c>
      <c r="DJ52" s="390" t="str">
        <f t="array" ref="DJ52">IFERROR(IF(AND(INDEX($E$8:$CE$57, MATCH($C52, $C$8:$C$57, 0), (COLUMNS($DC52:DJ52)-1)*5 + 1) = INDEX($E$5:$CE$5, 1, (COLUMNS($DC52:DJ52)-1)*5 + 1), INDEX($E$8:$CE$57, MATCH($C52, $C$8:$C$57, 0), (COLUMNS($DC52:DJ52)-1)*5 + 4) = "F"), INDEX($CZ$8:$CZ$23, COLUMNS($DC52:DJ52)), "0"), "")</f>
        <v>0</v>
      </c>
      <c r="DK52" s="390" t="str">
        <f t="array" ref="DK52">IFERROR(IF(AND(INDEX($E$8:$CE$57, MATCH($C52, $C$8:$C$57, 0), (COLUMNS($DC52:DK52)-1)*5 + 1) = INDEX($E$5:$CE$5, 1, (COLUMNS($DC52:DK52)-1)*5 + 1), INDEX($E$8:$CE$57, MATCH($C52, $C$8:$C$57, 0), (COLUMNS($DC52:DK52)-1)*5 + 4) = "F"), INDEX($CZ$8:$CZ$23, COLUMNS($DC52:DK52)), "0"), "")</f>
        <v>0</v>
      </c>
      <c r="DL52" s="390" t="str">
        <f t="array" ref="DL52">IFERROR(IF(AND(INDEX($E$8:$CE$57, MATCH($C52, $C$8:$C$57, 0), (COLUMNS($DC52:DL52)-1)*5 + 1) = INDEX($E$5:$CE$5, 1, (COLUMNS($DC52:DL52)-1)*5 + 1), INDEX($E$8:$CE$57, MATCH($C52, $C$8:$C$57, 0), (COLUMNS($DC52:DL52)-1)*5 + 4) = "F"), INDEX($CZ$8:$CZ$23, COLUMNS($DC52:DL52)), "0"), "")</f>
        <v>0</v>
      </c>
      <c r="DM52" s="390" t="str">
        <f t="array" ref="DM52">IFERROR(IF(AND(INDEX($E$8:$CE$57, MATCH($C52, $C$8:$C$57, 0), (COLUMNS($DC52:DM52)-1)*5 + 1) = INDEX($E$5:$CE$5, 1, (COLUMNS($DC52:DM52)-1)*5 + 1), INDEX($E$8:$CE$57, MATCH($C52, $C$8:$C$57, 0), (COLUMNS($DC52:DM52)-1)*5 + 4) = "F"), INDEX($CZ$8:$CZ$23, COLUMNS($DC52:DM52)), "0"), "")</f>
        <v>0</v>
      </c>
      <c r="DN52" s="390" t="str">
        <f t="array" ref="DN52">IFERROR(IF(AND(INDEX($E$8:$CE$57, MATCH($C52, $C$8:$C$57, 0), (COLUMNS($DC52:DN52)-1)*5 + 1) = INDEX($E$5:$CE$5, 1, (COLUMNS($DC52:DN52)-1)*5 + 1), INDEX($E$8:$CE$57, MATCH($C52, $C$8:$C$57, 0), (COLUMNS($DC52:DN52)-1)*5 + 4) = "F"), INDEX($CZ$8:$CZ$23, COLUMNS($DC52:DN52)), "0"), "")</f>
        <v>0</v>
      </c>
      <c r="DO52" s="390" t="str">
        <f t="array" ref="DO52">IFERROR(IF(AND(INDEX($E$8:$CE$57, MATCH($C52, $C$8:$C$57, 0), (COLUMNS($DC52:DO52)-1)*5 + 1) = INDEX($E$5:$CE$5, 1, (COLUMNS($DC52:DO52)-1)*5 + 1), INDEX($E$8:$CE$57, MATCH($C52, $C$8:$C$57, 0), (COLUMNS($DC52:DO52)-1)*5 + 4) = "F"), INDEX($CZ$8:$CZ$23, COLUMNS($DC52:DO52)), "0"), "")</f>
        <v>0</v>
      </c>
      <c r="DP52" s="390" t="str">
        <f t="array" ref="DP52">IFERROR(IF(AND(INDEX($E$8:$CE$57, MATCH($C52, $C$8:$C$57, 0), (COLUMNS($DC52:DP52)-1)*5 + 1) = INDEX($E$5:$CE$5, 1, (COLUMNS($DC52:DP52)-1)*5 + 1), INDEX($E$8:$CE$57, MATCH($C52, $C$8:$C$57, 0), (COLUMNS($DC52:DP52)-1)*5 + 4) = "F"), INDEX($CZ$8:$CZ$23, COLUMNS($DC52:DP52)), "0"), "")</f>
        <v>0</v>
      </c>
      <c r="DQ52" s="390" t="str">
        <f t="array" ref="DQ52">IFERROR(IF(AND(INDEX($E$8:$CE$57, MATCH($C52, $C$8:$C$57, 0), (COLUMNS($DC52:DQ52)-1)*5 + 1) = INDEX($E$5:$CE$5, 1, (COLUMNS($DC52:DQ52)-1)*5 + 1), INDEX($E$8:$CE$57, MATCH($C52, $C$8:$C$57, 0), (COLUMNS($DC52:DQ52)-1)*5 + 4) = "F"), INDEX($CZ$8:$CZ$23, COLUMNS($DC52:DQ52)), "0"), "")</f>
        <v>0</v>
      </c>
      <c r="DR52" s="390" t="str">
        <f t="array" ref="DR52">IFERROR(IF(AND(INDEX($E$8:$CE$57, MATCH($C52, $C$8:$C$57, 0), (COLUMNS($DC52:DR52)-1)*5 + 1) = INDEX($E$5:$CE$5, 1, (COLUMNS($DC52:DR52)-1)*5 + 1), INDEX($E$8:$CE$57, MATCH($C52, $C$8:$C$57, 0), (COLUMNS($DC52:DR52)-1)*5 + 4) = "F"), INDEX($CZ$8:$CZ$23, COLUMNS($DC52:DR52)), "0"), "")</f>
        <v>0</v>
      </c>
      <c r="DT52" s="537" t="str">
        <f>SEMANA29[[#This Row],[COD]]</f>
        <v>COD 45</v>
      </c>
      <c r="DU52" s="390" t="str">
        <f t="array" ref="DU52">IFERROR(IF(AND(INDEX($E$8:$CE$57, MATCH($C52, $C$8:$C$57, 0), (COLUMNS($DU52:DU52)-1)*5 + 1) = INDEX($E$5:$CE$5, 1, (COLUMNS($DU52:DU52)-1)*5 + 1), INDEX($E$8:$CE$57, MATCH($C52, $C$8:$C$57, 0), (COLUMNS($DU52:DU52)-1)*5 + 4) = "SF"), INDEX($CZ$8:$CZ$23, COLUMNS($DU52:DU52)), "0"), "")</f>
        <v>0</v>
      </c>
      <c r="DV52" s="390" t="str">
        <f t="array" ref="DV52">IFERROR(IF(AND(INDEX($E$8:$CE$57, MATCH($C52, $C$8:$C$57, 0), (COLUMNS($DU52:DV52)-1)*5 + 1) = INDEX($E$5:$CE$5, 1, (COLUMNS($DU52:DV52)-1)*5 + 1), INDEX($E$8:$CE$57, MATCH($C52, $C$8:$C$57, 0), (COLUMNS($DU52:DV52)-1)*5 + 4) = "SF"), INDEX($CZ$8:$CZ$23, COLUMNS($DU52:DV52)), "0"), "")</f>
        <v>0</v>
      </c>
      <c r="DW52" s="390" t="str">
        <f t="array" ref="DW52">IFERROR(IF(AND(INDEX($E$8:$CE$57, MATCH($C52, $C$8:$C$57, 0), (COLUMNS($DU52:DW52)-1)*5 + 1) = INDEX($E$5:$CE$5, 1, (COLUMNS($DU52:DW52)-1)*5 + 1), INDEX($E$8:$CE$57, MATCH($C52, $C$8:$C$57, 0), (COLUMNS($DU52:DW52)-1)*5 + 4) = "SF"), INDEX($CZ$8:$CZ$23, COLUMNS($DU52:DW52)), "0"), "")</f>
        <v>0</v>
      </c>
      <c r="DX52" s="390" t="str">
        <f t="array" ref="DX52">IFERROR(IF(AND(INDEX($E$8:$CE$57, MATCH($C52, $C$8:$C$57, 0), (COLUMNS($DU52:DX52)-1)*5 + 1) = INDEX($E$5:$CE$5, 1, (COLUMNS($DU52:DX52)-1)*5 + 1), INDEX($E$8:$CE$57, MATCH($C52, $C$8:$C$57, 0), (COLUMNS($DU52:DX52)-1)*5 + 4) = "SF"), INDEX($CZ$8:$CZ$23, COLUMNS($DU52:DX52)), "0"), "")</f>
        <v>0</v>
      </c>
      <c r="DY52" s="390" t="str">
        <f t="array" ref="DY52">IFERROR(IF(AND(INDEX($E$8:$CE$57, MATCH($C52, $C$8:$C$57, 0), (COLUMNS($DU52:DY52)-1)*5 + 1) = INDEX($E$5:$CE$5, 1, (COLUMNS($DU52:DY52)-1)*5 + 1), INDEX($E$8:$CE$57, MATCH($C52, $C$8:$C$57, 0), (COLUMNS($DU52:DY52)-1)*5 + 4) = "SF"), INDEX($CZ$8:$CZ$23, COLUMNS($DU52:DY52)), "0"), "")</f>
        <v>0</v>
      </c>
      <c r="DZ52" s="390" t="str">
        <f t="array" ref="DZ52">IFERROR(IF(AND(INDEX($E$8:$CE$57, MATCH($C52, $C$8:$C$57, 0), (COLUMNS($DU52:DZ52)-1)*5 + 1) = INDEX($E$5:$CE$5, 1, (COLUMNS($DU52:DZ52)-1)*5 + 1), INDEX($E$8:$CE$57, MATCH($C52, $C$8:$C$57, 0), (COLUMNS($DU52:DZ52)-1)*5 + 4) = "SF"), INDEX($CZ$8:$CZ$23, COLUMNS($DU52:DZ52)), "0"), "")</f>
        <v>0</v>
      </c>
      <c r="EA52" s="390" t="str">
        <f t="array" ref="EA52">IFERROR(IF(AND(INDEX($E$8:$CE$57, MATCH($C52, $C$8:$C$57, 0), (COLUMNS($DU52:EA52)-1)*5 + 1) = INDEX($E$5:$CE$5, 1, (COLUMNS($DU52:EA52)-1)*5 + 1), INDEX($E$8:$CE$57, MATCH($C52, $C$8:$C$57, 0), (COLUMNS($DU52:EA52)-1)*5 + 4) = "SF"), INDEX($CZ$8:$CZ$23, COLUMNS($DU52:EA52)), "0"), "")</f>
        <v>0</v>
      </c>
      <c r="EB52" s="390" t="str">
        <f t="array" ref="EB52">IFERROR(IF(AND(INDEX($E$8:$CE$57, MATCH($C52, $C$8:$C$57, 0), (COLUMNS($DU52:EB52)-1)*5 + 1) = INDEX($E$5:$CE$5, 1, (COLUMNS($DU52:EB52)-1)*5 + 1), INDEX($E$8:$CE$57, MATCH($C52, $C$8:$C$57, 0), (COLUMNS($DU52:EB52)-1)*5 + 4) = "SF"), INDEX($CZ$8:$CZ$23, COLUMNS($DU52:EB52)), "0"), "")</f>
        <v>0</v>
      </c>
      <c r="EC52" s="390" t="str">
        <f t="array" ref="EC52">IFERROR(IF(AND(INDEX($E$8:$CE$57, MATCH($C52, $C$8:$C$57, 0), (COLUMNS($DU52:EC52)-1)*5 + 1) = INDEX($E$5:$CE$5, 1, (COLUMNS($DU52:EC52)-1)*5 + 1), INDEX($E$8:$CE$57, MATCH($C52, $C$8:$C$57, 0), (COLUMNS($DU52:EC52)-1)*5 + 4) = "SF"), INDEX($CZ$8:$CZ$23, COLUMNS($DU52:EC52)), "0"), "")</f>
        <v>0</v>
      </c>
      <c r="ED52" s="390" t="str">
        <f t="array" ref="ED52">IFERROR(IF(AND(INDEX($E$8:$CE$57, MATCH($C52, $C$8:$C$57, 0), (COLUMNS($DU52:ED52)-1)*5 + 1) = INDEX($E$5:$CE$5, 1, (COLUMNS($DU52:ED52)-1)*5 + 1), INDEX($E$8:$CE$57, MATCH($C52, $C$8:$C$57, 0), (COLUMNS($DU52:ED52)-1)*5 + 4) = "SF"), INDEX($CZ$8:$CZ$23, COLUMNS($DU52:ED52)), "0"), "")</f>
        <v>0</v>
      </c>
      <c r="EE52" s="390" t="str">
        <f t="array" ref="EE52">IFERROR(IF(AND(INDEX($E$8:$CE$57, MATCH($C52, $C$8:$C$57, 0), (COLUMNS($DU52:EE52)-1)*5 + 1) = INDEX($E$5:$CE$5, 1, (COLUMNS($DU52:EE52)-1)*5 + 1), INDEX($E$8:$CE$57, MATCH($C52, $C$8:$C$57, 0), (COLUMNS($DU52:EE52)-1)*5 + 4) = "SF"), INDEX($CZ$8:$CZ$23, COLUMNS($DU52:EE52)), "0"), "")</f>
        <v>0</v>
      </c>
      <c r="EF52" s="390" t="str">
        <f t="array" ref="EF52">IFERROR(IF(AND(INDEX($E$8:$CE$57, MATCH($C52, $C$8:$C$57, 0), (COLUMNS($DU52:EF52)-1)*5 + 1) = INDEX($E$5:$CE$5, 1, (COLUMNS($DU52:EF52)-1)*5 + 1), INDEX($E$8:$CE$57, MATCH($C52, $C$8:$C$57, 0), (COLUMNS($DU52:EF52)-1)*5 + 4) = "SF"), INDEX($CZ$8:$CZ$23, COLUMNS($DU52:EF52)), "0"), "")</f>
        <v>0</v>
      </c>
      <c r="EG52" s="390" t="str">
        <f t="array" ref="EG52">IFERROR(IF(AND(INDEX($E$8:$CE$57, MATCH($C52, $C$8:$C$57, 0), (COLUMNS($DU52:EG52)-1)*5 + 1) = INDEX($E$5:$CE$5, 1, (COLUMNS($DU52:EG52)-1)*5 + 1), INDEX($E$8:$CE$57, MATCH($C52, $C$8:$C$57, 0), (COLUMNS($DU52:EG52)-1)*5 + 4) = "SF"), INDEX($CZ$8:$CZ$23, COLUMNS($DU52:EG52)), "0"), "")</f>
        <v>0</v>
      </c>
      <c r="EH52" s="390" t="str">
        <f t="array" ref="EH52">IFERROR(IF(AND(INDEX($E$8:$CE$57, MATCH($C52, $C$8:$C$57, 0), (COLUMNS($DU52:EH52)-1)*5 + 1) = INDEX($E$5:$CE$5, 1, (COLUMNS($DU52:EH52)-1)*5 + 1), INDEX($E$8:$CE$57, MATCH($C52, $C$8:$C$57, 0), (COLUMNS($DU52:EH52)-1)*5 + 4) = "SF"), INDEX($CZ$8:$CZ$23, COLUMNS($DU52:EH52)), "0"), "")</f>
        <v>0</v>
      </c>
      <c r="EI52" s="390" t="str">
        <f t="array" ref="EI52">IFERROR(IF(AND(INDEX($E$8:$CE$57, MATCH($C52, $C$8:$C$57, 0), (COLUMNS($DU52:EI52)-1)*5 + 1) = INDEX($E$5:$CE$5, 1, (COLUMNS($DU52:EI52)-1)*5 + 1), INDEX($E$8:$CE$57, MATCH($C52, $C$8:$C$57, 0), (COLUMNS($DU52:EI52)-1)*5 + 4) = "SF"), INDEX($CZ$8:$CZ$23, COLUMNS($DU52:EI52)), "0"), "")</f>
        <v>0</v>
      </c>
      <c r="EJ52" s="390" t="str">
        <f t="array" ref="EJ52">IFERROR(IF(AND(INDEX($E$8:$CE$57, MATCH($C52, $C$8:$C$57, 0), (COLUMNS($DU52:EJ52)-1)*5 + 1) = INDEX($E$5:$CE$5, 1, (COLUMNS($DU52:EJ52)-1)*5 + 1), INDEX($E$8:$CE$57, MATCH($C52, $C$8:$C$57, 0), (COLUMNS($DU52:EJ52)-1)*5 + 4) = "SF"), INDEX($CZ$8:$CZ$23, COLUMNS($DU52:EJ52)), "0"), "")</f>
        <v>0</v>
      </c>
    </row>
    <row r="53" spans="1:140" ht="20.100000000000001" customHeight="1" x14ac:dyDescent="0.35">
      <c r="A53" s="515"/>
      <c r="B53" s="444">
        <f>IF(SEMANA29[[#This Row],[COD]]&lt;&gt;"",B52+1,"")</f>
        <v>46</v>
      </c>
      <c r="C53" s="554" t="s">
        <v>118</v>
      </c>
      <c r="D53" s="410" t="str">
        <f t="array" ref="D53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53" s="411"/>
      <c r="F53" s="413"/>
      <c r="G53" s="413"/>
      <c r="H53" s="413"/>
      <c r="I53" s="534">
        <f t="shared" si="18"/>
        <v>0</v>
      </c>
      <c r="J53" s="411"/>
      <c r="K53" s="413"/>
      <c r="L53" s="413"/>
      <c r="M53" s="413"/>
      <c r="N53" s="534">
        <f t="shared" si="19"/>
        <v>0</v>
      </c>
      <c r="O53" s="411"/>
      <c r="P53" s="413"/>
      <c r="Q53" s="413"/>
      <c r="R53" s="413"/>
      <c r="S53" s="534">
        <f t="shared" si="20"/>
        <v>0</v>
      </c>
      <c r="T53" s="411"/>
      <c r="U53" s="413"/>
      <c r="V53" s="413"/>
      <c r="W53" s="413"/>
      <c r="X53" s="534">
        <f t="shared" si="21"/>
        <v>0</v>
      </c>
      <c r="Y53" s="411"/>
      <c r="Z53" s="413"/>
      <c r="AA53" s="413"/>
      <c r="AB53" s="413"/>
      <c r="AC53" s="534">
        <f t="shared" si="22"/>
        <v>0</v>
      </c>
      <c r="AD53" s="411"/>
      <c r="AE53" s="413"/>
      <c r="AF53" s="413"/>
      <c r="AG53" s="413"/>
      <c r="AH53" s="534">
        <f t="shared" si="23"/>
        <v>0</v>
      </c>
      <c r="AI53" s="411"/>
      <c r="AJ53" s="413"/>
      <c r="AK53" s="413"/>
      <c r="AL53" s="413"/>
      <c r="AM53" s="534">
        <f t="shared" si="24"/>
        <v>0</v>
      </c>
      <c r="AN53" s="411"/>
      <c r="AO53" s="413"/>
      <c r="AP53" s="413"/>
      <c r="AQ53" s="413"/>
      <c r="AR53" s="534">
        <f t="shared" si="25"/>
        <v>0</v>
      </c>
      <c r="AS53" s="411"/>
      <c r="AT53" s="413"/>
      <c r="AU53" s="413"/>
      <c r="AV53" s="413"/>
      <c r="AW53" s="534">
        <f t="shared" si="26"/>
        <v>0</v>
      </c>
      <c r="AX53" s="411"/>
      <c r="AY53" s="413"/>
      <c r="AZ53" s="413"/>
      <c r="BA53" s="413"/>
      <c r="BB53" s="534">
        <f t="shared" si="27"/>
        <v>0</v>
      </c>
      <c r="BC53" s="411"/>
      <c r="BD53" s="413"/>
      <c r="BE53" s="413"/>
      <c r="BF53" s="413"/>
      <c r="BG53" s="534">
        <f t="shared" si="28"/>
        <v>0</v>
      </c>
      <c r="BH53" s="411"/>
      <c r="BI53" s="413"/>
      <c r="BJ53" s="413"/>
      <c r="BK53" s="413"/>
      <c r="BL53" s="534">
        <f t="shared" si="29"/>
        <v>0</v>
      </c>
      <c r="BM53" s="411"/>
      <c r="BN53" s="413"/>
      <c r="BO53" s="413"/>
      <c r="BP53" s="413"/>
      <c r="BQ53" s="534">
        <f t="shared" si="30"/>
        <v>0</v>
      </c>
      <c r="BR53" s="411"/>
      <c r="BS53" s="413"/>
      <c r="BT53" s="413"/>
      <c r="BU53" s="413"/>
      <c r="BV53" s="534">
        <f t="shared" si="31"/>
        <v>0</v>
      </c>
      <c r="BW53" s="411"/>
      <c r="BX53" s="413"/>
      <c r="BY53" s="413"/>
      <c r="BZ53" s="413"/>
      <c r="CA53" s="534">
        <f t="shared" si="32"/>
        <v>0</v>
      </c>
      <c r="CB53" s="411"/>
      <c r="CC53" s="413"/>
      <c r="CD53" s="413"/>
      <c r="CE53" s="413"/>
      <c r="CF53" s="534">
        <f t="shared" si="33"/>
        <v>0</v>
      </c>
      <c r="CG53" s="162">
        <f>IF(SEMANA29[[#This Row],[1]]="",0,$B$4)</f>
        <v>0</v>
      </c>
      <c r="CH53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53" s="185">
        <f>IF(SEMANA29[[#This Row],[Columna14]]=0,0,(CH53/CG53))</f>
        <v>0</v>
      </c>
      <c r="CJ53" s="163">
        <f>IF(SEMANA29[[#This Row],[1]]="",0,$B$4)</f>
        <v>0</v>
      </c>
      <c r="CK53" s="186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53" s="185">
        <f>IF(SEMANA29[[#This Row],[Columna14]]=0,0,(CK53/CJ53))</f>
        <v>0</v>
      </c>
      <c r="CM53" s="162">
        <f>IF(SEMANA29[[#This Row],[1]]="",0,$B$4)</f>
        <v>0</v>
      </c>
      <c r="CN53" s="186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53" s="185">
        <f>IF(SEMANA29[[#This Row],[Columna14]]=0,0,(CN53/CM53))</f>
        <v>0</v>
      </c>
      <c r="CP53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53" s="186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Row],[Columna25]],$AX$5,BA53,"SF")+COUNTIFS(SEMANA29[[#This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53" s="185">
        <f>IFERROR(IF(SEMANA29[[#This Row],[Columna14]]=0,0,(CQ53/CP53)),0)</f>
        <v>0</v>
      </c>
      <c r="CS53" s="539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53" s="93">
        <f>_xlfn.XLOOKUP(SEMANA29[[#This Row],[COD]],SEMANA2[COD],SEMANA2[Columna33])</f>
        <v>0</v>
      </c>
      <c r="CU53" s="536">
        <f t="shared" si="34"/>
        <v>0</v>
      </c>
      <c r="CV53" s="445" t="str">
        <f>IF(SEMANA29[[#This Row],[TIPO]]="PREMIO",$O$3,"0,00")</f>
        <v>0,00</v>
      </c>
      <c r="CW53" s="515"/>
      <c r="CY53" s="387" t="str">
        <f t="shared" si="17"/>
        <v/>
      </c>
      <c r="CZ53" s="387"/>
      <c r="DA53" s="387" t="str">
        <f t="array" ref="DA53">IF(CZ53="", "", IF((INDEX(E$8:CE$57, MATCH(CZ53, C$8:C$57, 0), ($CZ$25-1)*5 + 1) &amp; "") = (INDEX(E$5:CE$5, 1, ($CZ$25-1)*5 + 1) &amp; ""), 1, IF((INDEX(E$8:CE$57, MATCH(CZ53, C$8:C$57, 0), ($CZ$25-1)*5 + 2) &amp; "") = (INDEX(E$5:CE$5, 1, ($CZ$25-1)*5 + 1) &amp; ""), 2, IF((INDEX(E$8:CE$57, MATCH(CZ53, C$8:C$57, 0), ($CZ$25-1)*5 + 3) &amp; "") = (INDEX(E$5:CE$5, 1, ($CZ$25-1)*5 + 1) &amp; ""), 3, ""))))</f>
        <v/>
      </c>
      <c r="DB53" s="537" t="str">
        <f>SEMANA29[[#This Row],[COD]]</f>
        <v>COD 46</v>
      </c>
      <c r="DC53" s="390" t="str">
        <f t="array" ref="DC53">IFERROR(IF(AND(INDEX($E$8:$CE$57, MATCH($C53, $C$8:$C$57, 0), (COLUMNS($DC53:DC53)-1)*5 + 1) = INDEX($E$5:$CE$5, 1, (COLUMNS($DC53:DC53)-1)*5 + 1), INDEX($E$8:$CE$57, MATCH($C53, $C$8:$C$57, 0), (COLUMNS($DC53:DC53)-1)*5 + 4) = "F"), INDEX($CZ$8:$CZ$23, COLUMNS($DC53:DC53)), "0"), "")</f>
        <v>0</v>
      </c>
      <c r="DD53" s="390" t="str">
        <f t="array" ref="DD53">IFERROR(IF(AND(INDEX($E$8:$CE$57, MATCH($C53, $C$8:$C$57, 0), (COLUMNS($DC53:DD53)-1)*5 + 1) = INDEX($E$5:$CE$5, 1, (COLUMNS($DC53:DD53)-1)*5 + 1), INDEX($E$8:$CE$57, MATCH($C53, $C$8:$C$57, 0), (COLUMNS($DC53:DD53)-1)*5 + 4) = "F"), INDEX($CZ$8:$CZ$23, COLUMNS($DC53:DD53)), "0"), "")</f>
        <v>0</v>
      </c>
      <c r="DE53" s="390" t="str">
        <f t="array" ref="DE53">IFERROR(IF(AND(INDEX($E$8:$CE$57, MATCH($C53, $C$8:$C$57, 0), (COLUMNS($DC53:DE53)-1)*5 + 1) = INDEX($E$5:$CE$5, 1, (COLUMNS($DC53:DE53)-1)*5 + 1), INDEX($E$8:$CE$57, MATCH($C53, $C$8:$C$57, 0), (COLUMNS($DC53:DE53)-1)*5 + 4) = "F"), INDEX($CZ$8:$CZ$23, COLUMNS($DC53:DE53)), "0"), "")</f>
        <v>0</v>
      </c>
      <c r="DF53" s="390" t="str">
        <f t="array" ref="DF53">IFERROR(IF(AND(INDEX($E$8:$CE$57, MATCH($C53, $C$8:$C$57, 0), (COLUMNS($DC53:DF53)-1)*5 + 1) = INDEX($E$5:$CE$5, 1, (COLUMNS($DC53:DF53)-1)*5 + 1), INDEX($E$8:$CE$57, MATCH($C53, $C$8:$C$57, 0), (COLUMNS($DC53:DF53)-1)*5 + 4) = "F"), INDEX($CZ$8:$CZ$23, COLUMNS($DC53:DF53)), "0"), "")</f>
        <v>0</v>
      </c>
      <c r="DG53" s="390" t="str">
        <f t="array" ref="DG53">IFERROR(IF(AND(INDEX($E$8:$CE$57, MATCH($C53, $C$8:$C$57, 0), (COLUMNS($DC53:DG53)-1)*5 + 1) = INDEX($E$5:$CE$5, 1, (COLUMNS($DC53:DG53)-1)*5 + 1), INDEX($E$8:$CE$57, MATCH($C53, $C$8:$C$57, 0), (COLUMNS($DC53:DG53)-1)*5 + 4) = "F"), INDEX($CZ$8:$CZ$23, COLUMNS($DC53:DG53)), "0"), "")</f>
        <v>0</v>
      </c>
      <c r="DH53" s="390" t="str">
        <f t="array" ref="DH53">IFERROR(IF(AND(INDEX($E$8:$CE$57, MATCH($C53, $C$8:$C$57, 0), (COLUMNS($DC53:DH53)-1)*5 + 1) = INDEX($E$5:$CE$5, 1, (COLUMNS($DC53:DH53)-1)*5 + 1), INDEX($E$8:$CE$57, MATCH($C53, $C$8:$C$57, 0), (COLUMNS($DC53:DH53)-1)*5 + 4) = "F"), INDEX($CZ$8:$CZ$23, COLUMNS($DC53:DH53)), "0"), "")</f>
        <v>0</v>
      </c>
      <c r="DI53" s="390" t="str">
        <f t="array" ref="DI53">IFERROR(IF(AND(INDEX($E$8:$CE$57, MATCH($C53, $C$8:$C$57, 0), (COLUMNS($DC53:DI53)-1)*5 + 1) = INDEX($E$5:$CE$5, 1, (COLUMNS($DC53:DI53)-1)*5 + 1), INDEX($E$8:$CE$57, MATCH($C53, $C$8:$C$57, 0), (COLUMNS($DC53:DI53)-1)*5 + 4) = "F"), INDEX($CZ$8:$CZ$23, COLUMNS($DC53:DI53)), "0"), "")</f>
        <v>0</v>
      </c>
      <c r="DJ53" s="390" t="str">
        <f t="array" ref="DJ53">IFERROR(IF(AND(INDEX($E$8:$CE$57, MATCH($C53, $C$8:$C$57, 0), (COLUMNS($DC53:DJ53)-1)*5 + 1) = INDEX($E$5:$CE$5, 1, (COLUMNS($DC53:DJ53)-1)*5 + 1), INDEX($E$8:$CE$57, MATCH($C53, $C$8:$C$57, 0), (COLUMNS($DC53:DJ53)-1)*5 + 4) = "F"), INDEX($CZ$8:$CZ$23, COLUMNS($DC53:DJ53)), "0"), "")</f>
        <v>0</v>
      </c>
      <c r="DK53" s="390" t="str">
        <f t="array" ref="DK53">IFERROR(IF(AND(INDEX($E$8:$CE$57, MATCH($C53, $C$8:$C$57, 0), (COLUMNS($DC53:DK53)-1)*5 + 1) = INDEX($E$5:$CE$5, 1, (COLUMNS($DC53:DK53)-1)*5 + 1), INDEX($E$8:$CE$57, MATCH($C53, $C$8:$C$57, 0), (COLUMNS($DC53:DK53)-1)*5 + 4) = "F"), INDEX($CZ$8:$CZ$23, COLUMNS($DC53:DK53)), "0"), "")</f>
        <v>0</v>
      </c>
      <c r="DL53" s="390" t="str">
        <f t="array" ref="DL53">IFERROR(IF(AND(INDEX($E$8:$CE$57, MATCH($C53, $C$8:$C$57, 0), (COLUMNS($DC53:DL53)-1)*5 + 1) = INDEX($E$5:$CE$5, 1, (COLUMNS($DC53:DL53)-1)*5 + 1), INDEX($E$8:$CE$57, MATCH($C53, $C$8:$C$57, 0), (COLUMNS($DC53:DL53)-1)*5 + 4) = "F"), INDEX($CZ$8:$CZ$23, COLUMNS($DC53:DL53)), "0"), "")</f>
        <v>0</v>
      </c>
      <c r="DM53" s="390" t="str">
        <f t="array" ref="DM53">IFERROR(IF(AND(INDEX($E$8:$CE$57, MATCH($C53, $C$8:$C$57, 0), (COLUMNS($DC53:DM53)-1)*5 + 1) = INDEX($E$5:$CE$5, 1, (COLUMNS($DC53:DM53)-1)*5 + 1), INDEX($E$8:$CE$57, MATCH($C53, $C$8:$C$57, 0), (COLUMNS($DC53:DM53)-1)*5 + 4) = "F"), INDEX($CZ$8:$CZ$23, COLUMNS($DC53:DM53)), "0"), "")</f>
        <v>0</v>
      </c>
      <c r="DN53" s="390" t="str">
        <f t="array" ref="DN53">IFERROR(IF(AND(INDEX($E$8:$CE$57, MATCH($C53, $C$8:$C$57, 0), (COLUMNS($DC53:DN53)-1)*5 + 1) = INDEX($E$5:$CE$5, 1, (COLUMNS($DC53:DN53)-1)*5 + 1), INDEX($E$8:$CE$57, MATCH($C53, $C$8:$C$57, 0), (COLUMNS($DC53:DN53)-1)*5 + 4) = "F"), INDEX($CZ$8:$CZ$23, COLUMNS($DC53:DN53)), "0"), "")</f>
        <v>0</v>
      </c>
      <c r="DO53" s="390" t="str">
        <f t="array" ref="DO53">IFERROR(IF(AND(INDEX($E$8:$CE$57, MATCH($C53, $C$8:$C$57, 0), (COLUMNS($DC53:DO53)-1)*5 + 1) = INDEX($E$5:$CE$5, 1, (COLUMNS($DC53:DO53)-1)*5 + 1), INDEX($E$8:$CE$57, MATCH($C53, $C$8:$C$57, 0), (COLUMNS($DC53:DO53)-1)*5 + 4) = "F"), INDEX($CZ$8:$CZ$23, COLUMNS($DC53:DO53)), "0"), "")</f>
        <v>0</v>
      </c>
      <c r="DP53" s="390" t="str">
        <f t="array" ref="DP53">IFERROR(IF(AND(INDEX($E$8:$CE$57, MATCH($C53, $C$8:$C$57, 0), (COLUMNS($DC53:DP53)-1)*5 + 1) = INDEX($E$5:$CE$5, 1, (COLUMNS($DC53:DP53)-1)*5 + 1), INDEX($E$8:$CE$57, MATCH($C53, $C$8:$C$57, 0), (COLUMNS($DC53:DP53)-1)*5 + 4) = "F"), INDEX($CZ$8:$CZ$23, COLUMNS($DC53:DP53)), "0"), "")</f>
        <v>0</v>
      </c>
      <c r="DQ53" s="390" t="str">
        <f t="array" ref="DQ53">IFERROR(IF(AND(INDEX($E$8:$CE$57, MATCH($C53, $C$8:$C$57, 0), (COLUMNS($DC53:DQ53)-1)*5 + 1) = INDEX($E$5:$CE$5, 1, (COLUMNS($DC53:DQ53)-1)*5 + 1), INDEX($E$8:$CE$57, MATCH($C53, $C$8:$C$57, 0), (COLUMNS($DC53:DQ53)-1)*5 + 4) = "F"), INDEX($CZ$8:$CZ$23, COLUMNS($DC53:DQ53)), "0"), "")</f>
        <v>0</v>
      </c>
      <c r="DR53" s="390" t="str">
        <f t="array" ref="DR53">IFERROR(IF(AND(INDEX($E$8:$CE$57, MATCH($C53, $C$8:$C$57, 0), (COLUMNS($DC53:DR53)-1)*5 + 1) = INDEX($E$5:$CE$5, 1, (COLUMNS($DC53:DR53)-1)*5 + 1), INDEX($E$8:$CE$57, MATCH($C53, $C$8:$C$57, 0), (COLUMNS($DC53:DR53)-1)*5 + 4) = "F"), INDEX($CZ$8:$CZ$23, COLUMNS($DC53:DR53)), "0"), "")</f>
        <v>0</v>
      </c>
      <c r="DT53" s="537" t="str">
        <f>SEMANA29[[#This Row],[COD]]</f>
        <v>COD 46</v>
      </c>
      <c r="DU53" s="390" t="str">
        <f t="array" ref="DU53">IFERROR(IF(AND(INDEX($E$8:$CE$57, MATCH($C53, $C$8:$C$57, 0), (COLUMNS($DU53:DU53)-1)*5 + 1) = INDEX($E$5:$CE$5, 1, (COLUMNS($DU53:DU53)-1)*5 + 1), INDEX($E$8:$CE$57, MATCH($C53, $C$8:$C$57, 0), (COLUMNS($DU53:DU53)-1)*5 + 4) = "SF"), INDEX($CZ$8:$CZ$23, COLUMNS($DU53:DU53)), "0"), "")</f>
        <v>0</v>
      </c>
      <c r="DV53" s="390" t="str">
        <f t="array" ref="DV53">IFERROR(IF(AND(INDEX($E$8:$CE$57, MATCH($C53, $C$8:$C$57, 0), (COLUMNS($DU53:DV53)-1)*5 + 1) = INDEX($E$5:$CE$5, 1, (COLUMNS($DU53:DV53)-1)*5 + 1), INDEX($E$8:$CE$57, MATCH($C53, $C$8:$C$57, 0), (COLUMNS($DU53:DV53)-1)*5 + 4) = "SF"), INDEX($CZ$8:$CZ$23, COLUMNS($DU53:DV53)), "0"), "")</f>
        <v>0</v>
      </c>
      <c r="DW53" s="390" t="str">
        <f t="array" ref="DW53">IFERROR(IF(AND(INDEX($E$8:$CE$57, MATCH($C53, $C$8:$C$57, 0), (COLUMNS($DU53:DW53)-1)*5 + 1) = INDEX($E$5:$CE$5, 1, (COLUMNS($DU53:DW53)-1)*5 + 1), INDEX($E$8:$CE$57, MATCH($C53, $C$8:$C$57, 0), (COLUMNS($DU53:DW53)-1)*5 + 4) = "SF"), INDEX($CZ$8:$CZ$23, COLUMNS($DU53:DW53)), "0"), "")</f>
        <v>0</v>
      </c>
      <c r="DX53" s="390" t="str">
        <f t="array" ref="DX53">IFERROR(IF(AND(INDEX($E$8:$CE$57, MATCH($C53, $C$8:$C$57, 0), (COLUMNS($DU53:DX53)-1)*5 + 1) = INDEX($E$5:$CE$5, 1, (COLUMNS($DU53:DX53)-1)*5 + 1), INDEX($E$8:$CE$57, MATCH($C53, $C$8:$C$57, 0), (COLUMNS($DU53:DX53)-1)*5 + 4) = "SF"), INDEX($CZ$8:$CZ$23, COLUMNS($DU53:DX53)), "0"), "")</f>
        <v>0</v>
      </c>
      <c r="DY53" s="390" t="str">
        <f t="array" ref="DY53">IFERROR(IF(AND(INDEX($E$8:$CE$57, MATCH($C53, $C$8:$C$57, 0), (COLUMNS($DU53:DY53)-1)*5 + 1) = INDEX($E$5:$CE$5, 1, (COLUMNS($DU53:DY53)-1)*5 + 1), INDEX($E$8:$CE$57, MATCH($C53, $C$8:$C$57, 0), (COLUMNS($DU53:DY53)-1)*5 + 4) = "SF"), INDEX($CZ$8:$CZ$23, COLUMNS($DU53:DY53)), "0"), "")</f>
        <v>0</v>
      </c>
      <c r="DZ53" s="390" t="str">
        <f t="array" ref="DZ53">IFERROR(IF(AND(INDEX($E$8:$CE$57, MATCH($C53, $C$8:$C$57, 0), (COLUMNS($DU53:DZ53)-1)*5 + 1) = INDEX($E$5:$CE$5, 1, (COLUMNS($DU53:DZ53)-1)*5 + 1), INDEX($E$8:$CE$57, MATCH($C53, $C$8:$C$57, 0), (COLUMNS($DU53:DZ53)-1)*5 + 4) = "SF"), INDEX($CZ$8:$CZ$23, COLUMNS($DU53:DZ53)), "0"), "")</f>
        <v>0</v>
      </c>
      <c r="EA53" s="390" t="str">
        <f t="array" ref="EA53">IFERROR(IF(AND(INDEX($E$8:$CE$57, MATCH($C53, $C$8:$C$57, 0), (COLUMNS($DU53:EA53)-1)*5 + 1) = INDEX($E$5:$CE$5, 1, (COLUMNS($DU53:EA53)-1)*5 + 1), INDEX($E$8:$CE$57, MATCH($C53, $C$8:$C$57, 0), (COLUMNS($DU53:EA53)-1)*5 + 4) = "SF"), INDEX($CZ$8:$CZ$23, COLUMNS($DU53:EA53)), "0"), "")</f>
        <v>0</v>
      </c>
      <c r="EB53" s="390" t="str">
        <f t="array" ref="EB53">IFERROR(IF(AND(INDEX($E$8:$CE$57, MATCH($C53, $C$8:$C$57, 0), (COLUMNS($DU53:EB53)-1)*5 + 1) = INDEX($E$5:$CE$5, 1, (COLUMNS($DU53:EB53)-1)*5 + 1), INDEX($E$8:$CE$57, MATCH($C53, $C$8:$C$57, 0), (COLUMNS($DU53:EB53)-1)*5 + 4) = "SF"), INDEX($CZ$8:$CZ$23, COLUMNS($DU53:EB53)), "0"), "")</f>
        <v>0</v>
      </c>
      <c r="EC53" s="390" t="str">
        <f t="array" ref="EC53">IFERROR(IF(AND(INDEX($E$8:$CE$57, MATCH($C53, $C$8:$C$57, 0), (COLUMNS($DU53:EC53)-1)*5 + 1) = INDEX($E$5:$CE$5, 1, (COLUMNS($DU53:EC53)-1)*5 + 1), INDEX($E$8:$CE$57, MATCH($C53, $C$8:$C$57, 0), (COLUMNS($DU53:EC53)-1)*5 + 4) = "SF"), INDEX($CZ$8:$CZ$23, COLUMNS($DU53:EC53)), "0"), "")</f>
        <v>0</v>
      </c>
      <c r="ED53" s="390" t="str">
        <f t="array" ref="ED53">IFERROR(IF(AND(INDEX($E$8:$CE$57, MATCH($C53, $C$8:$C$57, 0), (COLUMNS($DU53:ED53)-1)*5 + 1) = INDEX($E$5:$CE$5, 1, (COLUMNS($DU53:ED53)-1)*5 + 1), INDEX($E$8:$CE$57, MATCH($C53, $C$8:$C$57, 0), (COLUMNS($DU53:ED53)-1)*5 + 4) = "SF"), INDEX($CZ$8:$CZ$23, COLUMNS($DU53:ED53)), "0"), "")</f>
        <v>0</v>
      </c>
      <c r="EE53" s="390" t="str">
        <f t="array" ref="EE53">IFERROR(IF(AND(INDEX($E$8:$CE$57, MATCH($C53, $C$8:$C$57, 0), (COLUMNS($DU53:EE53)-1)*5 + 1) = INDEX($E$5:$CE$5, 1, (COLUMNS($DU53:EE53)-1)*5 + 1), INDEX($E$8:$CE$57, MATCH($C53, $C$8:$C$57, 0), (COLUMNS($DU53:EE53)-1)*5 + 4) = "SF"), INDEX($CZ$8:$CZ$23, COLUMNS($DU53:EE53)), "0"), "")</f>
        <v>0</v>
      </c>
      <c r="EF53" s="390" t="str">
        <f t="array" ref="EF53">IFERROR(IF(AND(INDEX($E$8:$CE$57, MATCH($C53, $C$8:$C$57, 0), (COLUMNS($DU53:EF53)-1)*5 + 1) = INDEX($E$5:$CE$5, 1, (COLUMNS($DU53:EF53)-1)*5 + 1), INDEX($E$8:$CE$57, MATCH($C53, $C$8:$C$57, 0), (COLUMNS($DU53:EF53)-1)*5 + 4) = "SF"), INDEX($CZ$8:$CZ$23, COLUMNS($DU53:EF53)), "0"), "")</f>
        <v>0</v>
      </c>
      <c r="EG53" s="390" t="str">
        <f t="array" ref="EG53">IFERROR(IF(AND(INDEX($E$8:$CE$57, MATCH($C53, $C$8:$C$57, 0), (COLUMNS($DU53:EG53)-1)*5 + 1) = INDEX($E$5:$CE$5, 1, (COLUMNS($DU53:EG53)-1)*5 + 1), INDEX($E$8:$CE$57, MATCH($C53, $C$8:$C$57, 0), (COLUMNS($DU53:EG53)-1)*5 + 4) = "SF"), INDEX($CZ$8:$CZ$23, COLUMNS($DU53:EG53)), "0"), "")</f>
        <v>0</v>
      </c>
      <c r="EH53" s="390" t="str">
        <f t="array" ref="EH53">IFERROR(IF(AND(INDEX($E$8:$CE$57, MATCH($C53, $C$8:$C$57, 0), (COLUMNS($DU53:EH53)-1)*5 + 1) = INDEX($E$5:$CE$5, 1, (COLUMNS($DU53:EH53)-1)*5 + 1), INDEX($E$8:$CE$57, MATCH($C53, $C$8:$C$57, 0), (COLUMNS($DU53:EH53)-1)*5 + 4) = "SF"), INDEX($CZ$8:$CZ$23, COLUMNS($DU53:EH53)), "0"), "")</f>
        <v>0</v>
      </c>
      <c r="EI53" s="390" t="str">
        <f t="array" ref="EI53">IFERROR(IF(AND(INDEX($E$8:$CE$57, MATCH($C53, $C$8:$C$57, 0), (COLUMNS($DU53:EI53)-1)*5 + 1) = INDEX($E$5:$CE$5, 1, (COLUMNS($DU53:EI53)-1)*5 + 1), INDEX($E$8:$CE$57, MATCH($C53, $C$8:$C$57, 0), (COLUMNS($DU53:EI53)-1)*5 + 4) = "SF"), INDEX($CZ$8:$CZ$23, COLUMNS($DU53:EI53)), "0"), "")</f>
        <v>0</v>
      </c>
      <c r="EJ53" s="390" t="str">
        <f t="array" ref="EJ53">IFERROR(IF(AND(INDEX($E$8:$CE$57, MATCH($C53, $C$8:$C$57, 0), (COLUMNS($DU53:EJ53)-1)*5 + 1) = INDEX($E$5:$CE$5, 1, (COLUMNS($DU53:EJ53)-1)*5 + 1), INDEX($E$8:$CE$57, MATCH($C53, $C$8:$C$57, 0), (COLUMNS($DU53:EJ53)-1)*5 + 4) = "SF"), INDEX($CZ$8:$CZ$23, COLUMNS($DU53:EJ53)), "0"), "")</f>
        <v>0</v>
      </c>
    </row>
    <row r="54" spans="1:140" ht="20.100000000000001" customHeight="1" x14ac:dyDescent="0.35">
      <c r="A54" s="515"/>
      <c r="B54" s="444">
        <f>IF(SEMANA29[[#This Row],[COD]]&lt;&gt;"",B53+1,"")</f>
        <v>47</v>
      </c>
      <c r="C54" s="554" t="s">
        <v>119</v>
      </c>
      <c r="D54" s="410" t="str">
        <f t="array" ref="D54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54" s="411"/>
      <c r="F54" s="413"/>
      <c r="G54" s="413"/>
      <c r="H54" s="413"/>
      <c r="I54" s="534">
        <f t="shared" si="18"/>
        <v>0</v>
      </c>
      <c r="J54" s="411"/>
      <c r="K54" s="413"/>
      <c r="L54" s="413"/>
      <c r="M54" s="413"/>
      <c r="N54" s="534">
        <f t="shared" si="19"/>
        <v>0</v>
      </c>
      <c r="O54" s="411"/>
      <c r="P54" s="413"/>
      <c r="Q54" s="413"/>
      <c r="R54" s="413"/>
      <c r="S54" s="534">
        <f t="shared" si="20"/>
        <v>0</v>
      </c>
      <c r="T54" s="411"/>
      <c r="U54" s="413"/>
      <c r="V54" s="413"/>
      <c r="W54" s="413"/>
      <c r="X54" s="534">
        <f t="shared" si="21"/>
        <v>0</v>
      </c>
      <c r="Y54" s="411"/>
      <c r="Z54" s="413"/>
      <c r="AA54" s="413"/>
      <c r="AB54" s="413"/>
      <c r="AC54" s="534">
        <f t="shared" si="22"/>
        <v>0</v>
      </c>
      <c r="AD54" s="411"/>
      <c r="AE54" s="413"/>
      <c r="AF54" s="413"/>
      <c r="AG54" s="413"/>
      <c r="AH54" s="534">
        <f t="shared" si="23"/>
        <v>0</v>
      </c>
      <c r="AI54" s="411"/>
      <c r="AJ54" s="413"/>
      <c r="AK54" s="413"/>
      <c r="AL54" s="413"/>
      <c r="AM54" s="534">
        <f t="shared" si="24"/>
        <v>0</v>
      </c>
      <c r="AN54" s="411"/>
      <c r="AO54" s="413"/>
      <c r="AP54" s="413"/>
      <c r="AQ54" s="413"/>
      <c r="AR54" s="534">
        <f t="shared" si="25"/>
        <v>0</v>
      </c>
      <c r="AS54" s="411"/>
      <c r="AT54" s="413"/>
      <c r="AU54" s="413"/>
      <c r="AV54" s="413"/>
      <c r="AW54" s="534">
        <f t="shared" si="26"/>
        <v>0</v>
      </c>
      <c r="AX54" s="411"/>
      <c r="AY54" s="413"/>
      <c r="AZ54" s="413"/>
      <c r="BA54" s="413"/>
      <c r="BB54" s="534">
        <f t="shared" si="27"/>
        <v>0</v>
      </c>
      <c r="BC54" s="411"/>
      <c r="BD54" s="413"/>
      <c r="BE54" s="413"/>
      <c r="BF54" s="413"/>
      <c r="BG54" s="534">
        <f t="shared" si="28"/>
        <v>0</v>
      </c>
      <c r="BH54" s="411"/>
      <c r="BI54" s="413"/>
      <c r="BJ54" s="413"/>
      <c r="BK54" s="413"/>
      <c r="BL54" s="534">
        <f t="shared" si="29"/>
        <v>0</v>
      </c>
      <c r="BM54" s="411"/>
      <c r="BN54" s="413"/>
      <c r="BO54" s="413"/>
      <c r="BP54" s="413"/>
      <c r="BQ54" s="534">
        <f t="shared" si="30"/>
        <v>0</v>
      </c>
      <c r="BR54" s="411"/>
      <c r="BS54" s="413"/>
      <c r="BT54" s="413"/>
      <c r="BU54" s="413"/>
      <c r="BV54" s="534">
        <f t="shared" si="31"/>
        <v>0</v>
      </c>
      <c r="BW54" s="411"/>
      <c r="BX54" s="413"/>
      <c r="BY54" s="413"/>
      <c r="BZ54" s="413"/>
      <c r="CA54" s="534">
        <f t="shared" si="32"/>
        <v>0</v>
      </c>
      <c r="CB54" s="411"/>
      <c r="CC54" s="413"/>
      <c r="CD54" s="413"/>
      <c r="CE54" s="413"/>
      <c r="CF54" s="534">
        <f t="shared" si="33"/>
        <v>0</v>
      </c>
      <c r="CG54" s="162">
        <f>IF(SEMANA29[[#This Row],[1]]="",0,$B$4)</f>
        <v>0</v>
      </c>
      <c r="CH54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54" s="185">
        <f>IF(SEMANA29[[#This Row],[Columna14]]=0,0,(CH54/CG54))</f>
        <v>0</v>
      </c>
      <c r="CJ54" s="163">
        <f>IF(SEMANA29[[#This Row],[1]]="",0,$B$4)</f>
        <v>0</v>
      </c>
      <c r="CK54" s="186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54" s="185">
        <f>IF(SEMANA29[[#This Row],[Columna14]]=0,0,(CK54/CJ54))</f>
        <v>0</v>
      </c>
      <c r="CM54" s="162">
        <f>IF(SEMANA29[[#This Row],[1]]="",0,$B$4)</f>
        <v>0</v>
      </c>
      <c r="CN54" s="186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54" s="185">
        <f>IF(SEMANA29[[#This Row],[Columna14]]=0,0,(CN54/CM54))</f>
        <v>0</v>
      </c>
      <c r="CP54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54" s="186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Row],[Columna25]],$AX$5,BA54,"SF")+COUNTIFS(SEMANA29[[#This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54" s="185">
        <f>IFERROR(IF(SEMANA29[[#This Row],[Columna14]]=0,0,(CQ54/CP54)),0)</f>
        <v>0</v>
      </c>
      <c r="CS54" s="539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54" s="93">
        <f>_xlfn.XLOOKUP(SEMANA29[[#This Row],[COD]],SEMANA2[COD],SEMANA2[Columna33])</f>
        <v>0</v>
      </c>
      <c r="CU54" s="536">
        <f t="shared" si="34"/>
        <v>0</v>
      </c>
      <c r="CV54" s="445" t="str">
        <f>IF(SEMANA29[[#This Row],[TIPO]]="PREMIO",$O$3,"0,00")</f>
        <v>0,00</v>
      </c>
      <c r="CW54" s="515"/>
      <c r="CY54" s="387" t="str">
        <f t="shared" si="17"/>
        <v/>
      </c>
      <c r="CZ54" s="387"/>
      <c r="DA54" s="387" t="str">
        <f t="array" ref="DA54">IF(CZ54="", "", IF((INDEX(E$8:CE$57, MATCH(CZ54, C$8:C$57, 0), ($CZ$25-1)*5 + 1) &amp; "") = (INDEX(E$5:CE$5, 1, ($CZ$25-1)*5 + 1) &amp; ""), 1, IF((INDEX(E$8:CE$57, MATCH(CZ54, C$8:C$57, 0), ($CZ$25-1)*5 + 2) &amp; "") = (INDEX(E$5:CE$5, 1, ($CZ$25-1)*5 + 1) &amp; ""), 2, IF((INDEX(E$8:CE$57, MATCH(CZ54, C$8:C$57, 0), ($CZ$25-1)*5 + 3) &amp; "") = (INDEX(E$5:CE$5, 1, ($CZ$25-1)*5 + 1) &amp; ""), 3, ""))))</f>
        <v/>
      </c>
      <c r="DB54" s="537" t="str">
        <f>SEMANA29[[#This Row],[COD]]</f>
        <v>COD 47</v>
      </c>
      <c r="DC54" s="390" t="str">
        <f t="array" ref="DC54">IFERROR(IF(AND(INDEX($E$8:$CE$57, MATCH($C54, $C$8:$C$57, 0), (COLUMNS($DC54:DC54)-1)*5 + 1) = INDEX($E$5:$CE$5, 1, (COLUMNS($DC54:DC54)-1)*5 + 1), INDEX($E$8:$CE$57, MATCH($C54, $C$8:$C$57, 0), (COLUMNS($DC54:DC54)-1)*5 + 4) = "F"), INDEX($CZ$8:$CZ$23, COLUMNS($DC54:DC54)), "0"), "")</f>
        <v>0</v>
      </c>
      <c r="DD54" s="390" t="str">
        <f t="array" ref="DD54">IFERROR(IF(AND(INDEX($E$8:$CE$57, MATCH($C54, $C$8:$C$57, 0), (COLUMNS($DC54:DD54)-1)*5 + 1) = INDEX($E$5:$CE$5, 1, (COLUMNS($DC54:DD54)-1)*5 + 1), INDEX($E$8:$CE$57, MATCH($C54, $C$8:$C$57, 0), (COLUMNS($DC54:DD54)-1)*5 + 4) = "F"), INDEX($CZ$8:$CZ$23, COLUMNS($DC54:DD54)), "0"), "")</f>
        <v>0</v>
      </c>
      <c r="DE54" s="390" t="str">
        <f t="array" ref="DE54">IFERROR(IF(AND(INDEX($E$8:$CE$57, MATCH($C54, $C$8:$C$57, 0), (COLUMNS($DC54:DE54)-1)*5 + 1) = INDEX($E$5:$CE$5, 1, (COLUMNS($DC54:DE54)-1)*5 + 1), INDEX($E$8:$CE$57, MATCH($C54, $C$8:$C$57, 0), (COLUMNS($DC54:DE54)-1)*5 + 4) = "F"), INDEX($CZ$8:$CZ$23, COLUMNS($DC54:DE54)), "0"), "")</f>
        <v>0</v>
      </c>
      <c r="DF54" s="390" t="str">
        <f t="array" ref="DF54">IFERROR(IF(AND(INDEX($E$8:$CE$57, MATCH($C54, $C$8:$C$57, 0), (COLUMNS($DC54:DF54)-1)*5 + 1) = INDEX($E$5:$CE$5, 1, (COLUMNS($DC54:DF54)-1)*5 + 1), INDEX($E$8:$CE$57, MATCH($C54, $C$8:$C$57, 0), (COLUMNS($DC54:DF54)-1)*5 + 4) = "F"), INDEX($CZ$8:$CZ$23, COLUMNS($DC54:DF54)), "0"), "")</f>
        <v>0</v>
      </c>
      <c r="DG54" s="390" t="str">
        <f t="array" ref="DG54">IFERROR(IF(AND(INDEX($E$8:$CE$57, MATCH($C54, $C$8:$C$57, 0), (COLUMNS($DC54:DG54)-1)*5 + 1) = INDEX($E$5:$CE$5, 1, (COLUMNS($DC54:DG54)-1)*5 + 1), INDEX($E$8:$CE$57, MATCH($C54, $C$8:$C$57, 0), (COLUMNS($DC54:DG54)-1)*5 + 4) = "F"), INDEX($CZ$8:$CZ$23, COLUMNS($DC54:DG54)), "0"), "")</f>
        <v>0</v>
      </c>
      <c r="DH54" s="390" t="str">
        <f t="array" ref="DH54">IFERROR(IF(AND(INDEX($E$8:$CE$57, MATCH($C54, $C$8:$C$57, 0), (COLUMNS($DC54:DH54)-1)*5 + 1) = INDEX($E$5:$CE$5, 1, (COLUMNS($DC54:DH54)-1)*5 + 1), INDEX($E$8:$CE$57, MATCH($C54, $C$8:$C$57, 0), (COLUMNS($DC54:DH54)-1)*5 + 4) = "F"), INDEX($CZ$8:$CZ$23, COLUMNS($DC54:DH54)), "0"), "")</f>
        <v>0</v>
      </c>
      <c r="DI54" s="390" t="str">
        <f t="array" ref="DI54">IFERROR(IF(AND(INDEX($E$8:$CE$57, MATCH($C54, $C$8:$C$57, 0), (COLUMNS($DC54:DI54)-1)*5 + 1) = INDEX($E$5:$CE$5, 1, (COLUMNS($DC54:DI54)-1)*5 + 1), INDEX($E$8:$CE$57, MATCH($C54, $C$8:$C$57, 0), (COLUMNS($DC54:DI54)-1)*5 + 4) = "F"), INDEX($CZ$8:$CZ$23, COLUMNS($DC54:DI54)), "0"), "")</f>
        <v>0</v>
      </c>
      <c r="DJ54" s="390" t="str">
        <f t="array" ref="DJ54">IFERROR(IF(AND(INDEX($E$8:$CE$57, MATCH($C54, $C$8:$C$57, 0), (COLUMNS($DC54:DJ54)-1)*5 + 1) = INDEX($E$5:$CE$5, 1, (COLUMNS($DC54:DJ54)-1)*5 + 1), INDEX($E$8:$CE$57, MATCH($C54, $C$8:$C$57, 0), (COLUMNS($DC54:DJ54)-1)*5 + 4) = "F"), INDEX($CZ$8:$CZ$23, COLUMNS($DC54:DJ54)), "0"), "")</f>
        <v>0</v>
      </c>
      <c r="DK54" s="390" t="str">
        <f t="array" ref="DK54">IFERROR(IF(AND(INDEX($E$8:$CE$57, MATCH($C54, $C$8:$C$57, 0), (COLUMNS($DC54:DK54)-1)*5 + 1) = INDEX($E$5:$CE$5, 1, (COLUMNS($DC54:DK54)-1)*5 + 1), INDEX($E$8:$CE$57, MATCH($C54, $C$8:$C$57, 0), (COLUMNS($DC54:DK54)-1)*5 + 4) = "F"), INDEX($CZ$8:$CZ$23, COLUMNS($DC54:DK54)), "0"), "")</f>
        <v>0</v>
      </c>
      <c r="DL54" s="390" t="str">
        <f t="array" ref="DL54">IFERROR(IF(AND(INDEX($E$8:$CE$57, MATCH($C54, $C$8:$C$57, 0), (COLUMNS($DC54:DL54)-1)*5 + 1) = INDEX($E$5:$CE$5, 1, (COLUMNS($DC54:DL54)-1)*5 + 1), INDEX($E$8:$CE$57, MATCH($C54, $C$8:$C$57, 0), (COLUMNS($DC54:DL54)-1)*5 + 4) = "F"), INDEX($CZ$8:$CZ$23, COLUMNS($DC54:DL54)), "0"), "")</f>
        <v>0</v>
      </c>
      <c r="DM54" s="390" t="str">
        <f t="array" ref="DM54">IFERROR(IF(AND(INDEX($E$8:$CE$57, MATCH($C54, $C$8:$C$57, 0), (COLUMNS($DC54:DM54)-1)*5 + 1) = INDEX($E$5:$CE$5, 1, (COLUMNS($DC54:DM54)-1)*5 + 1), INDEX($E$8:$CE$57, MATCH($C54, $C$8:$C$57, 0), (COLUMNS($DC54:DM54)-1)*5 + 4) = "F"), INDEX($CZ$8:$CZ$23, COLUMNS($DC54:DM54)), "0"), "")</f>
        <v>0</v>
      </c>
      <c r="DN54" s="390" t="str">
        <f t="array" ref="DN54">IFERROR(IF(AND(INDEX($E$8:$CE$57, MATCH($C54, $C$8:$C$57, 0), (COLUMNS($DC54:DN54)-1)*5 + 1) = INDEX($E$5:$CE$5, 1, (COLUMNS($DC54:DN54)-1)*5 + 1), INDEX($E$8:$CE$57, MATCH($C54, $C$8:$C$57, 0), (COLUMNS($DC54:DN54)-1)*5 + 4) = "F"), INDEX($CZ$8:$CZ$23, COLUMNS($DC54:DN54)), "0"), "")</f>
        <v>0</v>
      </c>
      <c r="DO54" s="390" t="str">
        <f t="array" ref="DO54">IFERROR(IF(AND(INDEX($E$8:$CE$57, MATCH($C54, $C$8:$C$57, 0), (COLUMNS($DC54:DO54)-1)*5 + 1) = INDEX($E$5:$CE$5, 1, (COLUMNS($DC54:DO54)-1)*5 + 1), INDEX($E$8:$CE$57, MATCH($C54, $C$8:$C$57, 0), (COLUMNS($DC54:DO54)-1)*5 + 4) = "F"), INDEX($CZ$8:$CZ$23, COLUMNS($DC54:DO54)), "0"), "")</f>
        <v>0</v>
      </c>
      <c r="DP54" s="390" t="str">
        <f t="array" ref="DP54">IFERROR(IF(AND(INDEX($E$8:$CE$57, MATCH($C54, $C$8:$C$57, 0), (COLUMNS($DC54:DP54)-1)*5 + 1) = INDEX($E$5:$CE$5, 1, (COLUMNS($DC54:DP54)-1)*5 + 1), INDEX($E$8:$CE$57, MATCH($C54, $C$8:$C$57, 0), (COLUMNS($DC54:DP54)-1)*5 + 4) = "F"), INDEX($CZ$8:$CZ$23, COLUMNS($DC54:DP54)), "0"), "")</f>
        <v>0</v>
      </c>
      <c r="DQ54" s="390" t="str">
        <f t="array" ref="DQ54">IFERROR(IF(AND(INDEX($E$8:$CE$57, MATCH($C54, $C$8:$C$57, 0), (COLUMNS($DC54:DQ54)-1)*5 + 1) = INDEX($E$5:$CE$5, 1, (COLUMNS($DC54:DQ54)-1)*5 + 1), INDEX($E$8:$CE$57, MATCH($C54, $C$8:$C$57, 0), (COLUMNS($DC54:DQ54)-1)*5 + 4) = "F"), INDEX($CZ$8:$CZ$23, COLUMNS($DC54:DQ54)), "0"), "")</f>
        <v>0</v>
      </c>
      <c r="DR54" s="390" t="str">
        <f t="array" ref="DR54">IFERROR(IF(AND(INDEX($E$8:$CE$57, MATCH($C54, $C$8:$C$57, 0), (COLUMNS($DC54:DR54)-1)*5 + 1) = INDEX($E$5:$CE$5, 1, (COLUMNS($DC54:DR54)-1)*5 + 1), INDEX($E$8:$CE$57, MATCH($C54, $C$8:$C$57, 0), (COLUMNS($DC54:DR54)-1)*5 + 4) = "F"), INDEX($CZ$8:$CZ$23, COLUMNS($DC54:DR54)), "0"), "")</f>
        <v>0</v>
      </c>
      <c r="DT54" s="537" t="str">
        <f>SEMANA29[[#This Row],[COD]]</f>
        <v>COD 47</v>
      </c>
      <c r="DU54" s="390" t="str">
        <f t="array" ref="DU54">IFERROR(IF(AND(INDEX($E$8:$CE$57, MATCH($C54, $C$8:$C$57, 0), (COLUMNS($DU54:DU54)-1)*5 + 1) = INDEX($E$5:$CE$5, 1, (COLUMNS($DU54:DU54)-1)*5 + 1), INDEX($E$8:$CE$57, MATCH($C54, $C$8:$C$57, 0), (COLUMNS($DU54:DU54)-1)*5 + 4) = "SF"), INDEX($CZ$8:$CZ$23, COLUMNS($DU54:DU54)), "0"), "")</f>
        <v>0</v>
      </c>
      <c r="DV54" s="390" t="str">
        <f t="array" ref="DV54">IFERROR(IF(AND(INDEX($E$8:$CE$57, MATCH($C54, $C$8:$C$57, 0), (COLUMNS($DU54:DV54)-1)*5 + 1) = INDEX($E$5:$CE$5, 1, (COLUMNS($DU54:DV54)-1)*5 + 1), INDEX($E$8:$CE$57, MATCH($C54, $C$8:$C$57, 0), (COLUMNS($DU54:DV54)-1)*5 + 4) = "SF"), INDEX($CZ$8:$CZ$23, COLUMNS($DU54:DV54)), "0"), "")</f>
        <v>0</v>
      </c>
      <c r="DW54" s="390" t="str">
        <f t="array" ref="DW54">IFERROR(IF(AND(INDEX($E$8:$CE$57, MATCH($C54, $C$8:$C$57, 0), (COLUMNS($DU54:DW54)-1)*5 + 1) = INDEX($E$5:$CE$5, 1, (COLUMNS($DU54:DW54)-1)*5 + 1), INDEX($E$8:$CE$57, MATCH($C54, $C$8:$C$57, 0), (COLUMNS($DU54:DW54)-1)*5 + 4) = "SF"), INDEX($CZ$8:$CZ$23, COLUMNS($DU54:DW54)), "0"), "")</f>
        <v>0</v>
      </c>
      <c r="DX54" s="390" t="str">
        <f t="array" ref="DX54">IFERROR(IF(AND(INDEX($E$8:$CE$57, MATCH($C54, $C$8:$C$57, 0), (COLUMNS($DU54:DX54)-1)*5 + 1) = INDEX($E$5:$CE$5, 1, (COLUMNS($DU54:DX54)-1)*5 + 1), INDEX($E$8:$CE$57, MATCH($C54, $C$8:$C$57, 0), (COLUMNS($DU54:DX54)-1)*5 + 4) = "SF"), INDEX($CZ$8:$CZ$23, COLUMNS($DU54:DX54)), "0"), "")</f>
        <v>0</v>
      </c>
      <c r="DY54" s="390" t="str">
        <f t="array" ref="DY54">IFERROR(IF(AND(INDEX($E$8:$CE$57, MATCH($C54, $C$8:$C$57, 0), (COLUMNS($DU54:DY54)-1)*5 + 1) = INDEX($E$5:$CE$5, 1, (COLUMNS($DU54:DY54)-1)*5 + 1), INDEX($E$8:$CE$57, MATCH($C54, $C$8:$C$57, 0), (COLUMNS($DU54:DY54)-1)*5 + 4) = "SF"), INDEX($CZ$8:$CZ$23, COLUMNS($DU54:DY54)), "0"), "")</f>
        <v>0</v>
      </c>
      <c r="DZ54" s="390" t="str">
        <f t="array" ref="DZ54">IFERROR(IF(AND(INDEX($E$8:$CE$57, MATCH($C54, $C$8:$C$57, 0), (COLUMNS($DU54:DZ54)-1)*5 + 1) = INDEX($E$5:$CE$5, 1, (COLUMNS($DU54:DZ54)-1)*5 + 1), INDEX($E$8:$CE$57, MATCH($C54, $C$8:$C$57, 0), (COLUMNS($DU54:DZ54)-1)*5 + 4) = "SF"), INDEX($CZ$8:$CZ$23, COLUMNS($DU54:DZ54)), "0"), "")</f>
        <v>0</v>
      </c>
      <c r="EA54" s="390" t="str">
        <f t="array" ref="EA54">IFERROR(IF(AND(INDEX($E$8:$CE$57, MATCH($C54, $C$8:$C$57, 0), (COLUMNS($DU54:EA54)-1)*5 + 1) = INDEX($E$5:$CE$5, 1, (COLUMNS($DU54:EA54)-1)*5 + 1), INDEX($E$8:$CE$57, MATCH($C54, $C$8:$C$57, 0), (COLUMNS($DU54:EA54)-1)*5 + 4) = "SF"), INDEX($CZ$8:$CZ$23, COLUMNS($DU54:EA54)), "0"), "")</f>
        <v>0</v>
      </c>
      <c r="EB54" s="390" t="str">
        <f t="array" ref="EB54">IFERROR(IF(AND(INDEX($E$8:$CE$57, MATCH($C54, $C$8:$C$57, 0), (COLUMNS($DU54:EB54)-1)*5 + 1) = INDEX($E$5:$CE$5, 1, (COLUMNS($DU54:EB54)-1)*5 + 1), INDEX($E$8:$CE$57, MATCH($C54, $C$8:$C$57, 0), (COLUMNS($DU54:EB54)-1)*5 + 4) = "SF"), INDEX($CZ$8:$CZ$23, COLUMNS($DU54:EB54)), "0"), "")</f>
        <v>0</v>
      </c>
      <c r="EC54" s="390" t="str">
        <f t="array" ref="EC54">IFERROR(IF(AND(INDEX($E$8:$CE$57, MATCH($C54, $C$8:$C$57, 0), (COLUMNS($DU54:EC54)-1)*5 + 1) = INDEX($E$5:$CE$5, 1, (COLUMNS($DU54:EC54)-1)*5 + 1), INDEX($E$8:$CE$57, MATCH($C54, $C$8:$C$57, 0), (COLUMNS($DU54:EC54)-1)*5 + 4) = "SF"), INDEX($CZ$8:$CZ$23, COLUMNS($DU54:EC54)), "0"), "")</f>
        <v>0</v>
      </c>
      <c r="ED54" s="390" t="str">
        <f t="array" ref="ED54">IFERROR(IF(AND(INDEX($E$8:$CE$57, MATCH($C54, $C$8:$C$57, 0), (COLUMNS($DU54:ED54)-1)*5 + 1) = INDEX($E$5:$CE$5, 1, (COLUMNS($DU54:ED54)-1)*5 + 1), INDEX($E$8:$CE$57, MATCH($C54, $C$8:$C$57, 0), (COLUMNS($DU54:ED54)-1)*5 + 4) = "SF"), INDEX($CZ$8:$CZ$23, COLUMNS($DU54:ED54)), "0"), "")</f>
        <v>0</v>
      </c>
      <c r="EE54" s="390" t="str">
        <f t="array" ref="EE54">IFERROR(IF(AND(INDEX($E$8:$CE$57, MATCH($C54, $C$8:$C$57, 0), (COLUMNS($DU54:EE54)-1)*5 + 1) = INDEX($E$5:$CE$5, 1, (COLUMNS($DU54:EE54)-1)*5 + 1), INDEX($E$8:$CE$57, MATCH($C54, $C$8:$C$57, 0), (COLUMNS($DU54:EE54)-1)*5 + 4) = "SF"), INDEX($CZ$8:$CZ$23, COLUMNS($DU54:EE54)), "0"), "")</f>
        <v>0</v>
      </c>
      <c r="EF54" s="390" t="str">
        <f t="array" ref="EF54">IFERROR(IF(AND(INDEX($E$8:$CE$57, MATCH($C54, $C$8:$C$57, 0), (COLUMNS($DU54:EF54)-1)*5 + 1) = INDEX($E$5:$CE$5, 1, (COLUMNS($DU54:EF54)-1)*5 + 1), INDEX($E$8:$CE$57, MATCH($C54, $C$8:$C$57, 0), (COLUMNS($DU54:EF54)-1)*5 + 4) = "SF"), INDEX($CZ$8:$CZ$23, COLUMNS($DU54:EF54)), "0"), "")</f>
        <v>0</v>
      </c>
      <c r="EG54" s="390" t="str">
        <f t="array" ref="EG54">IFERROR(IF(AND(INDEX($E$8:$CE$57, MATCH($C54, $C$8:$C$57, 0), (COLUMNS($DU54:EG54)-1)*5 + 1) = INDEX($E$5:$CE$5, 1, (COLUMNS($DU54:EG54)-1)*5 + 1), INDEX($E$8:$CE$57, MATCH($C54, $C$8:$C$57, 0), (COLUMNS($DU54:EG54)-1)*5 + 4) = "SF"), INDEX($CZ$8:$CZ$23, COLUMNS($DU54:EG54)), "0"), "")</f>
        <v>0</v>
      </c>
      <c r="EH54" s="390" t="str">
        <f t="array" ref="EH54">IFERROR(IF(AND(INDEX($E$8:$CE$57, MATCH($C54, $C$8:$C$57, 0), (COLUMNS($DU54:EH54)-1)*5 + 1) = INDEX($E$5:$CE$5, 1, (COLUMNS($DU54:EH54)-1)*5 + 1), INDEX($E$8:$CE$57, MATCH($C54, $C$8:$C$57, 0), (COLUMNS($DU54:EH54)-1)*5 + 4) = "SF"), INDEX($CZ$8:$CZ$23, COLUMNS($DU54:EH54)), "0"), "")</f>
        <v>0</v>
      </c>
      <c r="EI54" s="390" t="str">
        <f t="array" ref="EI54">IFERROR(IF(AND(INDEX($E$8:$CE$57, MATCH($C54, $C$8:$C$57, 0), (COLUMNS($DU54:EI54)-1)*5 + 1) = INDEX($E$5:$CE$5, 1, (COLUMNS($DU54:EI54)-1)*5 + 1), INDEX($E$8:$CE$57, MATCH($C54, $C$8:$C$57, 0), (COLUMNS($DU54:EI54)-1)*5 + 4) = "SF"), INDEX($CZ$8:$CZ$23, COLUMNS($DU54:EI54)), "0"), "")</f>
        <v>0</v>
      </c>
      <c r="EJ54" s="390" t="str">
        <f t="array" ref="EJ54">IFERROR(IF(AND(INDEX($E$8:$CE$57, MATCH($C54, $C$8:$C$57, 0), (COLUMNS($DU54:EJ54)-1)*5 + 1) = INDEX($E$5:$CE$5, 1, (COLUMNS($DU54:EJ54)-1)*5 + 1), INDEX($E$8:$CE$57, MATCH($C54, $C$8:$C$57, 0), (COLUMNS($DU54:EJ54)-1)*5 + 4) = "SF"), INDEX($CZ$8:$CZ$23, COLUMNS($DU54:EJ54)), "0"), "")</f>
        <v>0</v>
      </c>
    </row>
    <row r="55" spans="1:140" ht="20.100000000000001" customHeight="1" x14ac:dyDescent="0.35">
      <c r="A55" s="515"/>
      <c r="B55" s="444">
        <f>IF(SEMANA29[[#This Row],[COD]]&lt;&gt;"",B54+1,"")</f>
        <v>48</v>
      </c>
      <c r="C55" s="554" t="s">
        <v>120</v>
      </c>
      <c r="D55" s="410" t="str">
        <f t="array" ref="D55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55" s="411"/>
      <c r="F55" s="413"/>
      <c r="G55" s="413"/>
      <c r="H55" s="413"/>
      <c r="I55" s="534">
        <f t="shared" si="18"/>
        <v>0</v>
      </c>
      <c r="J55" s="411"/>
      <c r="K55" s="413"/>
      <c r="L55" s="413"/>
      <c r="M55" s="413"/>
      <c r="N55" s="534">
        <f t="shared" si="19"/>
        <v>0</v>
      </c>
      <c r="O55" s="411"/>
      <c r="P55" s="413"/>
      <c r="Q55" s="413"/>
      <c r="R55" s="413"/>
      <c r="S55" s="534">
        <f t="shared" si="20"/>
        <v>0</v>
      </c>
      <c r="T55" s="411"/>
      <c r="U55" s="413"/>
      <c r="V55" s="413"/>
      <c r="W55" s="413"/>
      <c r="X55" s="534">
        <f t="shared" si="21"/>
        <v>0</v>
      </c>
      <c r="Y55" s="411"/>
      <c r="Z55" s="413"/>
      <c r="AA55" s="413"/>
      <c r="AB55" s="413"/>
      <c r="AC55" s="534">
        <f t="shared" si="22"/>
        <v>0</v>
      </c>
      <c r="AD55" s="411"/>
      <c r="AE55" s="413"/>
      <c r="AF55" s="413"/>
      <c r="AG55" s="413"/>
      <c r="AH55" s="534">
        <f t="shared" si="23"/>
        <v>0</v>
      </c>
      <c r="AI55" s="411"/>
      <c r="AJ55" s="413"/>
      <c r="AK55" s="413"/>
      <c r="AL55" s="413"/>
      <c r="AM55" s="534">
        <f t="shared" si="24"/>
        <v>0</v>
      </c>
      <c r="AN55" s="411"/>
      <c r="AO55" s="413"/>
      <c r="AP55" s="413"/>
      <c r="AQ55" s="413"/>
      <c r="AR55" s="534">
        <f t="shared" si="25"/>
        <v>0</v>
      </c>
      <c r="AS55" s="411"/>
      <c r="AT55" s="413"/>
      <c r="AU55" s="413"/>
      <c r="AV55" s="413"/>
      <c r="AW55" s="534">
        <f t="shared" si="26"/>
        <v>0</v>
      </c>
      <c r="AX55" s="411"/>
      <c r="AY55" s="413"/>
      <c r="AZ55" s="413"/>
      <c r="BA55" s="413"/>
      <c r="BB55" s="534">
        <f t="shared" si="27"/>
        <v>0</v>
      </c>
      <c r="BC55" s="411"/>
      <c r="BD55" s="413"/>
      <c r="BE55" s="413"/>
      <c r="BF55" s="413"/>
      <c r="BG55" s="534">
        <f t="shared" si="28"/>
        <v>0</v>
      </c>
      <c r="BH55" s="411"/>
      <c r="BI55" s="413"/>
      <c r="BJ55" s="413"/>
      <c r="BK55" s="413"/>
      <c r="BL55" s="534">
        <f t="shared" si="29"/>
        <v>0</v>
      </c>
      <c r="BM55" s="411"/>
      <c r="BN55" s="413"/>
      <c r="BO55" s="413"/>
      <c r="BP55" s="413"/>
      <c r="BQ55" s="534">
        <f t="shared" si="30"/>
        <v>0</v>
      </c>
      <c r="BR55" s="411"/>
      <c r="BS55" s="413"/>
      <c r="BT55" s="413"/>
      <c r="BU55" s="413"/>
      <c r="BV55" s="534">
        <f t="shared" si="31"/>
        <v>0</v>
      </c>
      <c r="BW55" s="411"/>
      <c r="BX55" s="413"/>
      <c r="BY55" s="413"/>
      <c r="BZ55" s="413"/>
      <c r="CA55" s="534">
        <f t="shared" si="32"/>
        <v>0</v>
      </c>
      <c r="CB55" s="411"/>
      <c r="CC55" s="413"/>
      <c r="CD55" s="413"/>
      <c r="CE55" s="413"/>
      <c r="CF55" s="534">
        <f t="shared" si="33"/>
        <v>0</v>
      </c>
      <c r="CG55" s="162">
        <f>IF(SEMANA29[[#This Row],[1]]="",0,$B$4)</f>
        <v>0</v>
      </c>
      <c r="CH55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55" s="185">
        <f>IF(SEMANA29[[#This Row],[Columna14]]=0,0,(CH55/CG55))</f>
        <v>0</v>
      </c>
      <c r="CJ55" s="163">
        <f>IF(SEMANA29[[#This Row],[1]]="",0,$B$4)</f>
        <v>0</v>
      </c>
      <c r="CK55" s="186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55" s="185">
        <f>IF(SEMANA29[[#This Row],[Columna14]]=0,0,(CK55/CJ55))</f>
        <v>0</v>
      </c>
      <c r="CM55" s="162">
        <f>IF(SEMANA29[[#This Row],[1]]="",0,$B$4)</f>
        <v>0</v>
      </c>
      <c r="CN55" s="186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55" s="185">
        <f>IF(SEMANA29[[#This Row],[Columna14]]=0,0,(CN55/CM55))</f>
        <v>0</v>
      </c>
      <c r="CP55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55" s="186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Row],[Columna25]],$AX$5,BA55,"SF")+COUNTIFS(SEMANA29[[#This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55" s="185">
        <f>IFERROR(IF(SEMANA29[[#This Row],[Columna14]]=0,0,(CQ55/CP55)),0)</f>
        <v>0</v>
      </c>
      <c r="CS55" s="539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55" s="93">
        <f>_xlfn.XLOOKUP(SEMANA29[[#This Row],[COD]],SEMANA2[COD],SEMANA2[Columna33])</f>
        <v>0</v>
      </c>
      <c r="CU55" s="536">
        <f t="shared" si="34"/>
        <v>0</v>
      </c>
      <c r="CV55" s="445" t="str">
        <f>IF(SEMANA29[[#This Row],[TIPO]]="PREMIO",$O$3,"0,00")</f>
        <v>0,00</v>
      </c>
      <c r="CW55" s="515"/>
      <c r="CY55" s="387" t="str">
        <f t="shared" si="17"/>
        <v/>
      </c>
      <c r="CZ55" s="387"/>
      <c r="DA55" s="387" t="str">
        <f t="array" ref="DA55">IF(CZ55="", "", IF((INDEX(E$8:CE$57, MATCH(CZ55, C$8:C$57, 0), ($CZ$25-1)*5 + 1) &amp; "") = (INDEX(E$5:CE$5, 1, ($CZ$25-1)*5 + 1) &amp; ""), 1, IF((INDEX(E$8:CE$57, MATCH(CZ55, C$8:C$57, 0), ($CZ$25-1)*5 + 2) &amp; "") = (INDEX(E$5:CE$5, 1, ($CZ$25-1)*5 + 1) &amp; ""), 2, IF((INDEX(E$8:CE$57, MATCH(CZ55, C$8:C$57, 0), ($CZ$25-1)*5 + 3) &amp; "") = (INDEX(E$5:CE$5, 1, ($CZ$25-1)*5 + 1) &amp; ""), 3, ""))))</f>
        <v/>
      </c>
      <c r="DB55" s="537" t="str">
        <f>SEMANA29[[#This Row],[COD]]</f>
        <v>COD 48</v>
      </c>
      <c r="DC55" s="390" t="str">
        <f t="array" ref="DC55">IFERROR(IF(AND(INDEX($E$8:$CE$57, MATCH($C55, $C$8:$C$57, 0), (COLUMNS($DC55:DC55)-1)*5 + 1) = INDEX($E$5:$CE$5, 1, (COLUMNS($DC55:DC55)-1)*5 + 1), INDEX($E$8:$CE$57, MATCH($C55, $C$8:$C$57, 0), (COLUMNS($DC55:DC55)-1)*5 + 4) = "F"), INDEX($CZ$8:$CZ$23, COLUMNS($DC55:DC55)), "0"), "")</f>
        <v>0</v>
      </c>
      <c r="DD55" s="390" t="str">
        <f t="array" ref="DD55">IFERROR(IF(AND(INDEX($E$8:$CE$57, MATCH($C55, $C$8:$C$57, 0), (COLUMNS($DC55:DD55)-1)*5 + 1) = INDEX($E$5:$CE$5, 1, (COLUMNS($DC55:DD55)-1)*5 + 1), INDEX($E$8:$CE$57, MATCH($C55, $C$8:$C$57, 0), (COLUMNS($DC55:DD55)-1)*5 + 4) = "F"), INDEX($CZ$8:$CZ$23, COLUMNS($DC55:DD55)), "0"), "")</f>
        <v>0</v>
      </c>
      <c r="DE55" s="390" t="str">
        <f t="array" ref="DE55">IFERROR(IF(AND(INDEX($E$8:$CE$57, MATCH($C55, $C$8:$C$57, 0), (COLUMNS($DC55:DE55)-1)*5 + 1) = INDEX($E$5:$CE$5, 1, (COLUMNS($DC55:DE55)-1)*5 + 1), INDEX($E$8:$CE$57, MATCH($C55, $C$8:$C$57, 0), (COLUMNS($DC55:DE55)-1)*5 + 4) = "F"), INDEX($CZ$8:$CZ$23, COLUMNS($DC55:DE55)), "0"), "")</f>
        <v>0</v>
      </c>
      <c r="DF55" s="390" t="str">
        <f t="array" ref="DF55">IFERROR(IF(AND(INDEX($E$8:$CE$57, MATCH($C55, $C$8:$C$57, 0), (COLUMNS($DC55:DF55)-1)*5 + 1) = INDEX($E$5:$CE$5, 1, (COLUMNS($DC55:DF55)-1)*5 + 1), INDEX($E$8:$CE$57, MATCH($C55, $C$8:$C$57, 0), (COLUMNS($DC55:DF55)-1)*5 + 4) = "F"), INDEX($CZ$8:$CZ$23, COLUMNS($DC55:DF55)), "0"), "")</f>
        <v>0</v>
      </c>
      <c r="DG55" s="390" t="str">
        <f t="array" ref="DG55">IFERROR(IF(AND(INDEX($E$8:$CE$57, MATCH($C55, $C$8:$C$57, 0), (COLUMNS($DC55:DG55)-1)*5 + 1) = INDEX($E$5:$CE$5, 1, (COLUMNS($DC55:DG55)-1)*5 + 1), INDEX($E$8:$CE$57, MATCH($C55, $C$8:$C$57, 0), (COLUMNS($DC55:DG55)-1)*5 + 4) = "F"), INDEX($CZ$8:$CZ$23, COLUMNS($DC55:DG55)), "0"), "")</f>
        <v>0</v>
      </c>
      <c r="DH55" s="390" t="str">
        <f t="array" ref="DH55">IFERROR(IF(AND(INDEX($E$8:$CE$57, MATCH($C55, $C$8:$C$57, 0), (COLUMNS($DC55:DH55)-1)*5 + 1) = INDEX($E$5:$CE$5, 1, (COLUMNS($DC55:DH55)-1)*5 + 1), INDEX($E$8:$CE$57, MATCH($C55, $C$8:$C$57, 0), (COLUMNS($DC55:DH55)-1)*5 + 4) = "F"), INDEX($CZ$8:$CZ$23, COLUMNS($DC55:DH55)), "0"), "")</f>
        <v>0</v>
      </c>
      <c r="DI55" s="390" t="str">
        <f t="array" ref="DI55">IFERROR(IF(AND(INDEX($E$8:$CE$57, MATCH($C55, $C$8:$C$57, 0), (COLUMNS($DC55:DI55)-1)*5 + 1) = INDEX($E$5:$CE$5, 1, (COLUMNS($DC55:DI55)-1)*5 + 1), INDEX($E$8:$CE$57, MATCH($C55, $C$8:$C$57, 0), (COLUMNS($DC55:DI55)-1)*5 + 4) = "F"), INDEX($CZ$8:$CZ$23, COLUMNS($DC55:DI55)), "0"), "")</f>
        <v>0</v>
      </c>
      <c r="DJ55" s="390" t="str">
        <f t="array" ref="DJ55">IFERROR(IF(AND(INDEX($E$8:$CE$57, MATCH($C55, $C$8:$C$57, 0), (COLUMNS($DC55:DJ55)-1)*5 + 1) = INDEX($E$5:$CE$5, 1, (COLUMNS($DC55:DJ55)-1)*5 + 1), INDEX($E$8:$CE$57, MATCH($C55, $C$8:$C$57, 0), (COLUMNS($DC55:DJ55)-1)*5 + 4) = "F"), INDEX($CZ$8:$CZ$23, COLUMNS($DC55:DJ55)), "0"), "")</f>
        <v>0</v>
      </c>
      <c r="DK55" s="390" t="str">
        <f t="array" ref="DK55">IFERROR(IF(AND(INDEX($E$8:$CE$57, MATCH($C55, $C$8:$C$57, 0), (COLUMNS($DC55:DK55)-1)*5 + 1) = INDEX($E$5:$CE$5, 1, (COLUMNS($DC55:DK55)-1)*5 + 1), INDEX($E$8:$CE$57, MATCH($C55, $C$8:$C$57, 0), (COLUMNS($DC55:DK55)-1)*5 + 4) = "F"), INDEX($CZ$8:$CZ$23, COLUMNS($DC55:DK55)), "0"), "")</f>
        <v>0</v>
      </c>
      <c r="DL55" s="390" t="str">
        <f t="array" ref="DL55">IFERROR(IF(AND(INDEX($E$8:$CE$57, MATCH($C55, $C$8:$C$57, 0), (COLUMNS($DC55:DL55)-1)*5 + 1) = INDEX($E$5:$CE$5, 1, (COLUMNS($DC55:DL55)-1)*5 + 1), INDEX($E$8:$CE$57, MATCH($C55, $C$8:$C$57, 0), (COLUMNS($DC55:DL55)-1)*5 + 4) = "F"), INDEX($CZ$8:$CZ$23, COLUMNS($DC55:DL55)), "0"), "")</f>
        <v>0</v>
      </c>
      <c r="DM55" s="390" t="str">
        <f t="array" ref="DM55">IFERROR(IF(AND(INDEX($E$8:$CE$57, MATCH($C55, $C$8:$C$57, 0), (COLUMNS($DC55:DM55)-1)*5 + 1) = INDEX($E$5:$CE$5, 1, (COLUMNS($DC55:DM55)-1)*5 + 1), INDEX($E$8:$CE$57, MATCH($C55, $C$8:$C$57, 0), (COLUMNS($DC55:DM55)-1)*5 + 4) = "F"), INDEX($CZ$8:$CZ$23, COLUMNS($DC55:DM55)), "0"), "")</f>
        <v>0</v>
      </c>
      <c r="DN55" s="390" t="str">
        <f t="array" ref="DN55">IFERROR(IF(AND(INDEX($E$8:$CE$57, MATCH($C55, $C$8:$C$57, 0), (COLUMNS($DC55:DN55)-1)*5 + 1) = INDEX($E$5:$CE$5, 1, (COLUMNS($DC55:DN55)-1)*5 + 1), INDEX($E$8:$CE$57, MATCH($C55, $C$8:$C$57, 0), (COLUMNS($DC55:DN55)-1)*5 + 4) = "F"), INDEX($CZ$8:$CZ$23, COLUMNS($DC55:DN55)), "0"), "")</f>
        <v>0</v>
      </c>
      <c r="DO55" s="390" t="str">
        <f t="array" ref="DO55">IFERROR(IF(AND(INDEX($E$8:$CE$57, MATCH($C55, $C$8:$C$57, 0), (COLUMNS($DC55:DO55)-1)*5 + 1) = INDEX($E$5:$CE$5, 1, (COLUMNS($DC55:DO55)-1)*5 + 1), INDEX($E$8:$CE$57, MATCH($C55, $C$8:$C$57, 0), (COLUMNS($DC55:DO55)-1)*5 + 4) = "F"), INDEX($CZ$8:$CZ$23, COLUMNS($DC55:DO55)), "0"), "")</f>
        <v>0</v>
      </c>
      <c r="DP55" s="390" t="str">
        <f t="array" ref="DP55">IFERROR(IF(AND(INDEX($E$8:$CE$57, MATCH($C55, $C$8:$C$57, 0), (COLUMNS($DC55:DP55)-1)*5 + 1) = INDEX($E$5:$CE$5, 1, (COLUMNS($DC55:DP55)-1)*5 + 1), INDEX($E$8:$CE$57, MATCH($C55, $C$8:$C$57, 0), (COLUMNS($DC55:DP55)-1)*5 + 4) = "F"), INDEX($CZ$8:$CZ$23, COLUMNS($DC55:DP55)), "0"), "")</f>
        <v>0</v>
      </c>
      <c r="DQ55" s="390" t="str">
        <f t="array" ref="DQ55">IFERROR(IF(AND(INDEX($E$8:$CE$57, MATCH($C55, $C$8:$C$57, 0), (COLUMNS($DC55:DQ55)-1)*5 + 1) = INDEX($E$5:$CE$5, 1, (COLUMNS($DC55:DQ55)-1)*5 + 1), INDEX($E$8:$CE$57, MATCH($C55, $C$8:$C$57, 0), (COLUMNS($DC55:DQ55)-1)*5 + 4) = "F"), INDEX($CZ$8:$CZ$23, COLUMNS($DC55:DQ55)), "0"), "")</f>
        <v>0</v>
      </c>
      <c r="DR55" s="390" t="str">
        <f t="array" ref="DR55">IFERROR(IF(AND(INDEX($E$8:$CE$57, MATCH($C55, $C$8:$C$57, 0), (COLUMNS($DC55:DR55)-1)*5 + 1) = INDEX($E$5:$CE$5, 1, (COLUMNS($DC55:DR55)-1)*5 + 1), INDEX($E$8:$CE$57, MATCH($C55, $C$8:$C$57, 0), (COLUMNS($DC55:DR55)-1)*5 + 4) = "F"), INDEX($CZ$8:$CZ$23, COLUMNS($DC55:DR55)), "0"), "")</f>
        <v>0</v>
      </c>
      <c r="DT55" s="537" t="str">
        <f>SEMANA29[[#This Row],[COD]]</f>
        <v>COD 48</v>
      </c>
      <c r="DU55" s="390" t="str">
        <f t="array" ref="DU55">IFERROR(IF(AND(INDEX($E$8:$CE$57, MATCH($C55, $C$8:$C$57, 0), (COLUMNS($DU55:DU55)-1)*5 + 1) = INDEX($E$5:$CE$5, 1, (COLUMNS($DU55:DU55)-1)*5 + 1), INDEX($E$8:$CE$57, MATCH($C55, $C$8:$C$57, 0), (COLUMNS($DU55:DU55)-1)*5 + 4) = "SF"), INDEX($CZ$8:$CZ$23, COLUMNS($DU55:DU55)), "0"), "")</f>
        <v>0</v>
      </c>
      <c r="DV55" s="390" t="str">
        <f t="array" ref="DV55">IFERROR(IF(AND(INDEX($E$8:$CE$57, MATCH($C55, $C$8:$C$57, 0), (COLUMNS($DU55:DV55)-1)*5 + 1) = INDEX($E$5:$CE$5, 1, (COLUMNS($DU55:DV55)-1)*5 + 1), INDEX($E$8:$CE$57, MATCH($C55, $C$8:$C$57, 0), (COLUMNS($DU55:DV55)-1)*5 + 4) = "SF"), INDEX($CZ$8:$CZ$23, COLUMNS($DU55:DV55)), "0"), "")</f>
        <v>0</v>
      </c>
      <c r="DW55" s="390" t="str">
        <f t="array" ref="DW55">IFERROR(IF(AND(INDEX($E$8:$CE$57, MATCH($C55, $C$8:$C$57, 0), (COLUMNS($DU55:DW55)-1)*5 + 1) = INDEX($E$5:$CE$5, 1, (COLUMNS($DU55:DW55)-1)*5 + 1), INDEX($E$8:$CE$57, MATCH($C55, $C$8:$C$57, 0), (COLUMNS($DU55:DW55)-1)*5 + 4) = "SF"), INDEX($CZ$8:$CZ$23, COLUMNS($DU55:DW55)), "0"), "")</f>
        <v>0</v>
      </c>
      <c r="DX55" s="390" t="str">
        <f t="array" ref="DX55">IFERROR(IF(AND(INDEX($E$8:$CE$57, MATCH($C55, $C$8:$C$57, 0), (COLUMNS($DU55:DX55)-1)*5 + 1) = INDEX($E$5:$CE$5, 1, (COLUMNS($DU55:DX55)-1)*5 + 1), INDEX($E$8:$CE$57, MATCH($C55, $C$8:$C$57, 0), (COLUMNS($DU55:DX55)-1)*5 + 4) = "SF"), INDEX($CZ$8:$CZ$23, COLUMNS($DU55:DX55)), "0"), "")</f>
        <v>0</v>
      </c>
      <c r="DY55" s="390" t="str">
        <f t="array" ref="DY55">IFERROR(IF(AND(INDEX($E$8:$CE$57, MATCH($C55, $C$8:$C$57, 0), (COLUMNS($DU55:DY55)-1)*5 + 1) = INDEX($E$5:$CE$5, 1, (COLUMNS($DU55:DY55)-1)*5 + 1), INDEX($E$8:$CE$57, MATCH($C55, $C$8:$C$57, 0), (COLUMNS($DU55:DY55)-1)*5 + 4) = "SF"), INDEX($CZ$8:$CZ$23, COLUMNS($DU55:DY55)), "0"), "")</f>
        <v>0</v>
      </c>
      <c r="DZ55" s="390" t="str">
        <f t="array" ref="DZ55">IFERROR(IF(AND(INDEX($E$8:$CE$57, MATCH($C55, $C$8:$C$57, 0), (COLUMNS($DU55:DZ55)-1)*5 + 1) = INDEX($E$5:$CE$5, 1, (COLUMNS($DU55:DZ55)-1)*5 + 1), INDEX($E$8:$CE$57, MATCH($C55, $C$8:$C$57, 0), (COLUMNS($DU55:DZ55)-1)*5 + 4) = "SF"), INDEX($CZ$8:$CZ$23, COLUMNS($DU55:DZ55)), "0"), "")</f>
        <v>0</v>
      </c>
      <c r="EA55" s="390" t="str">
        <f t="array" ref="EA55">IFERROR(IF(AND(INDEX($E$8:$CE$57, MATCH($C55, $C$8:$C$57, 0), (COLUMNS($DU55:EA55)-1)*5 + 1) = INDEX($E$5:$CE$5, 1, (COLUMNS($DU55:EA55)-1)*5 + 1), INDEX($E$8:$CE$57, MATCH($C55, $C$8:$C$57, 0), (COLUMNS($DU55:EA55)-1)*5 + 4) = "SF"), INDEX($CZ$8:$CZ$23, COLUMNS($DU55:EA55)), "0"), "")</f>
        <v>0</v>
      </c>
      <c r="EB55" s="390" t="str">
        <f t="array" ref="EB55">IFERROR(IF(AND(INDEX($E$8:$CE$57, MATCH($C55, $C$8:$C$57, 0), (COLUMNS($DU55:EB55)-1)*5 + 1) = INDEX($E$5:$CE$5, 1, (COLUMNS($DU55:EB55)-1)*5 + 1), INDEX($E$8:$CE$57, MATCH($C55, $C$8:$C$57, 0), (COLUMNS($DU55:EB55)-1)*5 + 4) = "SF"), INDEX($CZ$8:$CZ$23, COLUMNS($DU55:EB55)), "0"), "")</f>
        <v>0</v>
      </c>
      <c r="EC55" s="390" t="str">
        <f t="array" ref="EC55">IFERROR(IF(AND(INDEX($E$8:$CE$57, MATCH($C55, $C$8:$C$57, 0), (COLUMNS($DU55:EC55)-1)*5 + 1) = INDEX($E$5:$CE$5, 1, (COLUMNS($DU55:EC55)-1)*5 + 1), INDEX($E$8:$CE$57, MATCH($C55, $C$8:$C$57, 0), (COLUMNS($DU55:EC55)-1)*5 + 4) = "SF"), INDEX($CZ$8:$CZ$23, COLUMNS($DU55:EC55)), "0"), "")</f>
        <v>0</v>
      </c>
      <c r="ED55" s="390" t="str">
        <f t="array" ref="ED55">IFERROR(IF(AND(INDEX($E$8:$CE$57, MATCH($C55, $C$8:$C$57, 0), (COLUMNS($DU55:ED55)-1)*5 + 1) = INDEX($E$5:$CE$5, 1, (COLUMNS($DU55:ED55)-1)*5 + 1), INDEX($E$8:$CE$57, MATCH($C55, $C$8:$C$57, 0), (COLUMNS($DU55:ED55)-1)*5 + 4) = "SF"), INDEX($CZ$8:$CZ$23, COLUMNS($DU55:ED55)), "0"), "")</f>
        <v>0</v>
      </c>
      <c r="EE55" s="390" t="str">
        <f t="array" ref="EE55">IFERROR(IF(AND(INDEX($E$8:$CE$57, MATCH($C55, $C$8:$C$57, 0), (COLUMNS($DU55:EE55)-1)*5 + 1) = INDEX($E$5:$CE$5, 1, (COLUMNS($DU55:EE55)-1)*5 + 1), INDEX($E$8:$CE$57, MATCH($C55, $C$8:$C$57, 0), (COLUMNS($DU55:EE55)-1)*5 + 4) = "SF"), INDEX($CZ$8:$CZ$23, COLUMNS($DU55:EE55)), "0"), "")</f>
        <v>0</v>
      </c>
      <c r="EF55" s="390" t="str">
        <f t="array" ref="EF55">IFERROR(IF(AND(INDEX($E$8:$CE$57, MATCH($C55, $C$8:$C$57, 0), (COLUMNS($DU55:EF55)-1)*5 + 1) = INDEX($E$5:$CE$5, 1, (COLUMNS($DU55:EF55)-1)*5 + 1), INDEX($E$8:$CE$57, MATCH($C55, $C$8:$C$57, 0), (COLUMNS($DU55:EF55)-1)*5 + 4) = "SF"), INDEX($CZ$8:$CZ$23, COLUMNS($DU55:EF55)), "0"), "")</f>
        <v>0</v>
      </c>
      <c r="EG55" s="390" t="str">
        <f t="array" ref="EG55">IFERROR(IF(AND(INDEX($E$8:$CE$57, MATCH($C55, $C$8:$C$57, 0), (COLUMNS($DU55:EG55)-1)*5 + 1) = INDEX($E$5:$CE$5, 1, (COLUMNS($DU55:EG55)-1)*5 + 1), INDEX($E$8:$CE$57, MATCH($C55, $C$8:$C$57, 0), (COLUMNS($DU55:EG55)-1)*5 + 4) = "SF"), INDEX($CZ$8:$CZ$23, COLUMNS($DU55:EG55)), "0"), "")</f>
        <v>0</v>
      </c>
      <c r="EH55" s="390" t="str">
        <f t="array" ref="EH55">IFERROR(IF(AND(INDEX($E$8:$CE$57, MATCH($C55, $C$8:$C$57, 0), (COLUMNS($DU55:EH55)-1)*5 + 1) = INDEX($E$5:$CE$5, 1, (COLUMNS($DU55:EH55)-1)*5 + 1), INDEX($E$8:$CE$57, MATCH($C55, $C$8:$C$57, 0), (COLUMNS($DU55:EH55)-1)*5 + 4) = "SF"), INDEX($CZ$8:$CZ$23, COLUMNS($DU55:EH55)), "0"), "")</f>
        <v>0</v>
      </c>
      <c r="EI55" s="390" t="str">
        <f t="array" ref="EI55">IFERROR(IF(AND(INDEX($E$8:$CE$57, MATCH($C55, $C$8:$C$57, 0), (COLUMNS($DU55:EI55)-1)*5 + 1) = INDEX($E$5:$CE$5, 1, (COLUMNS($DU55:EI55)-1)*5 + 1), INDEX($E$8:$CE$57, MATCH($C55, $C$8:$C$57, 0), (COLUMNS($DU55:EI55)-1)*5 + 4) = "SF"), INDEX($CZ$8:$CZ$23, COLUMNS($DU55:EI55)), "0"), "")</f>
        <v>0</v>
      </c>
      <c r="EJ55" s="390" t="str">
        <f t="array" ref="EJ55">IFERROR(IF(AND(INDEX($E$8:$CE$57, MATCH($C55, $C$8:$C$57, 0), (COLUMNS($DU55:EJ55)-1)*5 + 1) = INDEX($E$5:$CE$5, 1, (COLUMNS($DU55:EJ55)-1)*5 + 1), INDEX($E$8:$CE$57, MATCH($C55, $C$8:$C$57, 0), (COLUMNS($DU55:EJ55)-1)*5 + 4) = "SF"), INDEX($CZ$8:$CZ$23, COLUMNS($DU55:EJ55)), "0"), "")</f>
        <v>0</v>
      </c>
    </row>
    <row r="56" spans="1:140" ht="20.100000000000001" customHeight="1" x14ac:dyDescent="0.35">
      <c r="A56" s="515"/>
      <c r="B56" s="444">
        <f>IF(SEMANA29[[#This Row],[COD]]&lt;&gt;"",B55+1,"")</f>
        <v>49</v>
      </c>
      <c r="C56" s="554" t="s">
        <v>121</v>
      </c>
      <c r="D56" s="410" t="str">
        <f t="array" ref="D56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56" s="411"/>
      <c r="F56" s="413"/>
      <c r="G56" s="413"/>
      <c r="H56" s="413"/>
      <c r="I56" s="534">
        <f t="shared" si="18"/>
        <v>0</v>
      </c>
      <c r="J56" s="411"/>
      <c r="K56" s="413"/>
      <c r="L56" s="413"/>
      <c r="M56" s="413"/>
      <c r="N56" s="534">
        <f t="shared" si="19"/>
        <v>0</v>
      </c>
      <c r="O56" s="411"/>
      <c r="P56" s="413"/>
      <c r="Q56" s="413"/>
      <c r="R56" s="413"/>
      <c r="S56" s="534">
        <f t="shared" si="20"/>
        <v>0</v>
      </c>
      <c r="T56" s="411"/>
      <c r="U56" s="413"/>
      <c r="V56" s="413"/>
      <c r="W56" s="413"/>
      <c r="X56" s="534">
        <f t="shared" si="21"/>
        <v>0</v>
      </c>
      <c r="Y56" s="411"/>
      <c r="Z56" s="413"/>
      <c r="AA56" s="413"/>
      <c r="AB56" s="413"/>
      <c r="AC56" s="534">
        <f t="shared" si="22"/>
        <v>0</v>
      </c>
      <c r="AD56" s="411"/>
      <c r="AE56" s="413"/>
      <c r="AF56" s="413"/>
      <c r="AG56" s="413"/>
      <c r="AH56" s="534">
        <f t="shared" si="23"/>
        <v>0</v>
      </c>
      <c r="AI56" s="411"/>
      <c r="AJ56" s="413"/>
      <c r="AK56" s="413"/>
      <c r="AL56" s="413"/>
      <c r="AM56" s="534">
        <f t="shared" si="24"/>
        <v>0</v>
      </c>
      <c r="AN56" s="411"/>
      <c r="AO56" s="413"/>
      <c r="AP56" s="413"/>
      <c r="AQ56" s="413"/>
      <c r="AR56" s="534">
        <f t="shared" si="25"/>
        <v>0</v>
      </c>
      <c r="AS56" s="411"/>
      <c r="AT56" s="413"/>
      <c r="AU56" s="413"/>
      <c r="AV56" s="413"/>
      <c r="AW56" s="534">
        <f t="shared" si="26"/>
        <v>0</v>
      </c>
      <c r="AX56" s="411"/>
      <c r="AY56" s="413"/>
      <c r="AZ56" s="413"/>
      <c r="BA56" s="413"/>
      <c r="BB56" s="534">
        <f t="shared" si="27"/>
        <v>0</v>
      </c>
      <c r="BC56" s="411"/>
      <c r="BD56" s="413"/>
      <c r="BE56" s="413"/>
      <c r="BF56" s="413"/>
      <c r="BG56" s="534">
        <f t="shared" si="28"/>
        <v>0</v>
      </c>
      <c r="BH56" s="411"/>
      <c r="BI56" s="413"/>
      <c r="BJ56" s="413"/>
      <c r="BK56" s="413"/>
      <c r="BL56" s="534">
        <f t="shared" si="29"/>
        <v>0</v>
      </c>
      <c r="BM56" s="411"/>
      <c r="BN56" s="413"/>
      <c r="BO56" s="413"/>
      <c r="BP56" s="413"/>
      <c r="BQ56" s="534">
        <f t="shared" si="30"/>
        <v>0</v>
      </c>
      <c r="BR56" s="411"/>
      <c r="BS56" s="413"/>
      <c r="BT56" s="413"/>
      <c r="BU56" s="413"/>
      <c r="BV56" s="534">
        <f t="shared" si="31"/>
        <v>0</v>
      </c>
      <c r="BW56" s="411"/>
      <c r="BX56" s="413"/>
      <c r="BY56" s="413"/>
      <c r="BZ56" s="413"/>
      <c r="CA56" s="534">
        <f t="shared" si="32"/>
        <v>0</v>
      </c>
      <c r="CB56" s="411"/>
      <c r="CC56" s="413"/>
      <c r="CD56" s="413"/>
      <c r="CE56" s="413"/>
      <c r="CF56" s="534">
        <f t="shared" si="33"/>
        <v>0</v>
      </c>
      <c r="CG56" s="162">
        <f>IF(SEMANA29[[#This Row],[1]]="",0,$B$4)</f>
        <v>0</v>
      </c>
      <c r="CH56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56" s="185">
        <f>IF(SEMANA29[[#This Row],[Columna14]]=0,0,(CH56/CG56))</f>
        <v>0</v>
      </c>
      <c r="CJ56" s="163">
        <f>IF(SEMANA29[[#This Row],[1]]="",0,$B$4)</f>
        <v>0</v>
      </c>
      <c r="CK56" s="186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56" s="185">
        <f>IF(SEMANA29[[#This Row],[Columna14]]=0,0,(CK56/CJ56))</f>
        <v>0</v>
      </c>
      <c r="CM56" s="162">
        <f>IF(SEMANA29[[#This Row],[1]]="",0,$B$4)</f>
        <v>0</v>
      </c>
      <c r="CN56" s="186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56" s="185">
        <f>IF(SEMANA29[[#This Row],[Columna14]]=0,0,(CN56/CM56))</f>
        <v>0</v>
      </c>
      <c r="CP56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56" s="186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Row],[Columna25]],$AX$5,BA56,"SF")+COUNTIFS(SEMANA29[[#This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56" s="185">
        <f>IFERROR(IF(SEMANA29[[#This Row],[Columna14]]=0,0,(CQ56/CP56)),0)</f>
        <v>0</v>
      </c>
      <c r="CS56" s="539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56" s="93">
        <f>_xlfn.XLOOKUP(SEMANA29[[#This Row],[COD]],SEMANA2[COD],SEMANA2[Columna33])</f>
        <v>0</v>
      </c>
      <c r="CU56" s="536">
        <f t="shared" si="34"/>
        <v>0</v>
      </c>
      <c r="CV56" s="445" t="str">
        <f>IF(SEMANA29[[#This Row],[TIPO]]="PREMIO",$O$3,"0,00")</f>
        <v>0,00</v>
      </c>
      <c r="CW56" s="515"/>
      <c r="CY56" s="387" t="str">
        <f t="shared" si="17"/>
        <v/>
      </c>
      <c r="CZ56" s="387"/>
      <c r="DA56" s="387" t="str">
        <f t="array" ref="DA56">IF(CZ56="", "", IF((INDEX(E$8:CE$57, MATCH(CZ56, C$8:C$57, 0), ($CZ$25-1)*5 + 1) &amp; "") = (INDEX(E$5:CE$5, 1, ($CZ$25-1)*5 + 1) &amp; ""), 1, IF((INDEX(E$8:CE$57, MATCH(CZ56, C$8:C$57, 0), ($CZ$25-1)*5 + 2) &amp; "") = (INDEX(E$5:CE$5, 1, ($CZ$25-1)*5 + 1) &amp; ""), 2, IF((INDEX(E$8:CE$57, MATCH(CZ56, C$8:C$57, 0), ($CZ$25-1)*5 + 3) &amp; "") = (INDEX(E$5:CE$5, 1, ($CZ$25-1)*5 + 1) &amp; ""), 3, ""))))</f>
        <v/>
      </c>
      <c r="DB56" s="537" t="str">
        <f>SEMANA29[[#This Row],[COD]]</f>
        <v>COD 49</v>
      </c>
      <c r="DC56" s="390" t="str">
        <f t="array" ref="DC56">IFERROR(IF(AND(INDEX($E$8:$CE$57, MATCH($C56, $C$8:$C$57, 0), (COLUMNS($DC56:DC56)-1)*5 + 1) = INDEX($E$5:$CE$5, 1, (COLUMNS($DC56:DC56)-1)*5 + 1), INDEX($E$8:$CE$57, MATCH($C56, $C$8:$C$57, 0), (COLUMNS($DC56:DC56)-1)*5 + 4) = "F"), INDEX($CZ$8:$CZ$23, COLUMNS($DC56:DC56)), "0"), "")</f>
        <v>0</v>
      </c>
      <c r="DD56" s="390" t="str">
        <f t="array" ref="DD56">IFERROR(IF(AND(INDEX($E$8:$CE$57, MATCH($C56, $C$8:$C$57, 0), (COLUMNS($DC56:DD56)-1)*5 + 1) = INDEX($E$5:$CE$5, 1, (COLUMNS($DC56:DD56)-1)*5 + 1), INDEX($E$8:$CE$57, MATCH($C56, $C$8:$C$57, 0), (COLUMNS($DC56:DD56)-1)*5 + 4) = "F"), INDEX($CZ$8:$CZ$23, COLUMNS($DC56:DD56)), "0"), "")</f>
        <v>0</v>
      </c>
      <c r="DE56" s="390" t="str">
        <f t="array" ref="DE56">IFERROR(IF(AND(INDEX($E$8:$CE$57, MATCH($C56, $C$8:$C$57, 0), (COLUMNS($DC56:DE56)-1)*5 + 1) = INDEX($E$5:$CE$5, 1, (COLUMNS($DC56:DE56)-1)*5 + 1), INDEX($E$8:$CE$57, MATCH($C56, $C$8:$C$57, 0), (COLUMNS($DC56:DE56)-1)*5 + 4) = "F"), INDEX($CZ$8:$CZ$23, COLUMNS($DC56:DE56)), "0"), "")</f>
        <v>0</v>
      </c>
      <c r="DF56" s="390" t="str">
        <f t="array" ref="DF56">IFERROR(IF(AND(INDEX($E$8:$CE$57, MATCH($C56, $C$8:$C$57, 0), (COLUMNS($DC56:DF56)-1)*5 + 1) = INDEX($E$5:$CE$5, 1, (COLUMNS($DC56:DF56)-1)*5 + 1), INDEX($E$8:$CE$57, MATCH($C56, $C$8:$C$57, 0), (COLUMNS($DC56:DF56)-1)*5 + 4) = "F"), INDEX($CZ$8:$CZ$23, COLUMNS($DC56:DF56)), "0"), "")</f>
        <v>0</v>
      </c>
      <c r="DG56" s="390" t="str">
        <f t="array" ref="DG56">IFERROR(IF(AND(INDEX($E$8:$CE$57, MATCH($C56, $C$8:$C$57, 0), (COLUMNS($DC56:DG56)-1)*5 + 1) = INDEX($E$5:$CE$5, 1, (COLUMNS($DC56:DG56)-1)*5 + 1), INDEX($E$8:$CE$57, MATCH($C56, $C$8:$C$57, 0), (COLUMNS($DC56:DG56)-1)*5 + 4) = "F"), INDEX($CZ$8:$CZ$23, COLUMNS($DC56:DG56)), "0"), "")</f>
        <v>0</v>
      </c>
      <c r="DH56" s="390" t="str">
        <f t="array" ref="DH56">IFERROR(IF(AND(INDEX($E$8:$CE$57, MATCH($C56, $C$8:$C$57, 0), (COLUMNS($DC56:DH56)-1)*5 + 1) = INDEX($E$5:$CE$5, 1, (COLUMNS($DC56:DH56)-1)*5 + 1), INDEX($E$8:$CE$57, MATCH($C56, $C$8:$C$57, 0), (COLUMNS($DC56:DH56)-1)*5 + 4) = "F"), INDEX($CZ$8:$CZ$23, COLUMNS($DC56:DH56)), "0"), "")</f>
        <v>0</v>
      </c>
      <c r="DI56" s="390" t="str">
        <f t="array" ref="DI56">IFERROR(IF(AND(INDEX($E$8:$CE$57, MATCH($C56, $C$8:$C$57, 0), (COLUMNS($DC56:DI56)-1)*5 + 1) = INDEX($E$5:$CE$5, 1, (COLUMNS($DC56:DI56)-1)*5 + 1), INDEX($E$8:$CE$57, MATCH($C56, $C$8:$C$57, 0), (COLUMNS($DC56:DI56)-1)*5 + 4) = "F"), INDEX($CZ$8:$CZ$23, COLUMNS($DC56:DI56)), "0"), "")</f>
        <v>0</v>
      </c>
      <c r="DJ56" s="390" t="str">
        <f t="array" ref="DJ56">IFERROR(IF(AND(INDEX($E$8:$CE$57, MATCH($C56, $C$8:$C$57, 0), (COLUMNS($DC56:DJ56)-1)*5 + 1) = INDEX($E$5:$CE$5, 1, (COLUMNS($DC56:DJ56)-1)*5 + 1), INDEX($E$8:$CE$57, MATCH($C56, $C$8:$C$57, 0), (COLUMNS($DC56:DJ56)-1)*5 + 4) = "F"), INDEX($CZ$8:$CZ$23, COLUMNS($DC56:DJ56)), "0"), "")</f>
        <v>0</v>
      </c>
      <c r="DK56" s="390" t="str">
        <f t="array" ref="DK56">IFERROR(IF(AND(INDEX($E$8:$CE$57, MATCH($C56, $C$8:$C$57, 0), (COLUMNS($DC56:DK56)-1)*5 + 1) = INDEX($E$5:$CE$5, 1, (COLUMNS($DC56:DK56)-1)*5 + 1), INDEX($E$8:$CE$57, MATCH($C56, $C$8:$C$57, 0), (COLUMNS($DC56:DK56)-1)*5 + 4) = "F"), INDEX($CZ$8:$CZ$23, COLUMNS($DC56:DK56)), "0"), "")</f>
        <v>0</v>
      </c>
      <c r="DL56" s="390" t="str">
        <f t="array" ref="DL56">IFERROR(IF(AND(INDEX($E$8:$CE$57, MATCH($C56, $C$8:$C$57, 0), (COLUMNS($DC56:DL56)-1)*5 + 1) = INDEX($E$5:$CE$5, 1, (COLUMNS($DC56:DL56)-1)*5 + 1), INDEX($E$8:$CE$57, MATCH($C56, $C$8:$C$57, 0), (COLUMNS($DC56:DL56)-1)*5 + 4) = "F"), INDEX($CZ$8:$CZ$23, COLUMNS($DC56:DL56)), "0"), "")</f>
        <v>0</v>
      </c>
      <c r="DM56" s="390" t="str">
        <f t="array" ref="DM56">IFERROR(IF(AND(INDEX($E$8:$CE$57, MATCH($C56, $C$8:$C$57, 0), (COLUMNS($DC56:DM56)-1)*5 + 1) = INDEX($E$5:$CE$5, 1, (COLUMNS($DC56:DM56)-1)*5 + 1), INDEX($E$8:$CE$57, MATCH($C56, $C$8:$C$57, 0), (COLUMNS($DC56:DM56)-1)*5 + 4) = "F"), INDEX($CZ$8:$CZ$23, COLUMNS($DC56:DM56)), "0"), "")</f>
        <v>0</v>
      </c>
      <c r="DN56" s="390" t="str">
        <f t="array" ref="DN56">IFERROR(IF(AND(INDEX($E$8:$CE$57, MATCH($C56, $C$8:$C$57, 0), (COLUMNS($DC56:DN56)-1)*5 + 1) = INDEX($E$5:$CE$5, 1, (COLUMNS($DC56:DN56)-1)*5 + 1), INDEX($E$8:$CE$57, MATCH($C56, $C$8:$C$57, 0), (COLUMNS($DC56:DN56)-1)*5 + 4) = "F"), INDEX($CZ$8:$CZ$23, COLUMNS($DC56:DN56)), "0"), "")</f>
        <v>0</v>
      </c>
      <c r="DO56" s="390" t="str">
        <f t="array" ref="DO56">IFERROR(IF(AND(INDEX($E$8:$CE$57, MATCH($C56, $C$8:$C$57, 0), (COLUMNS($DC56:DO56)-1)*5 + 1) = INDEX($E$5:$CE$5, 1, (COLUMNS($DC56:DO56)-1)*5 + 1), INDEX($E$8:$CE$57, MATCH($C56, $C$8:$C$57, 0), (COLUMNS($DC56:DO56)-1)*5 + 4) = "F"), INDEX($CZ$8:$CZ$23, COLUMNS($DC56:DO56)), "0"), "")</f>
        <v>0</v>
      </c>
      <c r="DP56" s="390" t="str">
        <f t="array" ref="DP56">IFERROR(IF(AND(INDEX($E$8:$CE$57, MATCH($C56, $C$8:$C$57, 0), (COLUMNS($DC56:DP56)-1)*5 + 1) = INDEX($E$5:$CE$5, 1, (COLUMNS($DC56:DP56)-1)*5 + 1), INDEX($E$8:$CE$57, MATCH($C56, $C$8:$C$57, 0), (COLUMNS($DC56:DP56)-1)*5 + 4) = "F"), INDEX($CZ$8:$CZ$23, COLUMNS($DC56:DP56)), "0"), "")</f>
        <v>0</v>
      </c>
      <c r="DQ56" s="390" t="str">
        <f t="array" ref="DQ56">IFERROR(IF(AND(INDEX($E$8:$CE$57, MATCH($C56, $C$8:$C$57, 0), (COLUMNS($DC56:DQ56)-1)*5 + 1) = INDEX($E$5:$CE$5, 1, (COLUMNS($DC56:DQ56)-1)*5 + 1), INDEX($E$8:$CE$57, MATCH($C56, $C$8:$C$57, 0), (COLUMNS($DC56:DQ56)-1)*5 + 4) = "F"), INDEX($CZ$8:$CZ$23, COLUMNS($DC56:DQ56)), "0"), "")</f>
        <v>0</v>
      </c>
      <c r="DR56" s="390" t="str">
        <f t="array" ref="DR56">IFERROR(IF(AND(INDEX($E$8:$CE$57, MATCH($C56, $C$8:$C$57, 0), (COLUMNS($DC56:DR56)-1)*5 + 1) = INDEX($E$5:$CE$5, 1, (COLUMNS($DC56:DR56)-1)*5 + 1), INDEX($E$8:$CE$57, MATCH($C56, $C$8:$C$57, 0), (COLUMNS($DC56:DR56)-1)*5 + 4) = "F"), INDEX($CZ$8:$CZ$23, COLUMNS($DC56:DR56)), "0"), "")</f>
        <v>0</v>
      </c>
      <c r="DT56" s="537" t="str">
        <f>SEMANA29[[#This Row],[COD]]</f>
        <v>COD 49</v>
      </c>
      <c r="DU56" s="390" t="str">
        <f t="array" ref="DU56">IFERROR(IF(AND(INDEX($E$8:$CE$57, MATCH($C56, $C$8:$C$57, 0), (COLUMNS($DU56:DU56)-1)*5 + 1) = INDEX($E$5:$CE$5, 1, (COLUMNS($DU56:DU56)-1)*5 + 1), INDEX($E$8:$CE$57, MATCH($C56, $C$8:$C$57, 0), (COLUMNS($DU56:DU56)-1)*5 + 4) = "SF"), INDEX($CZ$8:$CZ$23, COLUMNS($DU56:DU56)), "0"), "")</f>
        <v>0</v>
      </c>
      <c r="DV56" s="390" t="str">
        <f t="array" ref="DV56">IFERROR(IF(AND(INDEX($E$8:$CE$57, MATCH($C56, $C$8:$C$57, 0), (COLUMNS($DU56:DV56)-1)*5 + 1) = INDEX($E$5:$CE$5, 1, (COLUMNS($DU56:DV56)-1)*5 + 1), INDEX($E$8:$CE$57, MATCH($C56, $C$8:$C$57, 0), (COLUMNS($DU56:DV56)-1)*5 + 4) = "SF"), INDEX($CZ$8:$CZ$23, COLUMNS($DU56:DV56)), "0"), "")</f>
        <v>0</v>
      </c>
      <c r="DW56" s="390" t="str">
        <f t="array" ref="DW56">IFERROR(IF(AND(INDEX($E$8:$CE$57, MATCH($C56, $C$8:$C$57, 0), (COLUMNS($DU56:DW56)-1)*5 + 1) = INDEX($E$5:$CE$5, 1, (COLUMNS($DU56:DW56)-1)*5 + 1), INDEX($E$8:$CE$57, MATCH($C56, $C$8:$C$57, 0), (COLUMNS($DU56:DW56)-1)*5 + 4) = "SF"), INDEX($CZ$8:$CZ$23, COLUMNS($DU56:DW56)), "0"), "")</f>
        <v>0</v>
      </c>
      <c r="DX56" s="390" t="str">
        <f t="array" ref="DX56">IFERROR(IF(AND(INDEX($E$8:$CE$57, MATCH($C56, $C$8:$C$57, 0), (COLUMNS($DU56:DX56)-1)*5 + 1) = INDEX($E$5:$CE$5, 1, (COLUMNS($DU56:DX56)-1)*5 + 1), INDEX($E$8:$CE$57, MATCH($C56, $C$8:$C$57, 0), (COLUMNS($DU56:DX56)-1)*5 + 4) = "SF"), INDEX($CZ$8:$CZ$23, COLUMNS($DU56:DX56)), "0"), "")</f>
        <v>0</v>
      </c>
      <c r="DY56" s="390" t="str">
        <f t="array" ref="DY56">IFERROR(IF(AND(INDEX($E$8:$CE$57, MATCH($C56, $C$8:$C$57, 0), (COLUMNS($DU56:DY56)-1)*5 + 1) = INDEX($E$5:$CE$5, 1, (COLUMNS($DU56:DY56)-1)*5 + 1), INDEX($E$8:$CE$57, MATCH($C56, $C$8:$C$57, 0), (COLUMNS($DU56:DY56)-1)*5 + 4) = "SF"), INDEX($CZ$8:$CZ$23, COLUMNS($DU56:DY56)), "0"), "")</f>
        <v>0</v>
      </c>
      <c r="DZ56" s="390" t="str">
        <f t="array" ref="DZ56">IFERROR(IF(AND(INDEX($E$8:$CE$57, MATCH($C56, $C$8:$C$57, 0), (COLUMNS($DU56:DZ56)-1)*5 + 1) = INDEX($E$5:$CE$5, 1, (COLUMNS($DU56:DZ56)-1)*5 + 1), INDEX($E$8:$CE$57, MATCH($C56, $C$8:$C$57, 0), (COLUMNS($DU56:DZ56)-1)*5 + 4) = "SF"), INDEX($CZ$8:$CZ$23, COLUMNS($DU56:DZ56)), "0"), "")</f>
        <v>0</v>
      </c>
      <c r="EA56" s="390" t="str">
        <f t="array" ref="EA56">IFERROR(IF(AND(INDEX($E$8:$CE$57, MATCH($C56, $C$8:$C$57, 0), (COLUMNS($DU56:EA56)-1)*5 + 1) = INDEX($E$5:$CE$5, 1, (COLUMNS($DU56:EA56)-1)*5 + 1), INDEX($E$8:$CE$57, MATCH($C56, $C$8:$C$57, 0), (COLUMNS($DU56:EA56)-1)*5 + 4) = "SF"), INDEX($CZ$8:$CZ$23, COLUMNS($DU56:EA56)), "0"), "")</f>
        <v>0</v>
      </c>
      <c r="EB56" s="390" t="str">
        <f t="array" ref="EB56">IFERROR(IF(AND(INDEX($E$8:$CE$57, MATCH($C56, $C$8:$C$57, 0), (COLUMNS($DU56:EB56)-1)*5 + 1) = INDEX($E$5:$CE$5, 1, (COLUMNS($DU56:EB56)-1)*5 + 1), INDEX($E$8:$CE$57, MATCH($C56, $C$8:$C$57, 0), (COLUMNS($DU56:EB56)-1)*5 + 4) = "SF"), INDEX($CZ$8:$CZ$23, COLUMNS($DU56:EB56)), "0"), "")</f>
        <v>0</v>
      </c>
      <c r="EC56" s="390" t="str">
        <f t="array" ref="EC56">IFERROR(IF(AND(INDEX($E$8:$CE$57, MATCH($C56, $C$8:$C$57, 0), (COLUMNS($DU56:EC56)-1)*5 + 1) = INDEX($E$5:$CE$5, 1, (COLUMNS($DU56:EC56)-1)*5 + 1), INDEX($E$8:$CE$57, MATCH($C56, $C$8:$C$57, 0), (COLUMNS($DU56:EC56)-1)*5 + 4) = "SF"), INDEX($CZ$8:$CZ$23, COLUMNS($DU56:EC56)), "0"), "")</f>
        <v>0</v>
      </c>
      <c r="ED56" s="390" t="str">
        <f t="array" ref="ED56">IFERROR(IF(AND(INDEX($E$8:$CE$57, MATCH($C56, $C$8:$C$57, 0), (COLUMNS($DU56:ED56)-1)*5 + 1) = INDEX($E$5:$CE$5, 1, (COLUMNS($DU56:ED56)-1)*5 + 1), INDEX($E$8:$CE$57, MATCH($C56, $C$8:$C$57, 0), (COLUMNS($DU56:ED56)-1)*5 + 4) = "SF"), INDEX($CZ$8:$CZ$23, COLUMNS($DU56:ED56)), "0"), "")</f>
        <v>0</v>
      </c>
      <c r="EE56" s="390" t="str">
        <f t="array" ref="EE56">IFERROR(IF(AND(INDEX($E$8:$CE$57, MATCH($C56, $C$8:$C$57, 0), (COLUMNS($DU56:EE56)-1)*5 + 1) = INDEX($E$5:$CE$5, 1, (COLUMNS($DU56:EE56)-1)*5 + 1), INDEX($E$8:$CE$57, MATCH($C56, $C$8:$C$57, 0), (COLUMNS($DU56:EE56)-1)*5 + 4) = "SF"), INDEX($CZ$8:$CZ$23, COLUMNS($DU56:EE56)), "0"), "")</f>
        <v>0</v>
      </c>
      <c r="EF56" s="390" t="str">
        <f t="array" ref="EF56">IFERROR(IF(AND(INDEX($E$8:$CE$57, MATCH($C56, $C$8:$C$57, 0), (COLUMNS($DU56:EF56)-1)*5 + 1) = INDEX($E$5:$CE$5, 1, (COLUMNS($DU56:EF56)-1)*5 + 1), INDEX($E$8:$CE$57, MATCH($C56, $C$8:$C$57, 0), (COLUMNS($DU56:EF56)-1)*5 + 4) = "SF"), INDEX($CZ$8:$CZ$23, COLUMNS($DU56:EF56)), "0"), "")</f>
        <v>0</v>
      </c>
      <c r="EG56" s="390" t="str">
        <f t="array" ref="EG56">IFERROR(IF(AND(INDEX($E$8:$CE$57, MATCH($C56, $C$8:$C$57, 0), (COLUMNS($DU56:EG56)-1)*5 + 1) = INDEX($E$5:$CE$5, 1, (COLUMNS($DU56:EG56)-1)*5 + 1), INDEX($E$8:$CE$57, MATCH($C56, $C$8:$C$57, 0), (COLUMNS($DU56:EG56)-1)*5 + 4) = "SF"), INDEX($CZ$8:$CZ$23, COLUMNS($DU56:EG56)), "0"), "")</f>
        <v>0</v>
      </c>
      <c r="EH56" s="390" t="str">
        <f t="array" ref="EH56">IFERROR(IF(AND(INDEX($E$8:$CE$57, MATCH($C56, $C$8:$C$57, 0), (COLUMNS($DU56:EH56)-1)*5 + 1) = INDEX($E$5:$CE$5, 1, (COLUMNS($DU56:EH56)-1)*5 + 1), INDEX($E$8:$CE$57, MATCH($C56, $C$8:$C$57, 0), (COLUMNS($DU56:EH56)-1)*5 + 4) = "SF"), INDEX($CZ$8:$CZ$23, COLUMNS($DU56:EH56)), "0"), "")</f>
        <v>0</v>
      </c>
      <c r="EI56" s="390" t="str">
        <f t="array" ref="EI56">IFERROR(IF(AND(INDEX($E$8:$CE$57, MATCH($C56, $C$8:$C$57, 0), (COLUMNS($DU56:EI56)-1)*5 + 1) = INDEX($E$5:$CE$5, 1, (COLUMNS($DU56:EI56)-1)*5 + 1), INDEX($E$8:$CE$57, MATCH($C56, $C$8:$C$57, 0), (COLUMNS($DU56:EI56)-1)*5 + 4) = "SF"), INDEX($CZ$8:$CZ$23, COLUMNS($DU56:EI56)), "0"), "")</f>
        <v>0</v>
      </c>
      <c r="EJ56" s="390" t="str">
        <f t="array" ref="EJ56">IFERROR(IF(AND(INDEX($E$8:$CE$57, MATCH($C56, $C$8:$C$57, 0), (COLUMNS($DU56:EJ56)-1)*5 + 1) = INDEX($E$5:$CE$5, 1, (COLUMNS($DU56:EJ56)-1)*5 + 1), INDEX($E$8:$CE$57, MATCH($C56, $C$8:$C$57, 0), (COLUMNS($DU56:EJ56)-1)*5 + 4) = "SF"), INDEX($CZ$8:$CZ$23, COLUMNS($DU56:EJ56)), "0"), "")</f>
        <v>0</v>
      </c>
    </row>
    <row r="57" spans="1:140" ht="20.100000000000001" customHeight="1" x14ac:dyDescent="0.35">
      <c r="A57" s="515"/>
      <c r="B57" s="444">
        <f>IF(SEMANA29[[#This Row],[COD]]&lt;&gt;"",B56+1,"")</f>
        <v>50</v>
      </c>
      <c r="C57" s="554" t="s">
        <v>122</v>
      </c>
      <c r="D57" s="410" t="str">
        <f t="array" ref="D57">IF(SEMANA29[[#This Row],[COD]]="","",_xlfn.IFS(_xlfn.XLOOKUP(SEMANA29[[#This Row],[COD]],CODIGOS_Y_PAGOS[CODIGO],CODIGOS_Y_PAGOS[20/09/2026],"")="X","PREMIO",_xlfn.XLOOKUP(SEMANA29[[#This Row],[COD]],CODIGOS_Y_PAGOS[CODIGO],CODIGOS_Y_PAGOS[20/09/2026],"")="","NO ENVIÓ",_xlfn.XLOOKUP(SEMANA29[[#This Row],[COD]],CODIGOS_Y_PAGOS[CODIGO],CODIGOS_Y_PAGOS[20/09/2026],"")=0,"MEETING",_xlfn.XLOOKUP(SEMANA29[[#This Row],[COD]],CODIGOS_Y_PAGOS[CODIGO],CODIGOS_Y_PAGOS[20/09/2026],"")="O","PREMIO",_xlfn.XLOOKUP(SEMANA29[[#This Row],[COD]],CODIGOS_Y_PAGOS[CODIGO],CODIGOS_Y_PAGOS[20/09/2026],"")="-","PAGO PENDIENTE"))</f>
        <v>NO ENVIÓ</v>
      </c>
      <c r="E57" s="411"/>
      <c r="F57" s="413"/>
      <c r="G57" s="413"/>
      <c r="H57" s="413"/>
      <c r="I57" s="534">
        <f t="shared" si="18"/>
        <v>0</v>
      </c>
      <c r="J57" s="411"/>
      <c r="K57" s="413"/>
      <c r="L57" s="413"/>
      <c r="M57" s="413"/>
      <c r="N57" s="534">
        <f t="shared" si="19"/>
        <v>0</v>
      </c>
      <c r="O57" s="411"/>
      <c r="P57" s="413"/>
      <c r="Q57" s="413"/>
      <c r="R57" s="413"/>
      <c r="S57" s="534">
        <f t="shared" si="20"/>
        <v>0</v>
      </c>
      <c r="T57" s="411"/>
      <c r="U57" s="413"/>
      <c r="V57" s="413"/>
      <c r="W57" s="413"/>
      <c r="X57" s="534">
        <f t="shared" si="21"/>
        <v>0</v>
      </c>
      <c r="Y57" s="411"/>
      <c r="Z57" s="413"/>
      <c r="AA57" s="413"/>
      <c r="AB57" s="413"/>
      <c r="AC57" s="534">
        <f t="shared" si="22"/>
        <v>0</v>
      </c>
      <c r="AD57" s="411"/>
      <c r="AE57" s="413"/>
      <c r="AF57" s="413"/>
      <c r="AG57" s="413"/>
      <c r="AH57" s="534">
        <f t="shared" si="23"/>
        <v>0</v>
      </c>
      <c r="AI57" s="411"/>
      <c r="AJ57" s="413"/>
      <c r="AK57" s="413"/>
      <c r="AL57" s="413"/>
      <c r="AM57" s="534">
        <f t="shared" si="24"/>
        <v>0</v>
      </c>
      <c r="AN57" s="411"/>
      <c r="AO57" s="413"/>
      <c r="AP57" s="413"/>
      <c r="AQ57" s="413"/>
      <c r="AR57" s="534">
        <f t="shared" si="25"/>
        <v>0</v>
      </c>
      <c r="AS57" s="411"/>
      <c r="AT57" s="413"/>
      <c r="AU57" s="413"/>
      <c r="AV57" s="413"/>
      <c r="AW57" s="534">
        <f t="shared" si="26"/>
        <v>0</v>
      </c>
      <c r="AX57" s="411"/>
      <c r="AY57" s="413"/>
      <c r="AZ57" s="413"/>
      <c r="BA57" s="413"/>
      <c r="BB57" s="534">
        <f t="shared" si="27"/>
        <v>0</v>
      </c>
      <c r="BC57" s="411"/>
      <c r="BD57" s="413"/>
      <c r="BE57" s="413"/>
      <c r="BF57" s="413"/>
      <c r="BG57" s="534">
        <f t="shared" si="28"/>
        <v>0</v>
      </c>
      <c r="BH57" s="411"/>
      <c r="BI57" s="413"/>
      <c r="BJ57" s="413"/>
      <c r="BK57" s="413"/>
      <c r="BL57" s="534">
        <f t="shared" si="29"/>
        <v>0</v>
      </c>
      <c r="BM57" s="411"/>
      <c r="BN57" s="413"/>
      <c r="BO57" s="413"/>
      <c r="BP57" s="413"/>
      <c r="BQ57" s="534">
        <f t="shared" si="30"/>
        <v>0</v>
      </c>
      <c r="BR57" s="411"/>
      <c r="BS57" s="413"/>
      <c r="BT57" s="413"/>
      <c r="BU57" s="413"/>
      <c r="BV57" s="534">
        <f t="shared" si="31"/>
        <v>0</v>
      </c>
      <c r="BW57" s="411"/>
      <c r="BX57" s="413"/>
      <c r="BY57" s="413"/>
      <c r="BZ57" s="413"/>
      <c r="CA57" s="534">
        <f t="shared" si="32"/>
        <v>0</v>
      </c>
      <c r="CB57" s="411"/>
      <c r="CC57" s="413"/>
      <c r="CD57" s="413"/>
      <c r="CE57" s="413"/>
      <c r="CF57" s="534">
        <f t="shared" si="33"/>
        <v>0</v>
      </c>
      <c r="CG57" s="162">
        <f>IF(SEMANA29[[#This Row],[1]]="",0,$B$4)</f>
        <v>0</v>
      </c>
      <c r="CH57" s="163">
        <f>COUNTIF(SEMANA29[[#This Row],[1]],$E$5)+COUNTIF(SEMANA29[[#This Row],[12]],$J$5)+COUNTIF(SEMANA29[[#This Row],[Columna4]],$O$5)+COUNTIF(SEMANA29[[#This Row],[Columna7]],$T$5)+COUNTIF(SEMANA29[[#This Row],[Columna10]],$Y$5)+COUNTIF(SEMANA29[[#This Row],[1RA]],$AD$5)+COUNTIF(SEMANA29[[#This Row],[Columna16]],$AI$5)+COUNTIF(SEMANA29[[#This Row],[123]],$AN$5)+COUNTIF(SEMANA29[[#This Row],[AAAA]],$AS$5)+COUNTIF(SEMANA29[[#This Row],[Columna25]],$AX$5)+COUNTIF(SEMANA29[[#This Row],[Columna272]],$BC$5)+COUNTIF(SEMANA29[[#This Row],[Columna276]],$BH$5)+COUNTIF(SEMANA29[[#This Row],[Columna280]],$BM$5)+COUNTIF(SEMANA29[[#This Row],[Columna2802]],$BR$5)+COUNTIF(SEMANA29[[#This Row],[Columna2803]],$BW$5)+COUNTIF(SEMANA29[[#This Row],[Columna2804]],$CB$5)</f>
        <v>0</v>
      </c>
      <c r="CI57" s="185">
        <f>IF(SEMANA29[[#This Row],[Columna14]]=0,0,(CH57/CG57))</f>
        <v>0</v>
      </c>
      <c r="CJ57" s="163">
        <f>IF(SEMANA29[[#This Row],[1]]="",0,$B$4)</f>
        <v>0</v>
      </c>
      <c r="CK57" s="186">
        <f>COUNTIF(SEMANA29[[#This Row],[1]]:SEMANA29[[#This Row],[2]],$E$5)+COUNTIF(SEMANA29[[#This Row],[12]]:SEMANA29[[#This Row],[Columna2]],$J$5)+COUNTIF(SEMANA29[[#This Row],[Columna4]]:SEMANA29[[#This Row],[Columna5]],$O$5)+COUNTIF(SEMANA29[[#This Row],[Columna7]]:SEMANA29[[#This Row],[Columna8]],$T$5)+COUNTIF(SEMANA29[[#This Row],[Columna10]]:SEMANA29[[#This Row],[Columna11]],$Y$5)+COUNTIF(SEMANA29[[#This Row],[1RA]]:SEMANA29[[#This Row],[2DA]],$AD$5)+COUNTIF(SEMANA29[[#This Row],[Columna16]:[Columna17]],$AI$5)+COUNTIF(SEMANA29[[#This Row],[123]:[555]],$AN$5)+COUNTIF(SEMANA29[[#This Row],[AAAA]]:SEMANA29[[#This Row],[BBBB]],$AS$5)+COUNTIF(SEMANA29[[#This Row],[Columna25]]:SEMANA29[[#This Row],[Columna26]],$AX$5)+COUNTIF(SEMANA29[[#This Row],[Columna272]]:SEMANA29[[#This Row],[Columna273]],$BC$5)+COUNTIF(SEMANA29[[#This Row],[Columna276]]:SEMANA29[[#This Row],[Columna277]],$BH$5)+COUNTIF(SEMANA29[[#This Row],[Columna280]]:SEMANA29[[#This Row],[Columna281]],$BM$5)+COUNTIF(SEMANA29[[#This Row],[Columna2802]]:SEMANA29[[#This Row],[Columna2813]],$BR$5)+COUNTIF(SEMANA29[[#This Row],[Columna2803]:[Columna2814]],$BW$5)+COUNTIF(SEMANA29[[#This Row],[Columna2804]:[Columna2815]],$CB$5)</f>
        <v>0</v>
      </c>
      <c r="CL57" s="185">
        <f>IF(SEMANA29[[#This Row],[Columna14]]=0,0,(CK57/CJ57))</f>
        <v>0</v>
      </c>
      <c r="CM57" s="162">
        <f>IF(SEMANA29[[#This Row],[1]]="",0,$B$4)</f>
        <v>0</v>
      </c>
      <c r="CN57" s="186">
        <f>COUNTIF(SEMANA29[[#This Row],[1]:[22]],$E$5)+COUNTIF(SEMANA29[[#This Row],[12]:[Columna23]],$J$5)+COUNTIF(SEMANA29[[#This Row],[Columna4]:[Columna53]],$O$5)+COUNTIF(SEMANA29[[#This Row],[Columna7]:[Columna83]],$T$5)+COUNTIF(SEMANA29[[#This Row],[Columna10]:[Columna113]],$Y$5)+COUNTIF(SEMANA29[[#This Row],[1RA]:[2DA2]],$AD$5)+COUNTIF(SEMANA29[[#This Row],[Columna16]:[Columna173]],$AI$5)+COUNTIF(SEMANA29[[#This Row],[123]:[556]],$AN$5)+COUNTIF(SEMANA29[[#This Row],[AAAA]:[Columna13]],$AS$5)+COUNTIF(SEMANA29[[#This Row],[Columna25]:[Columna263]],$AX$5)+COUNTIF(SEMANA29[[#This Row],[Columna272]:[Columna2732]],$BC$5)+COUNTIF(SEMANA29[[#This Row],[Columna276]:[Columna2772]],$BH$5)+COUNTIF(SEMANA29[[#This Row],[Columna280]:[Columna2812]],$BM$5)+COUNTIF(SEMANA29[[#This Row],[Columna2802]:[Columna28124]],$BR$5)+COUNTIF(SEMANA29[[#This Row],[Columna2803]:[Columna28125]],$BW$5)+COUNTIF(SEMANA29[[#This Row],[Columna2804]:[Columna28126]],$CB$5)</f>
        <v>0</v>
      </c>
      <c r="CO57" s="185">
        <f>IF(SEMANA29[[#This Row],[Columna14]]=0,0,(CN57/CM57))</f>
        <v>0</v>
      </c>
      <c r="CP57" s="163">
        <f>SUM(
  (AND(OR(SEMANA29[[#This Row],[3]]="F", SEMANA29[[#This Row],[3]]="SF"), F$6&lt;&gt;"")),
  (AND(OR(SEMANA29[[#This Row],[Columna28]]="F", SEMANA29[[#This Row],[Columna28]]="SF"), K$6&lt;&gt;"")),
  (AND(OR(SEMANA29[[#This Row],[Columna52]]="F", SEMANA29[[#This Row],[Columna52]]="SF"), P$6&lt;&gt;"")),
  (AND(OR(SEMANA29[[#This Row],[Columna82]]="F", SEMANA29[[#This Row],[Columna82]]="SF"), U$6&lt;&gt;"")),
  (AND(OR(SEMANA29[[#This Row],[Columna112]]="F", SEMANA29[[#This Row],[Columna112]]="SF"), Z$6&lt;&gt;"")),
  (AND(OR(SEMANA29[[#This Row],[3RA]]="F", SEMANA29[[#This Row],[3RA]]="SF"), AE$6&lt;&gt;"")),
  (AND(OR(SEMANA29[[#This Row],[Columna172]]="F",SEMANA29[[#This Row],[Columna172]]="SF"), AJ$6&lt;&gt;"")),
  (AND(OR(SEMANA29[[#This Row],[111]]="F", SEMANA29[[#This Row],[111]]="SF"), AO$6&lt;&gt;"")),
  (AND(OR(SEMANA29[[#This Row],[CCCC]]="F", SEMANA29[[#This Row],[CCCC]]="SF"), AT$6&lt;&gt;"")),
  (AND(OR(SEMANA29[[#This Row],[Columna262]]="F",SEMANA29[[#This Row],[Columna262]]="SF"), AY$6&lt;&gt;"")),
  (AND(OR(SEMANA29[[#This Row],[Columna274]]="F", SEMANA29[[#This Row],[Columna274]]="SF"), BD$6&lt;&gt;"")), (AND(OR(SEMANA29[[#This Row],[Columna278]]="F", SEMANA29[[#This Row],[Columna278]]="SF"), BI$6&lt;&gt;"")),
  (AND(OR(SEMANA29[[#This Row],[Columna282]]="F", SEMANA29[[#This Row],[Columna282]]="SF"), BN$6&lt;&gt;"")),
  (AND(OR(SEMANA29[[#This Row],[Columna2825]]="F", SEMANA29[[#This Row],[Columna2825]]="SF"), BS$6&lt;&gt;"")),
  (AND(OR(SEMANA29[[#This Row],[Columna2826]]="F", SEMANA29[[#This Row],[Columna2826]]="SF"), BX$6&lt;&gt;"")),
  (AND(OR(SEMANA29[[#This Row],[Columna2827]]="F", SEMANA29[[#This Row],[Columna2827]]="SF"), CC$6&lt;&gt;""))
)</f>
        <v>0</v>
      </c>
      <c r="CQ57" s="186">
        <f>COUNTIFS(SEMANA29[[#This Row],[1]],$E$5,SEMANA29[[#This Row],[3]],"F")+COUNTIFS(SEMANA29[[#This Row],[12]],$J$5,SEMANA29[[#This Row],[Columna28]],"F")+COUNTIFS(SEMANA29[[#This Row],[Columna4]],$O$5,SEMANA29[[#This Row],[Columna52]],"F")+COUNTIFS(SEMANA29[[#This Row],[Columna7]],$T$5,SEMANA29[[#This Row],[Columna82]],"F")+COUNTIFS(SEMANA29[[#This Row],[Columna10]],$Y$5,SEMANA29[[#This Row],[Columna112]],"F")+COUNTIFS(SEMANA29[[#This Row],[1RA]],$AD$5,SEMANA29[[#This Row],[3RA]],"F")+COUNTIFS(SEMANA29[[#This Row],[Columna16]],$AI$5,SEMANA29[[#This Row],[Columna172]],"F")+COUNTIFS(SEMANA29[[#This Row],[123]],$AN$5,SEMANA29[[#This Row],[111]],"F")+COUNTIFS(SEMANA29[[#This Row],[AAAA]],$AS$5,SEMANA29[[#This Row],[CCCC]],"F")+COUNTIFS(SEMANA29[[#This Row],[Columna25]],$AX$5,SEMANA29[[#This Row],[Columna262]],"F")+COUNTIFS(SEMANA29[[#This Row],[Columna272]],$BC$5,SEMANA29[[#This Row],[Columna274]],"F")+COUNTIFS(SEMANA29[[#This Row],[Columna276]],$BH$5,SEMANA29[[#This Row],[Columna278]],"F")+COUNTIFS(SEMANA29[[#This Row],[Columna280]],$BM$5,SEMANA29[[#This Row],[Columna282]],"F")+COUNTIFS(SEMANA29[[#This Row],[1]],$E$5,SEMANA29[[#This Row],[3]],"SF")+COUNTIFS(SEMANA29[[#This Row],[12]],$J$5,SEMANA29[[#This Row],[Columna28]],"SF")+COUNTIFS(SEMANA29[[#This Row],[Columna4]],$O$5,SEMANA29[[#This Row],[Columna52]],"SF")+COUNTIFS(SEMANA29[[#This Row],[Columna7]],$T$5,SEMANA29[[#This Row],[Columna82]],"SF")+COUNTIFS(SEMANA29[[#This Row],[Columna10]],$Y$5,SEMANA29[[#This Row],[Columna112]],"SF")+COUNTIFS(SEMANA29[[#This Row],[1RA]],$AD$5,SEMANA29[[#This Row],[3RA]],"SF")+COUNTIFS(SEMANA29[[#This Row],[Columna16]],$AI$5,SEMANA29[[#This Row],[Columna172]],"SF")+COUNTIFS(SEMANA29[[#This Row],[123]],$AN$5,SEMANA29[[#This Row],[111]],"SF")+COUNTIFS(SEMANA29[[#This Row],[AAAA]],$AS$5,SEMANA29[[#This Row],[CCCC]],"SF")+COUNTIFS(SEMANA29[[#This Row],[Columna25]],$AX$5,BA57,"SF")+COUNTIFS(SEMANA29[[#This Row],[Columna272]],$BC$5,SEMANA29[[#This Row],[Columna274]],"SF")+COUNTIFS(SEMANA29[[#This Row],[Columna276]],$BH$5,SEMANA29[[#This Row],[Columna278]],"SF")+COUNTIFS(SEMANA29[[#This Row],[Columna280]],$BM$5,SEMANA29[[#This Row],[Columna282]],"SF")</f>
        <v>0</v>
      </c>
      <c r="CR57" s="185">
        <f>IFERROR(IF(SEMANA29[[#This Row],[Columna14]]=0,0,(CQ57/CP57)),0)</f>
        <v>0</v>
      </c>
      <c r="CS57" s="539">
        <f>SUM(SEMANA29[[#This Row],[PTS]],SEMANA29[[#This Row],[Columna3]],SEMANA29[[#This Row],[Columna6]],SEMANA29[[#This Row],[Columna9]],SEMANA29[[#This Row],[Columna12]],SEMANA29[[#This Row],[Columna15]],SEMANA29[[#This Row],[Columna18]],SEMANA29[[#This Row],[Columna21]],SEMANA29[[#This Row],[Columna24]],SEMANA29[[#This Row],[Columna27]],SEMANA29[[#This Row],[Columna275]],SEMANA29[[#This Row],[Columna279]],SEMANA29[[#This Row],[Columna283]],SEMANA29[[#This Row],[Columna28310]],SEMANA29[[#This Row],[Columna2837]],SEMANA29[[#This Row],[Columna2838]])</f>
        <v>0</v>
      </c>
      <c r="CT57" s="93">
        <f>_xlfn.XLOOKUP(SEMANA29[[#This Row],[COD]],SEMANA2[COD],SEMANA2[Columna33])</f>
        <v>0</v>
      </c>
      <c r="CU57" s="536">
        <f t="shared" si="34"/>
        <v>0</v>
      </c>
      <c r="CV57" s="445" t="str">
        <f>IF(SEMANA29[[#This Row],[TIPO]]="PREMIO",$O$3,"0,00")</f>
        <v>0,00</v>
      </c>
      <c r="CW57" s="515"/>
      <c r="CY57" s="387" t="str">
        <f t="shared" si="17"/>
        <v/>
      </c>
      <c r="CZ57" s="387"/>
      <c r="DA57" s="387" t="str">
        <f t="array" ref="DA57">IF(CZ57="", "", IF((INDEX(E$8:CE$57, MATCH(CZ57, C$8:C$57, 0), ($CZ$25-1)*5 + 1) &amp; "") = (INDEX(E$5:CE$5, 1, ($CZ$25-1)*5 + 1) &amp; ""), 1, IF((INDEX(E$8:CE$57, MATCH(CZ57, C$8:C$57, 0), ($CZ$25-1)*5 + 2) &amp; "") = (INDEX(E$5:CE$5, 1, ($CZ$25-1)*5 + 1) &amp; ""), 2, IF((INDEX(E$8:CE$57, MATCH(CZ57, C$8:C$57, 0), ($CZ$25-1)*5 + 3) &amp; "") = (INDEX(E$5:CE$5, 1, ($CZ$25-1)*5 + 1) &amp; ""), 3, ""))))</f>
        <v/>
      </c>
      <c r="DB57" s="537" t="str">
        <f>SEMANA29[[#This Row],[COD]]</f>
        <v>COD 50</v>
      </c>
      <c r="DC57" s="390" t="str">
        <f t="array" ref="DC57">IFERROR(IF(AND(INDEX($E$8:$CE$57, MATCH($C57, $C$8:$C$57, 0), (COLUMNS($DC57:DC57)-1)*5 + 1) = INDEX($E$5:$CE$5, 1, (COLUMNS($DC57:DC57)-1)*5 + 1), INDEX($E$8:$CE$57, MATCH($C57, $C$8:$C$57, 0), (COLUMNS($DC57:DC57)-1)*5 + 4) = "F"), INDEX($CZ$8:$CZ$23, COLUMNS($DC57:DC57)), "0"), "")</f>
        <v>0</v>
      </c>
      <c r="DD57" s="390" t="str">
        <f t="array" ref="DD57">IFERROR(IF(AND(INDEX($E$8:$CE$57, MATCH($C57, $C$8:$C$57, 0), (COLUMNS($DC57:DD57)-1)*5 + 1) = INDEX($E$5:$CE$5, 1, (COLUMNS($DC57:DD57)-1)*5 + 1), INDEX($E$8:$CE$57, MATCH($C57, $C$8:$C$57, 0), (COLUMNS($DC57:DD57)-1)*5 + 4) = "F"), INDEX($CZ$8:$CZ$23, COLUMNS($DC57:DD57)), "0"), "")</f>
        <v>0</v>
      </c>
      <c r="DE57" s="390" t="str">
        <f t="array" ref="DE57">IFERROR(IF(AND(INDEX($E$8:$CE$57, MATCH($C57, $C$8:$C$57, 0), (COLUMNS($DC57:DE57)-1)*5 + 1) = INDEX($E$5:$CE$5, 1, (COLUMNS($DC57:DE57)-1)*5 + 1), INDEX($E$8:$CE$57, MATCH($C57, $C$8:$C$57, 0), (COLUMNS($DC57:DE57)-1)*5 + 4) = "F"), INDEX($CZ$8:$CZ$23, COLUMNS($DC57:DE57)), "0"), "")</f>
        <v>0</v>
      </c>
      <c r="DF57" s="390" t="str">
        <f t="array" ref="DF57">IFERROR(IF(AND(INDEX($E$8:$CE$57, MATCH($C57, $C$8:$C$57, 0), (COLUMNS($DC57:DF57)-1)*5 + 1) = INDEX($E$5:$CE$5, 1, (COLUMNS($DC57:DF57)-1)*5 + 1), INDEX($E$8:$CE$57, MATCH($C57, $C$8:$C$57, 0), (COLUMNS($DC57:DF57)-1)*5 + 4) = "F"), INDEX($CZ$8:$CZ$23, COLUMNS($DC57:DF57)), "0"), "")</f>
        <v>0</v>
      </c>
      <c r="DG57" s="390" t="str">
        <f t="array" ref="DG57">IFERROR(IF(AND(INDEX($E$8:$CE$57, MATCH($C57, $C$8:$C$57, 0), (COLUMNS($DC57:DG57)-1)*5 + 1) = INDEX($E$5:$CE$5, 1, (COLUMNS($DC57:DG57)-1)*5 + 1), INDEX($E$8:$CE$57, MATCH($C57, $C$8:$C$57, 0), (COLUMNS($DC57:DG57)-1)*5 + 4) = "F"), INDEX($CZ$8:$CZ$23, COLUMNS($DC57:DG57)), "0"), "")</f>
        <v>0</v>
      </c>
      <c r="DH57" s="390" t="str">
        <f t="array" ref="DH57">IFERROR(IF(AND(INDEX($E$8:$CE$57, MATCH($C57, $C$8:$C$57, 0), (COLUMNS($DC57:DH57)-1)*5 + 1) = INDEX($E$5:$CE$5, 1, (COLUMNS($DC57:DH57)-1)*5 + 1), INDEX($E$8:$CE$57, MATCH($C57, $C$8:$C$57, 0), (COLUMNS($DC57:DH57)-1)*5 + 4) = "F"), INDEX($CZ$8:$CZ$23, COLUMNS($DC57:DH57)), "0"), "")</f>
        <v>0</v>
      </c>
      <c r="DI57" s="390" t="str">
        <f t="array" ref="DI57">IFERROR(IF(AND(INDEX($E$8:$CE$57, MATCH($C57, $C$8:$C$57, 0), (COLUMNS($DC57:DI57)-1)*5 + 1) = INDEX($E$5:$CE$5, 1, (COLUMNS($DC57:DI57)-1)*5 + 1), INDEX($E$8:$CE$57, MATCH($C57, $C$8:$C$57, 0), (COLUMNS($DC57:DI57)-1)*5 + 4) = "F"), INDEX($CZ$8:$CZ$23, COLUMNS($DC57:DI57)), "0"), "")</f>
        <v>0</v>
      </c>
      <c r="DJ57" s="390" t="str">
        <f t="array" ref="DJ57">IFERROR(IF(AND(INDEX($E$8:$CE$57, MATCH($C57, $C$8:$C$57, 0), (COLUMNS($DC57:DJ57)-1)*5 + 1) = INDEX($E$5:$CE$5, 1, (COLUMNS($DC57:DJ57)-1)*5 + 1), INDEX($E$8:$CE$57, MATCH($C57, $C$8:$C$57, 0), (COLUMNS($DC57:DJ57)-1)*5 + 4) = "F"), INDEX($CZ$8:$CZ$23, COLUMNS($DC57:DJ57)), "0"), "")</f>
        <v>0</v>
      </c>
      <c r="DK57" s="390" t="str">
        <f t="array" ref="DK57">IFERROR(IF(AND(INDEX($E$8:$CE$57, MATCH($C57, $C$8:$C$57, 0), (COLUMNS($DC57:DK57)-1)*5 + 1) = INDEX($E$5:$CE$5, 1, (COLUMNS($DC57:DK57)-1)*5 + 1), INDEX($E$8:$CE$57, MATCH($C57, $C$8:$C$57, 0), (COLUMNS($DC57:DK57)-1)*5 + 4) = "F"), INDEX($CZ$8:$CZ$23, COLUMNS($DC57:DK57)), "0"), "")</f>
        <v>0</v>
      </c>
      <c r="DL57" s="390" t="str">
        <f t="array" ref="DL57">IFERROR(IF(AND(INDEX($E$8:$CE$57, MATCH($C57, $C$8:$C$57, 0), (COLUMNS($DC57:DL57)-1)*5 + 1) = INDEX($E$5:$CE$5, 1, (COLUMNS($DC57:DL57)-1)*5 + 1), INDEX($E$8:$CE$57, MATCH($C57, $C$8:$C$57, 0), (COLUMNS($DC57:DL57)-1)*5 + 4) = "F"), INDEX($CZ$8:$CZ$23, COLUMNS($DC57:DL57)), "0"), "")</f>
        <v>0</v>
      </c>
      <c r="DM57" s="390" t="str">
        <f t="array" ref="DM57">IFERROR(IF(AND(INDEX($E$8:$CE$57, MATCH($C57, $C$8:$C$57, 0), (COLUMNS($DC57:DM57)-1)*5 + 1) = INDEX($E$5:$CE$5, 1, (COLUMNS($DC57:DM57)-1)*5 + 1), INDEX($E$8:$CE$57, MATCH($C57, $C$8:$C$57, 0), (COLUMNS($DC57:DM57)-1)*5 + 4) = "F"), INDEX($CZ$8:$CZ$23, COLUMNS($DC57:DM57)), "0"), "")</f>
        <v>0</v>
      </c>
      <c r="DN57" s="390" t="str">
        <f t="array" ref="DN57">IFERROR(IF(AND(INDEX($E$8:$CE$57, MATCH($C57, $C$8:$C$57, 0), (COLUMNS($DC57:DN57)-1)*5 + 1) = INDEX($E$5:$CE$5, 1, (COLUMNS($DC57:DN57)-1)*5 + 1), INDEX($E$8:$CE$57, MATCH($C57, $C$8:$C$57, 0), (COLUMNS($DC57:DN57)-1)*5 + 4) = "F"), INDEX($CZ$8:$CZ$23, COLUMNS($DC57:DN57)), "0"), "")</f>
        <v>0</v>
      </c>
      <c r="DO57" s="390" t="str">
        <f t="array" ref="DO57">IFERROR(IF(AND(INDEX($E$8:$CE$57, MATCH($C57, $C$8:$C$57, 0), (COLUMNS($DC57:DO57)-1)*5 + 1) = INDEX($E$5:$CE$5, 1, (COLUMNS($DC57:DO57)-1)*5 + 1), INDEX($E$8:$CE$57, MATCH($C57, $C$8:$C$57, 0), (COLUMNS($DC57:DO57)-1)*5 + 4) = "F"), INDEX($CZ$8:$CZ$23, COLUMNS($DC57:DO57)), "0"), "")</f>
        <v>0</v>
      </c>
      <c r="DP57" s="390" t="str">
        <f t="array" ref="DP57">IFERROR(IF(AND(INDEX($E$8:$CE$57, MATCH($C57, $C$8:$C$57, 0), (COLUMNS($DC57:DP57)-1)*5 + 1) = INDEX($E$5:$CE$5, 1, (COLUMNS($DC57:DP57)-1)*5 + 1), INDEX($E$8:$CE$57, MATCH($C57, $C$8:$C$57, 0), (COLUMNS($DC57:DP57)-1)*5 + 4) = "F"), INDEX($CZ$8:$CZ$23, COLUMNS($DC57:DP57)), "0"), "")</f>
        <v>0</v>
      </c>
      <c r="DQ57" s="390" t="str">
        <f t="array" ref="DQ57">IFERROR(IF(AND(INDEX($E$8:$CE$57, MATCH($C57, $C$8:$C$57, 0), (COLUMNS($DC57:DQ57)-1)*5 + 1) = INDEX($E$5:$CE$5, 1, (COLUMNS($DC57:DQ57)-1)*5 + 1), INDEX($E$8:$CE$57, MATCH($C57, $C$8:$C$57, 0), (COLUMNS($DC57:DQ57)-1)*5 + 4) = "F"), INDEX($CZ$8:$CZ$23, COLUMNS($DC57:DQ57)), "0"), "")</f>
        <v>0</v>
      </c>
      <c r="DR57" s="390" t="str">
        <f t="array" ref="DR57">IFERROR(IF(AND(INDEX($E$8:$CE$57, MATCH($C57, $C$8:$C$57, 0), (COLUMNS($DC57:DR57)-1)*5 + 1) = INDEX($E$5:$CE$5, 1, (COLUMNS($DC57:DR57)-1)*5 + 1), INDEX($E$8:$CE$57, MATCH($C57, $C$8:$C$57, 0), (COLUMNS($DC57:DR57)-1)*5 + 4) = "F"), INDEX($CZ$8:$CZ$23, COLUMNS($DC57:DR57)), "0"), "")</f>
        <v>0</v>
      </c>
      <c r="DT57" s="537" t="str">
        <f>SEMANA29[[#This Row],[COD]]</f>
        <v>COD 50</v>
      </c>
      <c r="DU57" s="390" t="str">
        <f t="array" ref="DU57">IFERROR(IF(AND(INDEX($E$8:$CE$57, MATCH($C57, $C$8:$C$57, 0), (COLUMNS($DU57:DU57)-1)*5 + 1) = INDEX($E$5:$CE$5, 1, (COLUMNS($DU57:DU57)-1)*5 + 1), INDEX($E$8:$CE$57, MATCH($C57, $C$8:$C$57, 0), (COLUMNS($DU57:DU57)-1)*5 + 4) = "SF"), INDEX($CZ$8:$CZ$23, COLUMNS($DU57:DU57)), "0"), "")</f>
        <v>0</v>
      </c>
      <c r="DV57" s="390" t="str">
        <f t="array" ref="DV57">IFERROR(IF(AND(INDEX($E$8:$CE$57, MATCH($C57, $C$8:$C$57, 0), (COLUMNS($DU57:DV57)-1)*5 + 1) = INDEX($E$5:$CE$5, 1, (COLUMNS($DU57:DV57)-1)*5 + 1), INDEX($E$8:$CE$57, MATCH($C57, $C$8:$C$57, 0), (COLUMNS($DU57:DV57)-1)*5 + 4) = "SF"), INDEX($CZ$8:$CZ$23, COLUMNS($DU57:DV57)), "0"), "")</f>
        <v>0</v>
      </c>
      <c r="DW57" s="390" t="str">
        <f t="array" ref="DW57">IFERROR(IF(AND(INDEX($E$8:$CE$57, MATCH($C57, $C$8:$C$57, 0), (COLUMNS($DU57:DW57)-1)*5 + 1) = INDEX($E$5:$CE$5, 1, (COLUMNS($DU57:DW57)-1)*5 + 1), INDEX($E$8:$CE$57, MATCH($C57, $C$8:$C$57, 0), (COLUMNS($DU57:DW57)-1)*5 + 4) = "SF"), INDEX($CZ$8:$CZ$23, COLUMNS($DU57:DW57)), "0"), "")</f>
        <v>0</v>
      </c>
      <c r="DX57" s="390" t="str">
        <f t="array" ref="DX57">IFERROR(IF(AND(INDEX($E$8:$CE$57, MATCH($C57, $C$8:$C$57, 0), (COLUMNS($DU57:DX57)-1)*5 + 1) = INDEX($E$5:$CE$5, 1, (COLUMNS($DU57:DX57)-1)*5 + 1), INDEX($E$8:$CE$57, MATCH($C57, $C$8:$C$57, 0), (COLUMNS($DU57:DX57)-1)*5 + 4) = "SF"), INDEX($CZ$8:$CZ$23, COLUMNS($DU57:DX57)), "0"), "")</f>
        <v>0</v>
      </c>
      <c r="DY57" s="390" t="str">
        <f t="array" ref="DY57">IFERROR(IF(AND(INDEX($E$8:$CE$57, MATCH($C57, $C$8:$C$57, 0), (COLUMNS($DU57:DY57)-1)*5 + 1) = INDEX($E$5:$CE$5, 1, (COLUMNS($DU57:DY57)-1)*5 + 1), INDEX($E$8:$CE$57, MATCH($C57, $C$8:$C$57, 0), (COLUMNS($DU57:DY57)-1)*5 + 4) = "SF"), INDEX($CZ$8:$CZ$23, COLUMNS($DU57:DY57)), "0"), "")</f>
        <v>0</v>
      </c>
      <c r="DZ57" s="390" t="str">
        <f t="array" ref="DZ57">IFERROR(IF(AND(INDEX($E$8:$CE$57, MATCH($C57, $C$8:$C$57, 0), (COLUMNS($DU57:DZ57)-1)*5 + 1) = INDEX($E$5:$CE$5, 1, (COLUMNS($DU57:DZ57)-1)*5 + 1), INDEX($E$8:$CE$57, MATCH($C57, $C$8:$C$57, 0), (COLUMNS($DU57:DZ57)-1)*5 + 4) = "SF"), INDEX($CZ$8:$CZ$23, COLUMNS($DU57:DZ57)), "0"), "")</f>
        <v>0</v>
      </c>
      <c r="EA57" s="390" t="str">
        <f t="array" ref="EA57">IFERROR(IF(AND(INDEX($E$8:$CE$57, MATCH($C57, $C$8:$C$57, 0), (COLUMNS($DU57:EA57)-1)*5 + 1) = INDEX($E$5:$CE$5, 1, (COLUMNS($DU57:EA57)-1)*5 + 1), INDEX($E$8:$CE$57, MATCH($C57, $C$8:$C$57, 0), (COLUMNS($DU57:EA57)-1)*5 + 4) = "SF"), INDEX($CZ$8:$CZ$23, COLUMNS($DU57:EA57)), "0"), "")</f>
        <v>0</v>
      </c>
      <c r="EB57" s="390" t="str">
        <f t="array" ref="EB57">IFERROR(IF(AND(INDEX($E$8:$CE$57, MATCH($C57, $C$8:$C$57, 0), (COLUMNS($DU57:EB57)-1)*5 + 1) = INDEX($E$5:$CE$5, 1, (COLUMNS($DU57:EB57)-1)*5 + 1), INDEX($E$8:$CE$57, MATCH($C57, $C$8:$C$57, 0), (COLUMNS($DU57:EB57)-1)*5 + 4) = "SF"), INDEX($CZ$8:$CZ$23, COLUMNS($DU57:EB57)), "0"), "")</f>
        <v>0</v>
      </c>
      <c r="EC57" s="390" t="str">
        <f t="array" ref="EC57">IFERROR(IF(AND(INDEX($E$8:$CE$57, MATCH($C57, $C$8:$C$57, 0), (COLUMNS($DU57:EC57)-1)*5 + 1) = INDEX($E$5:$CE$5, 1, (COLUMNS($DU57:EC57)-1)*5 + 1), INDEX($E$8:$CE$57, MATCH($C57, $C$8:$C$57, 0), (COLUMNS($DU57:EC57)-1)*5 + 4) = "SF"), INDEX($CZ$8:$CZ$23, COLUMNS($DU57:EC57)), "0"), "")</f>
        <v>0</v>
      </c>
      <c r="ED57" s="390" t="str">
        <f t="array" ref="ED57">IFERROR(IF(AND(INDEX($E$8:$CE$57, MATCH($C57, $C$8:$C$57, 0), (COLUMNS($DU57:ED57)-1)*5 + 1) = INDEX($E$5:$CE$5, 1, (COLUMNS($DU57:ED57)-1)*5 + 1), INDEX($E$8:$CE$57, MATCH($C57, $C$8:$C$57, 0), (COLUMNS($DU57:ED57)-1)*5 + 4) = "SF"), INDEX($CZ$8:$CZ$23, COLUMNS($DU57:ED57)), "0"), "")</f>
        <v>0</v>
      </c>
      <c r="EE57" s="390" t="str">
        <f t="array" ref="EE57">IFERROR(IF(AND(INDEX($E$8:$CE$57, MATCH($C57, $C$8:$C$57, 0), (COLUMNS($DU57:EE57)-1)*5 + 1) = INDEX($E$5:$CE$5, 1, (COLUMNS($DU57:EE57)-1)*5 + 1), INDEX($E$8:$CE$57, MATCH($C57, $C$8:$C$57, 0), (COLUMNS($DU57:EE57)-1)*5 + 4) = "SF"), INDEX($CZ$8:$CZ$23, COLUMNS($DU57:EE57)), "0"), "")</f>
        <v>0</v>
      </c>
      <c r="EF57" s="390" t="str">
        <f t="array" ref="EF57">IFERROR(IF(AND(INDEX($E$8:$CE$57, MATCH($C57, $C$8:$C$57, 0), (COLUMNS($DU57:EF57)-1)*5 + 1) = INDEX($E$5:$CE$5, 1, (COLUMNS($DU57:EF57)-1)*5 + 1), INDEX($E$8:$CE$57, MATCH($C57, $C$8:$C$57, 0), (COLUMNS($DU57:EF57)-1)*5 + 4) = "SF"), INDEX($CZ$8:$CZ$23, COLUMNS($DU57:EF57)), "0"), "")</f>
        <v>0</v>
      </c>
      <c r="EG57" s="390" t="str">
        <f t="array" ref="EG57">IFERROR(IF(AND(INDEX($E$8:$CE$57, MATCH($C57, $C$8:$C$57, 0), (COLUMNS($DU57:EG57)-1)*5 + 1) = INDEX($E$5:$CE$5, 1, (COLUMNS($DU57:EG57)-1)*5 + 1), INDEX($E$8:$CE$57, MATCH($C57, $C$8:$C$57, 0), (COLUMNS($DU57:EG57)-1)*5 + 4) = "SF"), INDEX($CZ$8:$CZ$23, COLUMNS($DU57:EG57)), "0"), "")</f>
        <v>0</v>
      </c>
      <c r="EH57" s="390" t="str">
        <f t="array" ref="EH57">IFERROR(IF(AND(INDEX($E$8:$CE$57, MATCH($C57, $C$8:$C$57, 0), (COLUMNS($DU57:EH57)-1)*5 + 1) = INDEX($E$5:$CE$5, 1, (COLUMNS($DU57:EH57)-1)*5 + 1), INDEX($E$8:$CE$57, MATCH($C57, $C$8:$C$57, 0), (COLUMNS($DU57:EH57)-1)*5 + 4) = "SF"), INDEX($CZ$8:$CZ$23, COLUMNS($DU57:EH57)), "0"), "")</f>
        <v>0</v>
      </c>
      <c r="EI57" s="390" t="str">
        <f t="array" ref="EI57">IFERROR(IF(AND(INDEX($E$8:$CE$57, MATCH($C57, $C$8:$C$57, 0), (COLUMNS($DU57:EI57)-1)*5 + 1) = INDEX($E$5:$CE$5, 1, (COLUMNS($DU57:EI57)-1)*5 + 1), INDEX($E$8:$CE$57, MATCH($C57, $C$8:$C$57, 0), (COLUMNS($DU57:EI57)-1)*5 + 4) = "SF"), INDEX($CZ$8:$CZ$23, COLUMNS($DU57:EI57)), "0"), "")</f>
        <v>0</v>
      </c>
      <c r="EJ57" s="390" t="str">
        <f t="array" ref="EJ57">IFERROR(IF(AND(INDEX($E$8:$CE$57, MATCH($C57, $C$8:$C$57, 0), (COLUMNS($DU57:EJ57)-1)*5 + 1) = INDEX($E$5:$CE$5, 1, (COLUMNS($DU57:EJ57)-1)*5 + 1), INDEX($E$8:$CE$57, MATCH($C57, $C$8:$C$57, 0), (COLUMNS($DU57:EJ57)-1)*5 + 4) = "SF"), INDEX($CZ$8:$CZ$23, COLUMNS($DU57:EJ57)), "0"), "")</f>
        <v>0</v>
      </c>
    </row>
    <row r="58" spans="1:140" ht="20.100000000000001" customHeight="1" thickBot="1" x14ac:dyDescent="0.4">
      <c r="A58" s="515"/>
      <c r="B58" s="446" t="s">
        <v>259</v>
      </c>
      <c r="C58" s="447"/>
      <c r="D58" s="447"/>
      <c r="E58" s="447"/>
      <c r="F58" s="447"/>
      <c r="G58" s="447"/>
      <c r="H58" s="447"/>
      <c r="I58" s="447" t="str">
        <f>"4 PUNTOS (DIV IGUAL O MENOR A 1/2 "&amp;$D$104&amp;" BS. RESTA 0,5 PUNTOS)"</f>
        <v>4 PUNTOS (DIV IGUAL O MENOR A 1/2 150 BS. RESTA 0,5 PUNTOS)</v>
      </c>
      <c r="J58" s="447"/>
      <c r="K58" s="447"/>
      <c r="L58" s="447"/>
      <c r="M58" s="447"/>
      <c r="N58" s="447"/>
      <c r="O58" s="447"/>
      <c r="P58" s="447"/>
      <c r="Q58" s="447"/>
      <c r="R58" s="447"/>
      <c r="S58" s="447"/>
      <c r="T58" s="447"/>
      <c r="U58" s="447" t="str">
        <f>"*DIVIDENDO MAYOR O IGUAL A 4/1 ("&amp;$D$115&amp;" Bs.) "</f>
        <v xml:space="preserve">*DIVIDENDO MAYOR O IGUAL A 4/1 (500 Bs.) </v>
      </c>
      <c r="V58" s="447"/>
      <c r="W58" s="447"/>
      <c r="X58" s="447"/>
      <c r="Y58" s="447"/>
      <c r="Z58" s="447"/>
      <c r="AA58" s="447"/>
      <c r="AB58" s="447"/>
      <c r="AC58" s="447"/>
      <c r="AD58" s="447"/>
      <c r="AE58" s="447" t="s">
        <v>260</v>
      </c>
      <c r="AF58" s="447"/>
      <c r="AG58" s="447"/>
      <c r="AH58" s="447"/>
      <c r="AI58" s="447"/>
      <c r="AJ58" s="447"/>
      <c r="AK58" s="447"/>
      <c r="AL58" s="447"/>
      <c r="AM58" s="447" t="s">
        <v>261</v>
      </c>
      <c r="AN58" s="447"/>
      <c r="AO58" s="447"/>
      <c r="AP58" s="447"/>
      <c r="AQ58" s="447"/>
      <c r="AR58" s="447"/>
      <c r="AS58" s="447"/>
      <c r="AT58" s="447" t="s">
        <v>262</v>
      </c>
      <c r="AU58" s="447"/>
      <c r="AV58" s="447"/>
      <c r="AW58" s="447"/>
      <c r="AX58" s="448"/>
      <c r="AY58" s="448"/>
      <c r="AZ58" s="448"/>
      <c r="BA58" s="448"/>
      <c r="BB58" s="448"/>
      <c r="BC58" s="448"/>
      <c r="BD58" s="448"/>
      <c r="BE58" s="447"/>
      <c r="BF58" s="448"/>
      <c r="BG58" s="449"/>
      <c r="BH58" s="448"/>
      <c r="BI58" s="448"/>
      <c r="BJ58" s="448"/>
      <c r="BK58" s="448"/>
      <c r="BL58" s="449"/>
      <c r="BM58" s="448"/>
      <c r="BN58" s="448"/>
      <c r="BO58" s="449"/>
      <c r="BP58" s="448"/>
      <c r="BQ58" s="448"/>
      <c r="BR58" s="448"/>
      <c r="BS58" s="448"/>
      <c r="BT58" s="449"/>
      <c r="BU58" s="448"/>
      <c r="BV58" s="448"/>
      <c r="BW58" s="448"/>
      <c r="BX58" s="448"/>
      <c r="BY58" s="449"/>
      <c r="BZ58" s="448"/>
      <c r="CA58" s="448"/>
      <c r="CB58" s="448"/>
      <c r="CC58" s="448"/>
      <c r="CD58" s="449"/>
      <c r="CE58" s="448"/>
      <c r="CF58" s="448"/>
      <c r="CG58" s="448"/>
      <c r="CH58" s="448"/>
      <c r="CI58" s="187"/>
      <c r="CJ58" s="188"/>
      <c r="CK58" s="188"/>
      <c r="CL58" s="188"/>
      <c r="CM58" s="188"/>
      <c r="CN58" s="188"/>
      <c r="CO58" s="188"/>
      <c r="CP58" s="188"/>
      <c r="CQ58" s="189" t="s">
        <v>263</v>
      </c>
      <c r="CR58" s="208">
        <f>CONTROL!R56</f>
        <v>78026.666666666672</v>
      </c>
      <c r="CS58" s="191"/>
      <c r="CT58" s="573" t="s">
        <v>264</v>
      </c>
      <c r="CU58" s="574"/>
      <c r="CV58" s="461">
        <f>SUM(CV8:CV57)</f>
        <v>13000</v>
      </c>
      <c r="CW58" s="515"/>
      <c r="CY58" s="387" t="str">
        <f t="shared" si="17"/>
        <v/>
      </c>
      <c r="CZ58" s="387"/>
      <c r="DA58" s="387" t="str">
        <f t="array" ref="DA58">IF(CZ58="", "", IF((INDEX(E$8:CE$57, MATCH(CZ58, C$8:C$57, 0), ($CZ$25-1)*5 + 1) &amp; "") = (INDEX(E$5:CE$5, 1, ($CZ$25-1)*5 + 1) &amp; ""), 1, IF((INDEX(E$8:CE$57, MATCH(CZ58, C$8:C$57, 0), ($CZ$25-1)*5 + 2) &amp; "") = (INDEX(E$5:CE$5, 1, ($CZ$25-1)*5 + 1) &amp; ""), 2, IF((INDEX(E$8:CE$57, MATCH(CZ58, C$8:C$57, 0), ($CZ$25-1)*5 + 3) &amp; "") = (INDEX(E$5:CE$5, 1, ($CZ$25-1)*5 + 1) &amp; ""), 3, ""))))</f>
        <v/>
      </c>
      <c r="DP58" s="389" t="s">
        <v>265</v>
      </c>
      <c r="DQ58" s="389" t="s">
        <v>9</v>
      </c>
      <c r="DR58" s="389" t="s">
        <v>252</v>
      </c>
      <c r="EH58" s="388" t="s">
        <v>265</v>
      </c>
      <c r="EI58" s="388" t="s">
        <v>9</v>
      </c>
      <c r="EJ58" s="388" t="s">
        <v>252</v>
      </c>
    </row>
    <row r="59" spans="1:140" ht="20.100000000000001" customHeight="1" thickBot="1" x14ac:dyDescent="0.4">
      <c r="A59" s="515"/>
      <c r="B59" s="446" t="s">
        <v>266</v>
      </c>
      <c r="C59" s="447"/>
      <c r="D59" s="447"/>
      <c r="E59" s="447"/>
      <c r="F59" s="447"/>
      <c r="G59" s="447"/>
      <c r="H59" s="447"/>
      <c r="I59" s="447" t="str">
        <f>"2 PUNTOS (DIV IGUAL O MENOR A 1/2 "&amp;$D$104&amp;" BS. RESTA 0,5 PUNTOS)"</f>
        <v>2 PUNTOS (DIV IGUAL O MENOR A 1/2 150 BS. RESTA 0,5 PUNTOS)</v>
      </c>
      <c r="J59" s="447"/>
      <c r="K59" s="447"/>
      <c r="L59" s="447"/>
      <c r="M59" s="447"/>
      <c r="N59" s="447"/>
      <c r="O59" s="447"/>
      <c r="P59" s="447"/>
      <c r="Q59" s="447"/>
      <c r="R59" s="447"/>
      <c r="S59" s="447"/>
      <c r="T59" s="447"/>
      <c r="U59" s="447" t="str">
        <f>"*DIVIDENDO MAYOR O IGUAL A 19/1 ("&amp;D129&amp;" Bs.) "</f>
        <v xml:space="preserve">*DIVIDENDO MAYOR O IGUAL A 19/1 (2000 Bs.) </v>
      </c>
      <c r="V59" s="447"/>
      <c r="W59" s="447"/>
      <c r="X59" s="447"/>
      <c r="Y59" s="447"/>
      <c r="Z59" s="447"/>
      <c r="AA59" s="447"/>
      <c r="AB59" s="447"/>
      <c r="AC59" s="447"/>
      <c r="AD59" s="447"/>
      <c r="AE59" s="447" t="s">
        <v>260</v>
      </c>
      <c r="AF59" s="447"/>
      <c r="AG59" s="447"/>
      <c r="AH59" s="447"/>
      <c r="AI59" s="447"/>
      <c r="AJ59" s="447"/>
      <c r="AK59" s="447"/>
      <c r="AL59" s="447"/>
      <c r="AM59" s="447"/>
      <c r="AN59" s="447"/>
      <c r="AO59" s="447"/>
      <c r="AP59" s="447"/>
      <c r="AQ59" s="447"/>
      <c r="AR59" s="447"/>
      <c r="AS59" s="447"/>
      <c r="AT59" s="447"/>
      <c r="AU59" s="447"/>
      <c r="AV59" s="447"/>
      <c r="AW59" s="447"/>
      <c r="AX59" s="448"/>
      <c r="AY59" s="448"/>
      <c r="AZ59" s="448"/>
      <c r="BA59" s="448"/>
      <c r="BB59" s="448"/>
      <c r="BC59" s="448"/>
      <c r="BD59" s="448"/>
      <c r="BE59" s="448"/>
      <c r="BF59" s="448"/>
      <c r="BG59" s="449"/>
      <c r="BH59" s="448"/>
      <c r="BI59" s="448"/>
      <c r="BJ59" s="448"/>
      <c r="BK59" s="448"/>
      <c r="BL59" s="449"/>
      <c r="BM59" s="448"/>
      <c r="BN59" s="448"/>
      <c r="BO59" s="448"/>
      <c r="BP59" s="448"/>
      <c r="BQ59" s="448"/>
      <c r="BR59" s="448"/>
      <c r="BS59" s="448"/>
      <c r="BT59" s="448"/>
      <c r="BU59" s="448"/>
      <c r="BV59" s="448"/>
      <c r="BW59" s="448"/>
      <c r="BX59" s="448"/>
      <c r="BY59" s="448"/>
      <c r="BZ59" s="448"/>
      <c r="CA59" s="448"/>
      <c r="CB59" s="448"/>
      <c r="CC59" s="448"/>
      <c r="CD59" s="448"/>
      <c r="CE59" s="448"/>
      <c r="CF59" s="448"/>
      <c r="CG59" s="448"/>
      <c r="CH59" s="448"/>
      <c r="CI59" s="192"/>
      <c r="CJ59" s="193"/>
      <c r="CK59" s="193"/>
      <c r="CL59" s="193"/>
      <c r="CM59" s="193"/>
      <c r="CN59" s="193"/>
      <c r="CO59" s="193"/>
      <c r="CP59" s="193"/>
      <c r="CQ59" s="194" t="s">
        <v>267</v>
      </c>
      <c r="CR59" s="209">
        <f>CONTROL!S56</f>
        <v>16720</v>
      </c>
      <c r="CS59" s="195"/>
      <c r="CT59" s="571" t="s">
        <v>268</v>
      </c>
      <c r="CU59" s="564"/>
      <c r="CV59" s="450">
        <f>+CV58*20%</f>
        <v>2600</v>
      </c>
      <c r="CW59" s="515"/>
      <c r="CY59" s="387" t="str">
        <f t="shared" si="17"/>
        <v/>
      </c>
      <c r="CZ59" s="387"/>
      <c r="DA59" s="387" t="str">
        <f t="array" ref="DA59">IF(CZ59="", "", IF((INDEX(E$8:CE$57, MATCH(CZ59, C$8:C$57, 0), ($CZ$25-1)*5 + 1) &amp; "") = (INDEX(E$5:CE$5, 1, ($CZ$25-1)*5 + 1) &amp; ""), 1, IF((INDEX(E$8:CE$57, MATCH(CZ59, C$8:C$57, 0), ($CZ$25-1)*5 + 2) &amp; "") = (INDEX(E$5:CE$5, 1, ($CZ$25-1)*5 + 1) &amp; ""), 2, IF((INDEX(E$8:CE$57, MATCH(CZ59, C$8:C$57, 0), ($CZ$25-1)*5 + 3) &amp; "") = (INDEX(E$5:CE$5, 1, ($CZ$25-1)*5 + 1) &amp; ""), 3, ""))))</f>
        <v/>
      </c>
      <c r="DO59" s="388" t="e">
        <f t="array" ref="DO59">INDEX(E5:CB5, 1, ($DR$59-1)*5 + 1)</f>
        <v>#VALUE!</v>
      </c>
      <c r="DP59" s="349" t="str">
        <f t="array" ref="DP59">_xlfn._xlws.FILTER(MAX($DC$8:$DR$57) + ($DB$8:$DB$57 - $DB$8:$DB$57), MMULT(($DC$8:$DR$57 = MAX($DC$8:$DR$57)) * ($DC$8:$DR$57 &gt; 0), _xlfn.SEQUENCE(COLUMNS($DC8:DR8), 1, 1, 0)) &gt; 0, "Esperando")</f>
        <v>Esperando</v>
      </c>
      <c r="DQ59" s="388" t="str">
        <f t="array" ref="DQ59">_xlfn._xlws.FILTER($DB$8:$DB$57, MMULT(($DC$8:$DR$57 = MAX($DC$8:$DR$57)) * ($DC$8:$DR$57 &gt; 0), _xlfn.SEQUENCE(COLUMNS($DC8:DR8), 1, 1, 0)) &gt; 0, "Esperando")</f>
        <v>Esperando</v>
      </c>
      <c r="DR59" s="388" t="e">
        <f t="array" ref="DR59">_xlfn._xlws.FILTER(INDEX($DC$7:$DR$7, 1, MMULT(--($DC$8:$DR$57 = MAX($DC$8:$DR$57)), _xlfn.SEQUENCE(COLUMNS($DC$8:$DR$8), 1, 1, 1))), MMULT(($DC$8:$DR$57 = MAX($DC$8:$DR$57)) * ($DC$8:$DR$57 &gt; 0), _xlfn.SEQUENCE(COLUMNS($DC$8:$DR$8), 1, 1, 1)) &gt; 0, "Esperando")</f>
        <v>#VALUE!</v>
      </c>
      <c r="EG59" s="388" t="e">
        <f t="array" ref="EG59">INDEX(E5:CB5, 1, ($EJ$59-1)*5 + 1)</f>
        <v>#VALUE!</v>
      </c>
      <c r="EH59" s="349" t="str">
        <f t="array" ref="EH59">_xlfn._xlws.FILTER(MAX($DU$8:$EJ$57) + ($DT$8:$DT$57 - $DT$8:$DT$57), MMULT(($DU$8:$EJ$57 = MAX($DU$8:$EJ$57)) * ($DU$8:$EJ$57 &gt; 0), _xlfn.SEQUENCE(COLUMNS($DU8:EJ8), 1, 1, 0)) &gt; 0, "Esperando")</f>
        <v>Esperando</v>
      </c>
      <c r="EI59" s="388" t="str">
        <f t="array" ref="EI59">_xlfn._xlws.FILTER($DT$8:$DT$57, MMULT(($DU$8:$EJ$57 = MAX($DU$8:$EJ$57)) * ($DU$8:$EJ$57 &gt; 0), _xlfn.SEQUENCE(COLUMNS($DU8:EJ8), 1, 1, 0)) &gt; 0, "Esperando")</f>
        <v>Esperando</v>
      </c>
      <c r="EJ59" s="388" t="e">
        <f t="array" ref="EJ59">_xlfn._xlws.FILTER(INDEX($DU$7:$EJ$7, 1, MMULT(--($DU$8:$EJ$57 = MAX($DU$8:$EJ$57)), _xlfn.SEQUENCE(COLUMNS($DU$8:$EJ$8), 1, 1, 1))), MMULT(($DU$8:$EJ$57 = MAX($DU$8:$EJ$57)) * ($DU$8:$EJ$57 &gt; 0), _xlfn.SEQUENCE(COLUMNS($DU$8:$EJ$8), 1, 1, 1)) &gt; 0, "Esperando")</f>
        <v>#VALUE!</v>
      </c>
    </row>
    <row r="60" spans="1:140" ht="20.100000000000001" customHeight="1" thickBot="1" x14ac:dyDescent="0.4">
      <c r="A60" s="515"/>
      <c r="B60" s="446" t="s">
        <v>269</v>
      </c>
      <c r="C60" s="447"/>
      <c r="D60" s="447"/>
      <c r="E60" s="447"/>
      <c r="F60" s="447"/>
      <c r="G60" s="447"/>
      <c r="H60" s="447"/>
      <c r="I60" s="447" t="str">
        <f>"1 PUNTOS (DIV IGUAL O MENOR A 1/2 "&amp;$D$104&amp;" BS. RESTA 0,5 PUNTOS)"</f>
        <v>1 PUNTOS (DIV IGUAL O MENOR A 1/2 150 BS. RESTA 0,5 PUNTOS)</v>
      </c>
      <c r="J60" s="447"/>
      <c r="K60" s="447"/>
      <c r="L60" s="447"/>
      <c r="M60" s="447"/>
      <c r="N60" s="447"/>
      <c r="O60" s="447"/>
      <c r="P60" s="447"/>
      <c r="Q60" s="447"/>
      <c r="R60" s="447"/>
      <c r="S60" s="447"/>
      <c r="T60" s="447"/>
      <c r="U60" s="447" t="s">
        <v>270</v>
      </c>
      <c r="V60" s="447"/>
      <c r="W60" s="447"/>
      <c r="X60" s="447"/>
      <c r="Y60" s="447"/>
      <c r="Z60" s="447"/>
      <c r="AA60" s="447"/>
      <c r="AB60" s="447"/>
      <c r="AC60" s="447"/>
      <c r="AD60" s="447"/>
      <c r="AE60" s="447" t="s">
        <v>260</v>
      </c>
      <c r="AF60" s="447"/>
      <c r="AG60" s="447"/>
      <c r="AH60" s="447"/>
      <c r="AI60" s="447"/>
      <c r="AJ60" s="447"/>
      <c r="AK60" s="447"/>
      <c r="AL60" s="447"/>
      <c r="AM60" s="447"/>
      <c r="AN60" s="567"/>
      <c r="AO60" s="568"/>
      <c r="AP60" s="568"/>
      <c r="AQ60" s="568"/>
      <c r="AR60" s="568"/>
      <c r="AS60" s="568"/>
      <c r="AT60" s="568"/>
      <c r="AU60" s="568"/>
      <c r="AV60" s="568"/>
      <c r="AW60" s="568"/>
      <c r="AX60" s="448"/>
      <c r="AY60" s="448"/>
      <c r="AZ60" s="448"/>
      <c r="BA60" s="448"/>
      <c r="BB60" s="448"/>
      <c r="BC60" s="448"/>
      <c r="BD60" s="448"/>
      <c r="BE60" s="448"/>
      <c r="BF60" s="448"/>
      <c r="BG60" s="449"/>
      <c r="BH60" s="448"/>
      <c r="BI60" s="448"/>
      <c r="BJ60" s="448"/>
      <c r="BK60" s="448"/>
      <c r="BL60" s="449"/>
      <c r="BM60" s="448"/>
      <c r="BN60" s="448"/>
      <c r="BO60" s="448"/>
      <c r="BP60" s="448"/>
      <c r="BQ60" s="448"/>
      <c r="BR60" s="448"/>
      <c r="BS60" s="448"/>
      <c r="BT60" s="448"/>
      <c r="BU60" s="448"/>
      <c r="BV60" s="448"/>
      <c r="BW60" s="448"/>
      <c r="BX60" s="448"/>
      <c r="BY60" s="448"/>
      <c r="BZ60" s="448"/>
      <c r="CA60" s="448"/>
      <c r="CB60" s="448"/>
      <c r="CC60" s="448"/>
      <c r="CD60" s="448"/>
      <c r="CE60" s="448"/>
      <c r="CF60" s="448"/>
      <c r="CG60" s="448"/>
      <c r="CH60" s="448"/>
      <c r="CI60" s="196"/>
      <c r="CJ60" s="197"/>
      <c r="CK60" s="197"/>
      <c r="CL60" s="197"/>
      <c r="CM60" s="197"/>
      <c r="CN60" s="197"/>
      <c r="CO60" s="197"/>
      <c r="CP60" s="197"/>
      <c r="CQ60" s="198" t="s">
        <v>271</v>
      </c>
      <c r="CR60" s="210">
        <f>CONTROL!T56</f>
        <v>5573.3333333333339</v>
      </c>
      <c r="CS60" s="190"/>
      <c r="CT60" s="575" t="s">
        <v>272</v>
      </c>
      <c r="CU60" s="574"/>
      <c r="CV60" s="451">
        <f>CONTROL!T54</f>
        <v>38665.661</v>
      </c>
      <c r="CW60" s="515"/>
      <c r="CY60" s="387" t="str">
        <f t="shared" si="17"/>
        <v/>
      </c>
      <c r="CZ60" s="387"/>
      <c r="DA60" s="387" t="str">
        <f t="array" ref="DA60">IF(CZ60="", "", IF((INDEX(E$8:CE$57, MATCH(CZ60, C$8:C$57, 0), ($CZ$25-1)*5 + 1) &amp; "") = (INDEX(E$5:CE$5, 1, ($CZ$25-1)*5 + 1) &amp; ""), 1, IF((INDEX(E$8:CE$57, MATCH(CZ60, C$8:C$57, 0), ($CZ$25-1)*5 + 2) &amp; "") = (INDEX(E$5:CE$5, 1, ($CZ$25-1)*5 + 1) &amp; ""), 2, IF((INDEX(E$8:CE$57, MATCH(CZ60, C$8:C$57, 0), ($CZ$25-1)*5 + 3) &amp; "") = (INDEX(E$5:CE$5, 1, ($CZ$25-1)*5 + 1) &amp; ""), 3, ""))))</f>
        <v/>
      </c>
      <c r="DP60" s="388"/>
      <c r="DQ60" s="388"/>
      <c r="DR60" s="388"/>
      <c r="EH60" s="388"/>
      <c r="EI60" s="388"/>
      <c r="EJ60" s="388"/>
    </row>
    <row r="61" spans="1:140" ht="20.100000000000001" customHeight="1" x14ac:dyDescent="0.35">
      <c r="A61" s="515"/>
      <c r="B61" s="452" t="s">
        <v>273</v>
      </c>
      <c r="C61" s="453"/>
      <c r="D61" s="453"/>
      <c r="E61" s="453"/>
      <c r="F61" s="453"/>
      <c r="G61" s="453"/>
      <c r="H61" s="453"/>
      <c r="I61" s="453" t="s">
        <v>260</v>
      </c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 t="s">
        <v>274</v>
      </c>
      <c r="V61" s="453"/>
      <c r="W61" s="453"/>
      <c r="X61" s="453"/>
      <c r="Y61" s="453"/>
      <c r="Z61" s="453"/>
      <c r="AA61" s="453"/>
      <c r="AB61" s="453"/>
      <c r="AC61" s="453"/>
      <c r="AD61" s="453"/>
      <c r="AE61" s="453" t="s">
        <v>275</v>
      </c>
      <c r="AF61" s="453"/>
      <c r="AG61" s="453"/>
      <c r="AH61" s="453"/>
      <c r="AI61" s="453"/>
      <c r="AJ61" s="453"/>
      <c r="AK61" s="453"/>
      <c r="AL61" s="453"/>
      <c r="AM61" s="453"/>
      <c r="AN61" s="582"/>
      <c r="AO61" s="558"/>
      <c r="AP61" s="558"/>
      <c r="AQ61" s="558"/>
      <c r="AR61" s="558"/>
      <c r="AS61" s="558"/>
      <c r="AT61" s="558"/>
      <c r="AU61" s="558"/>
      <c r="AV61" s="558"/>
      <c r="AW61" s="558"/>
      <c r="AX61" s="454"/>
      <c r="AY61" s="454"/>
      <c r="AZ61" s="454"/>
      <c r="BA61" s="454"/>
      <c r="BB61" s="454"/>
      <c r="BC61" s="454"/>
      <c r="BD61" s="454"/>
      <c r="BE61" s="454"/>
      <c r="BF61" s="454"/>
      <c r="BG61" s="455"/>
      <c r="BH61" s="454"/>
      <c r="BI61" s="454"/>
      <c r="BJ61" s="454"/>
      <c r="BK61" s="454"/>
      <c r="BL61" s="455"/>
      <c r="BM61" s="454"/>
      <c r="BN61" s="454"/>
      <c r="BO61" s="454"/>
      <c r="BP61" s="454"/>
      <c r="BQ61" s="454"/>
      <c r="BR61" s="454"/>
      <c r="BS61" s="454"/>
      <c r="BT61" s="454"/>
      <c r="BU61" s="454"/>
      <c r="BV61" s="454"/>
      <c r="BW61" s="454"/>
      <c r="BX61" s="454"/>
      <c r="BY61" s="454"/>
      <c r="BZ61" s="454"/>
      <c r="CA61" s="454"/>
      <c r="CB61" s="454"/>
      <c r="CC61" s="454"/>
      <c r="CD61" s="454"/>
      <c r="CE61" s="454"/>
      <c r="CF61" s="454"/>
      <c r="CG61" s="454"/>
      <c r="CH61" s="454"/>
      <c r="CI61" s="199"/>
      <c r="CJ61" s="200"/>
      <c r="CK61" s="200"/>
      <c r="CL61" s="200"/>
      <c r="CM61" s="200"/>
      <c r="CN61" s="200"/>
      <c r="CO61" s="200"/>
      <c r="CP61" s="200"/>
      <c r="CQ61" s="201" t="s">
        <v>276</v>
      </c>
      <c r="CR61" s="211">
        <f>CONTROL!T56</f>
        <v>5573.3333333333339</v>
      </c>
      <c r="CS61" s="202"/>
      <c r="CT61" s="580" t="s">
        <v>277</v>
      </c>
      <c r="CU61" s="581"/>
      <c r="CV61" s="456">
        <f>(CV58-CV59)/3</f>
        <v>3466.6666666666665</v>
      </c>
      <c r="CW61" s="515"/>
      <c r="CY61" s="387" t="str">
        <f t="shared" si="17"/>
        <v/>
      </c>
      <c r="CZ61" s="387"/>
      <c r="DA61" s="387" t="str">
        <f t="array" ref="DA61">IF(CZ61="", "", IF((INDEX(E$8:CE$57, MATCH(CZ61, C$8:C$57, 0), ($CZ$25-1)*5 + 1) &amp; "") = (INDEX(E$5:CE$5, 1, ($CZ$25-1)*5 + 1) &amp; ""), 1, IF((INDEX(E$8:CE$57, MATCH(CZ61, C$8:C$57, 0), ($CZ$25-1)*5 + 2) &amp; "") = (INDEX(E$5:CE$5, 1, ($CZ$25-1)*5 + 1) &amp; ""), 2, IF((INDEX(E$8:CE$57, MATCH(CZ61, C$8:C$57, 0), ($CZ$25-1)*5 + 3) &amp; "") = (INDEX(E$5:CE$5, 1, ($CZ$25-1)*5 + 1) &amp; ""), 3, ""))))</f>
        <v/>
      </c>
      <c r="DP61" s="388"/>
      <c r="DQ61" s="388"/>
      <c r="DR61" s="388"/>
      <c r="EH61" s="388"/>
      <c r="EI61" s="388"/>
      <c r="EJ61" s="388"/>
    </row>
    <row r="62" spans="1:140" ht="16.5" customHeight="1" x14ac:dyDescent="0.35">
      <c r="A62" s="351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"/>
      <c r="BH62" s="95"/>
      <c r="BI62" s="95"/>
      <c r="BJ62" s="95"/>
      <c r="BK62" s="95"/>
      <c r="BL62" s="9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  <c r="CP62" s="95"/>
      <c r="CQ62" s="95"/>
      <c r="CR62" s="95"/>
      <c r="CS62" s="95"/>
      <c r="CT62" s="95"/>
      <c r="CU62" s="95"/>
      <c r="CV62" s="95"/>
      <c r="CW62" s="95"/>
      <c r="CY62" s="387" t="str">
        <f t="shared" si="17"/>
        <v/>
      </c>
      <c r="CZ62" s="387"/>
      <c r="DA62" s="387" t="str">
        <f t="array" ref="DA62">IF(CZ62="", "", IF((INDEX(E$8:CE$57, MATCH(CZ62, C$8:C$57, 0), ($CZ$25-1)*5 + 1) &amp; "") = (INDEX(E$5:CE$5, 1, ($CZ$25-1)*5 + 1) &amp; ""), 1, IF((INDEX(E$8:CE$57, MATCH(CZ62, C$8:C$57, 0), ($CZ$25-1)*5 + 2) &amp; "") = (INDEX(E$5:CE$5, 1, ($CZ$25-1)*5 + 1) &amp; ""), 2, IF((INDEX(E$8:CE$57, MATCH(CZ62, C$8:C$57, 0), ($CZ$25-1)*5 + 3) &amp; "") = (INDEX(E$5:CE$5, 1, ($CZ$25-1)*5 + 1) &amp; ""), 3, ""))))</f>
        <v/>
      </c>
      <c r="DP62" s="388"/>
      <c r="DQ62" s="388"/>
      <c r="DR62" s="388"/>
      <c r="EH62" s="388"/>
      <c r="EI62" s="388"/>
      <c r="EJ62" s="388"/>
    </row>
    <row r="63" spans="1:140" ht="36" customHeight="1" x14ac:dyDescent="0.5">
      <c r="B63" s="5"/>
      <c r="E63" s="96"/>
      <c r="F63" s="97"/>
      <c r="G63" s="97"/>
      <c r="H63" s="97"/>
      <c r="I63" s="97"/>
      <c r="J63" s="97"/>
      <c r="K63" s="97"/>
      <c r="L63" s="97"/>
      <c r="M63" s="97"/>
      <c r="N63" s="97"/>
      <c r="O63" s="98"/>
      <c r="P63" s="97"/>
      <c r="Q63" s="97"/>
      <c r="R63" s="97"/>
      <c r="S63" s="97"/>
      <c r="T63" s="98" t="s">
        <v>278</v>
      </c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8"/>
      <c r="AP63" s="98" t="s">
        <v>279</v>
      </c>
      <c r="AQ63" s="97"/>
      <c r="AR63" s="97"/>
      <c r="AS63" s="98"/>
      <c r="AT63" s="97"/>
      <c r="AU63" s="99" t="str">
        <f>D3</f>
        <v>20/09/2026</v>
      </c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100"/>
      <c r="BH63" s="97"/>
      <c r="BI63" s="97"/>
      <c r="BJ63" s="97"/>
      <c r="BK63" s="97"/>
      <c r="BL63" s="100"/>
      <c r="BM63" s="97"/>
      <c r="BN63" s="97"/>
      <c r="BO63" s="97"/>
      <c r="BP63" s="97"/>
      <c r="BQ63" s="101"/>
      <c r="BR63" s="97"/>
      <c r="BS63" s="97"/>
      <c r="BT63" s="97"/>
      <c r="BU63" s="97"/>
      <c r="BV63" s="97"/>
      <c r="BW63" s="97"/>
      <c r="BX63" s="97"/>
      <c r="BY63" s="97"/>
      <c r="BZ63" s="97"/>
      <c r="CA63" s="97"/>
      <c r="CB63" s="97"/>
      <c r="CC63" s="97"/>
      <c r="CD63" s="97"/>
      <c r="CE63" s="97"/>
      <c r="CF63" s="101"/>
      <c r="CZ63" s="387"/>
      <c r="DA63" s="387" t="str">
        <f t="array" ref="DA63">IF(CZ63="", "", IF((INDEX(E$7:CE$57, MATCH(CZ63, C$7:C$57, 0), ($CZ$25-1)*5 + 1) &amp; "") = (INDEX(E$5:CE$5, 1, ($CZ$25-1)*5 + 1) &amp; ""), 1, IF((INDEX(E$7:CE$57, MATCH(CZ63, C$7:C$57, 0), ($CZ$25-1)*5 + 2) &amp; "") = (INDEX(E$5:CE$5, 1, ($CZ$25-1)*5 + 1) &amp; ""), 2, IF((INDEX(E$7:CE$57, MATCH(CZ63, C$7:C$57, 0), ($CZ$25-1)*5 + 3) &amp; "") = (INDEX(E$5:CE$5, 1, ($CZ$25-1)*5 + 1) &amp; ""), 3, ""))))</f>
        <v/>
      </c>
      <c r="DP63" s="388"/>
      <c r="DQ63" s="388"/>
      <c r="DR63" s="388"/>
      <c r="EH63" s="388"/>
      <c r="EI63" s="388"/>
      <c r="EJ63" s="388"/>
    </row>
    <row r="64" spans="1:140" ht="23.25" customHeight="1" x14ac:dyDescent="0.35">
      <c r="E64" s="540">
        <f>E4</f>
        <v>1</v>
      </c>
      <c r="F64" s="427"/>
      <c r="G64" s="427"/>
      <c r="H64" s="427"/>
      <c r="I64" s="427"/>
      <c r="J64" s="540">
        <f>J4</f>
        <v>2</v>
      </c>
      <c r="K64" s="427"/>
      <c r="L64" s="427"/>
      <c r="M64" s="427"/>
      <c r="N64" s="427"/>
      <c r="O64" s="540">
        <f>O4</f>
        <v>3</v>
      </c>
      <c r="P64" s="427"/>
      <c r="Q64" s="427"/>
      <c r="R64" s="427"/>
      <c r="S64" s="427"/>
      <c r="T64" s="540">
        <f>T4</f>
        <v>4</v>
      </c>
      <c r="U64" s="427"/>
      <c r="V64" s="427"/>
      <c r="W64" s="427"/>
      <c r="X64" s="427"/>
      <c r="Y64" s="540">
        <f>Y4</f>
        <v>5</v>
      </c>
      <c r="Z64" s="427"/>
      <c r="AA64" s="427"/>
      <c r="AB64" s="427"/>
      <c r="AC64" s="427"/>
      <c r="AD64" s="540">
        <f>AD4</f>
        <v>6</v>
      </c>
      <c r="AE64" s="427"/>
      <c r="AF64" s="427"/>
      <c r="AG64" s="427"/>
      <c r="AH64" s="427"/>
      <c r="AI64" s="540">
        <f>AI4</f>
        <v>7</v>
      </c>
      <c r="AJ64" s="427"/>
      <c r="AK64" s="427"/>
      <c r="AL64" s="427"/>
      <c r="AM64" s="427"/>
      <c r="AN64" s="540">
        <f>AN4</f>
        <v>8</v>
      </c>
      <c r="AO64" s="427"/>
      <c r="AP64" s="427"/>
      <c r="AQ64" s="427"/>
      <c r="AR64" s="427"/>
      <c r="AS64" s="540">
        <f>AS4</f>
        <v>9</v>
      </c>
      <c r="AT64" s="427"/>
      <c r="AU64" s="427"/>
      <c r="AV64" s="427"/>
      <c r="AW64" s="427"/>
      <c r="AX64" s="540">
        <f>AX4</f>
        <v>10</v>
      </c>
      <c r="AY64" s="427"/>
      <c r="AZ64" s="427"/>
      <c r="BA64" s="427"/>
      <c r="BB64" s="427"/>
      <c r="BC64" s="540">
        <f>BC4</f>
        <v>11</v>
      </c>
      <c r="BD64" s="427"/>
      <c r="BE64" s="427"/>
      <c r="BF64" s="427"/>
      <c r="BG64" s="427"/>
      <c r="BH64" s="540">
        <f>BH4</f>
        <v>12</v>
      </c>
      <c r="BI64" s="427"/>
      <c r="BJ64" s="427"/>
      <c r="BK64" s="427"/>
      <c r="BL64" s="427"/>
      <c r="BM64" s="540">
        <f>BM4</f>
        <v>13</v>
      </c>
      <c r="BN64" s="427"/>
      <c r="BO64" s="427"/>
      <c r="BP64" s="427"/>
      <c r="BQ64" s="427"/>
      <c r="BR64" s="540">
        <f>BR4</f>
        <v>14</v>
      </c>
      <c r="BS64" s="427"/>
      <c r="BT64" s="427"/>
      <c r="BU64" s="427"/>
      <c r="BV64" s="427"/>
      <c r="BW64" s="540">
        <f>BW4</f>
        <v>15</v>
      </c>
      <c r="BX64" s="427"/>
      <c r="BY64" s="427"/>
      <c r="BZ64" s="427"/>
      <c r="CA64" s="427"/>
      <c r="CB64" s="540">
        <f>CB4</f>
        <v>16</v>
      </c>
      <c r="CC64" s="427"/>
      <c r="CD64" s="427"/>
      <c r="CE64" s="427"/>
      <c r="CF64" s="428"/>
      <c r="CZ64" s="387"/>
      <c r="DA64" s="387" t="str">
        <f t="array" ref="DA64">IF(CZ64="", "", IF((INDEX(E$7:CE$57, MATCH(CZ64, C$7:C$57, 0), ($CZ$25-1)*5 + 1) &amp; "") = (INDEX(E$5:CE$5, 1, ($CZ$25-1)*5 + 1) &amp; ""), 1, IF((INDEX(E$7:CE$57, MATCH(CZ64, C$7:C$57, 0), ($CZ$25-1)*5 + 2) &amp; "") = (INDEX(E$5:CE$5, 1, ($CZ$25-1)*5 + 1) &amp; ""), 2, IF((INDEX(E$7:CE$57, MATCH(CZ64, C$7:C$57, 0), ($CZ$25-1)*5 + 3) &amp; "") = (INDEX(E$5:CE$5, 1, ($CZ$25-1)*5 + 1) &amp; ""), 3, ""))))</f>
        <v/>
      </c>
      <c r="DP64" s="388"/>
      <c r="DQ64" s="388"/>
      <c r="DR64" s="388"/>
      <c r="EH64" s="388"/>
      <c r="EI64" s="388"/>
      <c r="EJ64" s="388"/>
    </row>
    <row r="65" spans="2:140" ht="26.25" customHeight="1" x14ac:dyDescent="0.4">
      <c r="B65" s="102"/>
      <c r="C65" s="103"/>
      <c r="D65" s="103"/>
      <c r="E65" s="104" t="s">
        <v>280</v>
      </c>
      <c r="F65" s="105" t="s">
        <v>281</v>
      </c>
      <c r="G65" s="105" t="s">
        <v>282</v>
      </c>
      <c r="H65" s="105" t="s">
        <v>283</v>
      </c>
      <c r="I65" s="105" t="s">
        <v>165</v>
      </c>
      <c r="J65" s="105" t="s">
        <v>280</v>
      </c>
      <c r="K65" s="105" t="s">
        <v>281</v>
      </c>
      <c r="L65" s="105" t="s">
        <v>282</v>
      </c>
      <c r="M65" s="105" t="s">
        <v>283</v>
      </c>
      <c r="N65" s="105" t="s">
        <v>165</v>
      </c>
      <c r="O65" s="105" t="s">
        <v>280</v>
      </c>
      <c r="P65" s="105" t="s">
        <v>281</v>
      </c>
      <c r="Q65" s="105" t="s">
        <v>282</v>
      </c>
      <c r="R65" s="105" t="s">
        <v>283</v>
      </c>
      <c r="S65" s="105" t="s">
        <v>165</v>
      </c>
      <c r="T65" s="105" t="s">
        <v>280</v>
      </c>
      <c r="U65" s="105" t="s">
        <v>281</v>
      </c>
      <c r="V65" s="105" t="s">
        <v>282</v>
      </c>
      <c r="W65" s="105" t="s">
        <v>283</v>
      </c>
      <c r="X65" s="105" t="s">
        <v>165</v>
      </c>
      <c r="Y65" s="105" t="s">
        <v>280</v>
      </c>
      <c r="Z65" s="105" t="s">
        <v>281</v>
      </c>
      <c r="AA65" s="105" t="s">
        <v>282</v>
      </c>
      <c r="AB65" s="105" t="s">
        <v>283</v>
      </c>
      <c r="AC65" s="105" t="s">
        <v>165</v>
      </c>
      <c r="AD65" s="105" t="s">
        <v>280</v>
      </c>
      <c r="AE65" s="105" t="s">
        <v>281</v>
      </c>
      <c r="AF65" s="105" t="s">
        <v>282</v>
      </c>
      <c r="AG65" s="105" t="s">
        <v>283</v>
      </c>
      <c r="AH65" s="105" t="s">
        <v>165</v>
      </c>
      <c r="AI65" s="105" t="s">
        <v>280</v>
      </c>
      <c r="AJ65" s="105" t="s">
        <v>281</v>
      </c>
      <c r="AK65" s="105" t="s">
        <v>282</v>
      </c>
      <c r="AL65" s="105" t="s">
        <v>283</v>
      </c>
      <c r="AM65" s="105" t="s">
        <v>165</v>
      </c>
      <c r="AN65" s="105" t="s">
        <v>280</v>
      </c>
      <c r="AO65" s="105" t="s">
        <v>281</v>
      </c>
      <c r="AP65" s="105" t="s">
        <v>282</v>
      </c>
      <c r="AQ65" s="105" t="s">
        <v>283</v>
      </c>
      <c r="AR65" s="105" t="s">
        <v>165</v>
      </c>
      <c r="AS65" s="105" t="s">
        <v>280</v>
      </c>
      <c r="AT65" s="105" t="s">
        <v>281</v>
      </c>
      <c r="AU65" s="105" t="s">
        <v>282</v>
      </c>
      <c r="AV65" s="105" t="s">
        <v>283</v>
      </c>
      <c r="AW65" s="105" t="s">
        <v>165</v>
      </c>
      <c r="AX65" s="105" t="s">
        <v>280</v>
      </c>
      <c r="AY65" s="105" t="s">
        <v>281</v>
      </c>
      <c r="AZ65" s="105" t="s">
        <v>282</v>
      </c>
      <c r="BA65" s="105" t="s">
        <v>283</v>
      </c>
      <c r="BB65" s="105" t="s">
        <v>165</v>
      </c>
      <c r="BC65" s="105" t="s">
        <v>280</v>
      </c>
      <c r="BD65" s="105" t="s">
        <v>281</v>
      </c>
      <c r="BE65" s="105" t="s">
        <v>282</v>
      </c>
      <c r="BF65" s="105" t="s">
        <v>283</v>
      </c>
      <c r="BG65" s="105" t="s">
        <v>165</v>
      </c>
      <c r="BH65" s="105" t="s">
        <v>280</v>
      </c>
      <c r="BI65" s="105" t="s">
        <v>281</v>
      </c>
      <c r="BJ65" s="105" t="s">
        <v>282</v>
      </c>
      <c r="BK65" s="105" t="s">
        <v>283</v>
      </c>
      <c r="BL65" s="105" t="s">
        <v>165</v>
      </c>
      <c r="BM65" s="105" t="s">
        <v>280</v>
      </c>
      <c r="BN65" s="105" t="s">
        <v>281</v>
      </c>
      <c r="BO65" s="105" t="s">
        <v>282</v>
      </c>
      <c r="BP65" s="105" t="s">
        <v>283</v>
      </c>
      <c r="BQ65" s="106" t="s">
        <v>165</v>
      </c>
      <c r="BR65" s="105" t="s">
        <v>280</v>
      </c>
      <c r="BS65" s="420" t="s">
        <v>281</v>
      </c>
      <c r="BT65" s="420" t="s">
        <v>282</v>
      </c>
      <c r="BU65" s="420" t="s">
        <v>283</v>
      </c>
      <c r="BV65" s="106" t="s">
        <v>165</v>
      </c>
      <c r="BW65" s="105" t="s">
        <v>280</v>
      </c>
      <c r="BX65" s="420" t="s">
        <v>281</v>
      </c>
      <c r="BY65" s="420" t="s">
        <v>282</v>
      </c>
      <c r="BZ65" s="420" t="s">
        <v>283</v>
      </c>
      <c r="CA65" s="106" t="s">
        <v>165</v>
      </c>
      <c r="CB65" s="105" t="s">
        <v>280</v>
      </c>
      <c r="CC65" s="420" t="s">
        <v>281</v>
      </c>
      <c r="CD65" s="420" t="s">
        <v>282</v>
      </c>
      <c r="CE65" s="420" t="s">
        <v>283</v>
      </c>
      <c r="CF65" s="106" t="s">
        <v>165</v>
      </c>
      <c r="CG65" s="103"/>
      <c r="CH65" s="103"/>
      <c r="CZ65" s="387"/>
      <c r="DA65" s="387" t="str">
        <f t="array" ref="DA65">IF(CZ65="", "", IF((INDEX(E$7:CE$57, MATCH(CZ65, C$7:C$57, 0), ($CZ$25-1)*5 + 1) &amp; "") = (INDEX(E$5:CE$5, 1, ($CZ$25-1)*5 + 1) &amp; ""), 1, IF((INDEX(E$7:CE$57, MATCH(CZ65, C$7:C$57, 0), ($CZ$25-1)*5 + 2) &amp; "") = (INDEX(E$5:CE$5, 1, ($CZ$25-1)*5 + 1) &amp; ""), 2, IF((INDEX(E$7:CE$57, MATCH(CZ65, C$7:C$57, 0), ($CZ$25-1)*5 + 3) &amp; "") = (INDEX(E$5:CE$5, 1, ($CZ$25-1)*5 + 1) &amp; ""), 3, ""))))</f>
        <v/>
      </c>
      <c r="DP65" s="388"/>
      <c r="DQ65" s="388"/>
      <c r="DR65" s="388"/>
      <c r="EH65" s="388"/>
      <c r="EI65" s="388"/>
      <c r="EJ65" s="388"/>
    </row>
    <row r="66" spans="2:140" ht="27.95" customHeight="1" x14ac:dyDescent="0.4">
      <c r="B66" s="102"/>
      <c r="C66" s="103"/>
      <c r="D66" s="103"/>
      <c r="E66" s="171">
        <v>9</v>
      </c>
      <c r="F66" s="421">
        <f>(COUNTIF(SEMANA29[1],E66)*3)</f>
        <v>0</v>
      </c>
      <c r="G66" s="168">
        <f>(COUNTIF(SEMANA29[2],E66)*2)</f>
        <v>0</v>
      </c>
      <c r="H66" s="168">
        <f>COUNTIF(SEMANA29[22],E66)</f>
        <v>0</v>
      </c>
      <c r="I66" s="425">
        <f t="shared" ref="I66:I79" si="35">SUM(F66,G66,H66)</f>
        <v>0</v>
      </c>
      <c r="J66" s="170">
        <v>1</v>
      </c>
      <c r="K66" s="168">
        <f>(COUNTIF(SEMANA29[12],J66)*3)</f>
        <v>0</v>
      </c>
      <c r="L66" s="168">
        <f>(COUNTIF(SEMANA29[Columna2],J66)*2)</f>
        <v>0</v>
      </c>
      <c r="M66" s="168">
        <f>COUNTIF(SEMANA29[Columna23],J66)</f>
        <v>0</v>
      </c>
      <c r="N66" s="425">
        <f t="shared" ref="N66:N79" si="36">SUM(K66,L66,M66)</f>
        <v>0</v>
      </c>
      <c r="O66" s="170">
        <v>5</v>
      </c>
      <c r="P66" s="168">
        <f>(COUNTIF(SEMANA29[Columna4],O66)*3)</f>
        <v>0</v>
      </c>
      <c r="Q66" s="168">
        <f>(COUNTIF(SEMANA29[Columna5],O66)*2)</f>
        <v>0</v>
      </c>
      <c r="R66" s="168">
        <f>COUNTIF(SEMANA29[Columna53],O66)</f>
        <v>0</v>
      </c>
      <c r="S66" s="425">
        <f t="shared" ref="S66:S79" si="37">SUM(P66,Q66,R66)</f>
        <v>0</v>
      </c>
      <c r="T66" s="170">
        <v>3</v>
      </c>
      <c r="U66" s="168">
        <f>(COUNTIF(SEMANA29[Columna7],T66)*3)</f>
        <v>0</v>
      </c>
      <c r="V66" s="168">
        <f>(COUNTIF(SEMANA29[Columna8],T66)*2)</f>
        <v>0</v>
      </c>
      <c r="W66" s="168">
        <f>COUNTIF(SEMANA29[Columna83],T66)</f>
        <v>0</v>
      </c>
      <c r="X66" s="425">
        <f t="shared" ref="X66:X79" si="38">SUM(U66,V66,W66)</f>
        <v>0</v>
      </c>
      <c r="Y66" s="170">
        <v>2</v>
      </c>
      <c r="Z66" s="168">
        <f>(COUNTIF(SEMANA29[Columna10],Y66)*3)</f>
        <v>0</v>
      </c>
      <c r="AA66" s="168">
        <f>(COUNTIF(SEMANA29[Columna11],Y66)*2)</f>
        <v>0</v>
      </c>
      <c r="AB66" s="168">
        <f>COUNTIF(SEMANA29[Columna113],Y66)</f>
        <v>0</v>
      </c>
      <c r="AC66" s="425">
        <f t="shared" ref="AC66:AC79" si="39">SUM(Z66,AA66,AB66)</f>
        <v>0</v>
      </c>
      <c r="AD66" s="170">
        <v>5</v>
      </c>
      <c r="AE66" s="168">
        <f>(COUNTIF(SEMANA29[1RA],AD66)*3)</f>
        <v>0</v>
      </c>
      <c r="AF66" s="168">
        <f>(COUNTIF(SEMANA29[2DA],AD66)*2)</f>
        <v>0</v>
      </c>
      <c r="AG66" s="168">
        <f>COUNTIF(SEMANA29[2DA2],AD66)</f>
        <v>0</v>
      </c>
      <c r="AH66" s="425">
        <f t="shared" ref="AH66:AH79" si="40">SUM(AE66,AF66,AG66)</f>
        <v>0</v>
      </c>
      <c r="AI66" s="170">
        <v>7</v>
      </c>
      <c r="AJ66" s="168">
        <f>(COUNTIF(SEMANA29[Columna16],AI66)*3)</f>
        <v>0</v>
      </c>
      <c r="AK66" s="168">
        <f>(COUNTIF(SEMANA29[Columna17],AI66)*2)</f>
        <v>0</v>
      </c>
      <c r="AL66" s="168">
        <f>COUNTIF(SEMANA29[Columna173],AI66)</f>
        <v>0</v>
      </c>
      <c r="AM66" s="425">
        <f t="shared" ref="AM66:AM79" si="41">SUM(AJ66,AK66,AL66)</f>
        <v>0</v>
      </c>
      <c r="AN66" s="170">
        <v>8</v>
      </c>
      <c r="AO66" s="168">
        <f>(COUNTIF(SEMANA29[123],AN66)*3)</f>
        <v>0</v>
      </c>
      <c r="AP66" s="168">
        <f>(COUNTIF(SEMANA29[555],AN66)*2)</f>
        <v>0</v>
      </c>
      <c r="AQ66" s="168">
        <f>COUNTIF(SEMANA29[556],AN66)</f>
        <v>0</v>
      </c>
      <c r="AR66" s="425">
        <f t="shared" ref="AR66:AR79" si="42">SUM(AO66,AP66,AQ66)</f>
        <v>0</v>
      </c>
      <c r="AS66" s="170">
        <v>2</v>
      </c>
      <c r="AT66" s="168">
        <f>(COUNTIF(SEMANA29[AAAA],AS66)*3)</f>
        <v>0</v>
      </c>
      <c r="AU66" s="168">
        <f>(COUNTIF(SEMANA29[BBBB],AS66)*2)</f>
        <v>0</v>
      </c>
      <c r="AV66" s="168">
        <f>COUNTIF(SEMANA29[Columna13],AS66)</f>
        <v>0</v>
      </c>
      <c r="AW66" s="425">
        <f t="shared" ref="AW66:AW79" si="43">SUM(AT66,AU66,AV66)</f>
        <v>0</v>
      </c>
      <c r="AX66" s="170">
        <v>1</v>
      </c>
      <c r="AY66" s="168">
        <f>(COUNTIF(SEMANA29[Columna25],AX66)*3)</f>
        <v>0</v>
      </c>
      <c r="AZ66" s="168">
        <f>(COUNTIF(SEMANA29[Columna26],AX66)*2)</f>
        <v>0</v>
      </c>
      <c r="BA66" s="168">
        <f>COUNTIF(SEMANA29[Columna263],AX66)</f>
        <v>0</v>
      </c>
      <c r="BB66" s="425">
        <f t="shared" ref="BB66:BB79" si="44">SUM(AY66,AZ66,BA66)</f>
        <v>0</v>
      </c>
      <c r="BC66" s="170">
        <v>7</v>
      </c>
      <c r="BD66" s="168">
        <f>(COUNTIF(SEMANA29[Columna272],BC66)*3)</f>
        <v>0</v>
      </c>
      <c r="BE66" s="168">
        <f>(COUNTIF(SEMANA29[Columna273],BC66)*2)</f>
        <v>0</v>
      </c>
      <c r="BF66" s="168">
        <f>COUNTIF(SEMANA29[Columna2732],BC66)</f>
        <v>0</v>
      </c>
      <c r="BG66" s="425">
        <f t="shared" ref="BG66:BG79" si="45">SUM(BD66,BE66,BF66)</f>
        <v>0</v>
      </c>
      <c r="BH66" s="170">
        <v>6</v>
      </c>
      <c r="BI66" s="168">
        <f>(COUNTIF(SEMANA29[Columna276],BH66)*3)</f>
        <v>0</v>
      </c>
      <c r="BJ66" s="168">
        <f>(COUNTIF(SEMANA29[Columna277],BH66)*2)</f>
        <v>0</v>
      </c>
      <c r="BK66" s="168">
        <f>COUNTIF(SEMANA29[Columna2772],BH66)</f>
        <v>0</v>
      </c>
      <c r="BL66" s="425">
        <f t="shared" ref="BL66:BL79" si="46">SUM(BI66,BJ66,BK66)</f>
        <v>0</v>
      </c>
      <c r="BM66" s="170">
        <v>4</v>
      </c>
      <c r="BN66" s="168">
        <f>(COUNTIF(SEMANA29[Columna280],BM66)*3)</f>
        <v>0</v>
      </c>
      <c r="BO66" s="168">
        <f>(COUNTIF(SEMANA29[Columna281],BM66)*2)</f>
        <v>0</v>
      </c>
      <c r="BP66" s="168">
        <f>COUNTIF(SEMANA29[Columna2812],BM66)</f>
        <v>0</v>
      </c>
      <c r="BQ66" s="169">
        <f t="shared" ref="BQ66:BQ79" si="47">SUM(BN66,BO66,BP66)</f>
        <v>0</v>
      </c>
      <c r="BR66" s="167">
        <v>11</v>
      </c>
      <c r="BS66" s="421">
        <f>(COUNTIF(SEMANA29[Columna2802],BR66)*3)</f>
        <v>0</v>
      </c>
      <c r="BT66" s="168">
        <f>(COUNTIF(SEMANA29[Columna2813],BR66)*2)</f>
        <v>0</v>
      </c>
      <c r="BU66" s="422">
        <f>COUNTIF(SEMANA29[Columna28124],BR66)</f>
        <v>0</v>
      </c>
      <c r="BV66" s="169">
        <f t="shared" ref="BV66:BV79" si="48">SUM(BS66,BT66,BU66)</f>
        <v>0</v>
      </c>
      <c r="BW66" s="170">
        <v>1</v>
      </c>
      <c r="BX66" s="421">
        <f>(COUNTIF(SEMANA29[Columna2803],BW66)*3)</f>
        <v>0</v>
      </c>
      <c r="BY66" s="168">
        <f>(COUNTIF(SEMANA29[Columna2814],BW66)*2)</f>
        <v>0</v>
      </c>
      <c r="BZ66" s="422">
        <f>COUNTIF(SEMANA29[Columna28125],BW66)</f>
        <v>0</v>
      </c>
      <c r="CA66" s="169">
        <f t="shared" ref="CA66:CA79" si="49">SUM(BX66,BY66,BZ66)</f>
        <v>0</v>
      </c>
      <c r="CB66" s="170">
        <v>1</v>
      </c>
      <c r="CC66" s="421">
        <f>(COUNTIF(SEMANA29[Columna2804],CB66)*3)</f>
        <v>0</v>
      </c>
      <c r="CD66" s="168">
        <f>(COUNTIF(SEMANA29[Columna2815],CB66)*2)</f>
        <v>0</v>
      </c>
      <c r="CE66" s="422">
        <f>COUNTIF(SEMANA29[Columna28126],CB66)</f>
        <v>0</v>
      </c>
      <c r="CF66" s="169">
        <f t="shared" ref="CF66:CF79" si="50">SUM(CC66,CD66,CE66)</f>
        <v>0</v>
      </c>
      <c r="CG66" s="103"/>
      <c r="CH66" s="103"/>
      <c r="DP66" s="388"/>
      <c r="DQ66" s="388"/>
      <c r="DR66" s="388"/>
      <c r="EH66" s="388"/>
      <c r="EI66" s="388"/>
      <c r="EJ66" s="388"/>
    </row>
    <row r="67" spans="2:140" ht="27.95" customHeight="1" x14ac:dyDescent="0.4">
      <c r="B67" s="102"/>
      <c r="C67" s="103"/>
      <c r="D67" s="103"/>
      <c r="E67" s="171">
        <v>2</v>
      </c>
      <c r="F67" s="108">
        <f>(COUNTIF(SEMANA29[1],E67)*3)</f>
        <v>0</v>
      </c>
      <c r="G67" s="172">
        <f>(COUNTIF(SEMANA29[2],E67)*2)</f>
        <v>0</v>
      </c>
      <c r="H67" s="172">
        <f>COUNTIF(SEMANA29[22],E67)</f>
        <v>0</v>
      </c>
      <c r="I67" s="426">
        <f t="shared" si="35"/>
        <v>0</v>
      </c>
      <c r="J67" s="173">
        <v>7</v>
      </c>
      <c r="K67" s="172">
        <f>(COUNTIF(SEMANA29[12],J67)*3)</f>
        <v>0</v>
      </c>
      <c r="L67" s="172">
        <f>(COUNTIF(SEMANA29[Columna2],J67)*2)</f>
        <v>0</v>
      </c>
      <c r="M67" s="172">
        <f>COUNTIF(SEMANA29[Columna23],J67)</f>
        <v>0</v>
      </c>
      <c r="N67" s="426">
        <f t="shared" si="36"/>
        <v>0</v>
      </c>
      <c r="O67" s="173">
        <v>1</v>
      </c>
      <c r="P67" s="172">
        <f>(COUNTIF(SEMANA29[Columna4],O67)*3)</f>
        <v>0</v>
      </c>
      <c r="Q67" s="172">
        <f>(COUNTIF(SEMANA29[Columna5],O67)*2)</f>
        <v>0</v>
      </c>
      <c r="R67" s="172">
        <f>COUNTIF(SEMANA29[Columna53],O67)</f>
        <v>0</v>
      </c>
      <c r="S67" s="426">
        <f t="shared" si="37"/>
        <v>0</v>
      </c>
      <c r="T67" s="173">
        <v>5</v>
      </c>
      <c r="U67" s="172">
        <f>(COUNTIF(SEMANA29[Columna7],T67)*3)</f>
        <v>0</v>
      </c>
      <c r="V67" s="172">
        <f>(COUNTIF(SEMANA29[Columna8],T67)*2)</f>
        <v>0</v>
      </c>
      <c r="W67" s="172">
        <f>COUNTIF(SEMANA29[Columna83],T67)</f>
        <v>0</v>
      </c>
      <c r="X67" s="426">
        <f t="shared" si="38"/>
        <v>0</v>
      </c>
      <c r="Y67" s="173">
        <v>1</v>
      </c>
      <c r="Z67" s="172">
        <f>(COUNTIF(SEMANA29[Columna10],Y67)*3)</f>
        <v>0</v>
      </c>
      <c r="AA67" s="172">
        <f>(COUNTIF(SEMANA29[Columna11],Y67)*2)</f>
        <v>0</v>
      </c>
      <c r="AB67" s="172">
        <f>COUNTIF(SEMANA29[Columna113],Y67)</f>
        <v>0</v>
      </c>
      <c r="AC67" s="426">
        <f t="shared" si="39"/>
        <v>0</v>
      </c>
      <c r="AD67" s="173">
        <v>4</v>
      </c>
      <c r="AE67" s="172">
        <f>(COUNTIF(SEMANA29[1RA],AD67)*3)</f>
        <v>0</v>
      </c>
      <c r="AF67" s="172">
        <f>(COUNTIF(SEMANA29[2DA],AD67)*2)</f>
        <v>0</v>
      </c>
      <c r="AG67" s="172">
        <f>COUNTIF(SEMANA29[2DA2],AD67)</f>
        <v>0</v>
      </c>
      <c r="AH67" s="426">
        <f t="shared" si="40"/>
        <v>0</v>
      </c>
      <c r="AI67" s="173">
        <v>6</v>
      </c>
      <c r="AJ67" s="172">
        <f>(COUNTIF(SEMANA29[Columna16],AI67)*3)</f>
        <v>0</v>
      </c>
      <c r="AK67" s="172">
        <f>(COUNTIF(SEMANA29[Columna17],AI67)*2)</f>
        <v>0</v>
      </c>
      <c r="AL67" s="172">
        <f>COUNTIF(SEMANA29[Columna173],AI67)</f>
        <v>0</v>
      </c>
      <c r="AM67" s="426">
        <f t="shared" si="41"/>
        <v>0</v>
      </c>
      <c r="AN67" s="173">
        <v>1</v>
      </c>
      <c r="AO67" s="172">
        <f>(COUNTIF(SEMANA29[123],AN67)*3)</f>
        <v>0</v>
      </c>
      <c r="AP67" s="172">
        <f>(COUNTIF(SEMANA29[555],AN67)*2)</f>
        <v>0</v>
      </c>
      <c r="AQ67" s="172">
        <f>COUNTIF(SEMANA29[556],AN67)</f>
        <v>0</v>
      </c>
      <c r="AR67" s="426">
        <f t="shared" si="42"/>
        <v>0</v>
      </c>
      <c r="AS67" s="173">
        <v>10</v>
      </c>
      <c r="AT67" s="172">
        <f>(COUNTIF(SEMANA29[AAAA],AS67)*3)</f>
        <v>0</v>
      </c>
      <c r="AU67" s="172">
        <f>(COUNTIF(SEMANA29[BBBB],AS67)*2)</f>
        <v>0</v>
      </c>
      <c r="AV67" s="172">
        <f>COUNTIF(SEMANA29[Columna13],AS67)</f>
        <v>0</v>
      </c>
      <c r="AW67" s="426">
        <f t="shared" si="43"/>
        <v>0</v>
      </c>
      <c r="AX67" s="173">
        <v>10</v>
      </c>
      <c r="AY67" s="172">
        <f>(COUNTIF(SEMANA29[Columna25],AX67)*3)</f>
        <v>0</v>
      </c>
      <c r="AZ67" s="172">
        <f>(COUNTIF(SEMANA29[Columna26],AX67)*2)</f>
        <v>0</v>
      </c>
      <c r="BA67" s="172">
        <f>COUNTIF(SEMANA29[Columna263],AX67)</f>
        <v>0</v>
      </c>
      <c r="BB67" s="426">
        <f t="shared" si="44"/>
        <v>0</v>
      </c>
      <c r="BC67" s="173">
        <v>5</v>
      </c>
      <c r="BD67" s="172">
        <f>(COUNTIF(SEMANA29[Columna272],BC67)*3)</f>
        <v>0</v>
      </c>
      <c r="BE67" s="172">
        <f>(COUNTIF(SEMANA29[Columna273],BC67)*2)</f>
        <v>0</v>
      </c>
      <c r="BF67" s="172">
        <f>COUNTIF(SEMANA29[Columna2732],BC67)</f>
        <v>0</v>
      </c>
      <c r="BG67" s="426">
        <f t="shared" si="45"/>
        <v>0</v>
      </c>
      <c r="BH67" s="173">
        <v>1</v>
      </c>
      <c r="BI67" s="172">
        <f>(COUNTIF(SEMANA29[Columna276],BH67)*3)</f>
        <v>0</v>
      </c>
      <c r="BJ67" s="172">
        <f>(COUNTIF(SEMANA29[Columna277],BH67)*2)</f>
        <v>0</v>
      </c>
      <c r="BK67" s="172">
        <f>COUNTIF(SEMANA29[Columna2772],BH67)</f>
        <v>0</v>
      </c>
      <c r="BL67" s="426">
        <f t="shared" si="46"/>
        <v>0</v>
      </c>
      <c r="BM67" s="173">
        <v>1</v>
      </c>
      <c r="BN67" s="172">
        <f>(COUNTIF(SEMANA29[Columna280],BM67)*3)</f>
        <v>0</v>
      </c>
      <c r="BO67" s="172">
        <f>(COUNTIF(SEMANA29[Columna281],BM67)*2)</f>
        <v>0</v>
      </c>
      <c r="BP67" s="172">
        <f>COUNTIF(SEMANA29[Columna2812],BM67)</f>
        <v>0</v>
      </c>
      <c r="BQ67" s="109">
        <f t="shared" si="47"/>
        <v>0</v>
      </c>
      <c r="BR67" s="171">
        <v>5</v>
      </c>
      <c r="BS67" s="108">
        <f>(COUNTIF(SEMANA29[Columna2802],BR67)*3)</f>
        <v>0</v>
      </c>
      <c r="BT67" s="172">
        <f>(COUNTIF(SEMANA29[Columna2813],BR67)*2)</f>
        <v>0</v>
      </c>
      <c r="BU67" s="423">
        <f>COUNTIF(SEMANA29[Columna28124],BR67)</f>
        <v>0</v>
      </c>
      <c r="BV67" s="109">
        <f t="shared" si="48"/>
        <v>0</v>
      </c>
      <c r="BW67" s="173">
        <v>3</v>
      </c>
      <c r="BX67" s="108">
        <f>(COUNTIF(SEMANA29[Columna2803],BW67)*3)</f>
        <v>0</v>
      </c>
      <c r="BY67" s="172">
        <f>(COUNTIF(SEMANA29[Columna2814],BW67)*2)</f>
        <v>0</v>
      </c>
      <c r="BZ67" s="423">
        <f>COUNTIF(SEMANA29[Columna28125],BW67)</f>
        <v>0</v>
      </c>
      <c r="CA67" s="109">
        <f t="shared" si="49"/>
        <v>0</v>
      </c>
      <c r="CB67" s="173">
        <v>3</v>
      </c>
      <c r="CC67" s="108">
        <f>(COUNTIF(SEMANA29[Columna2804],CB67)*3)</f>
        <v>0</v>
      </c>
      <c r="CD67" s="172">
        <f>(COUNTIF(SEMANA29[Columna2815],CB67)*2)</f>
        <v>0</v>
      </c>
      <c r="CE67" s="423">
        <f>COUNTIF(SEMANA29[Columna28126],CB67)</f>
        <v>0</v>
      </c>
      <c r="CF67" s="109">
        <f t="shared" si="50"/>
        <v>0</v>
      </c>
      <c r="CG67" s="103"/>
      <c r="CH67" s="103"/>
      <c r="DP67" s="388"/>
      <c r="DQ67" s="388"/>
      <c r="DR67" s="388"/>
      <c r="EH67" s="388"/>
      <c r="EI67" s="388"/>
      <c r="EJ67" s="388"/>
    </row>
    <row r="68" spans="2:140" ht="27.95" customHeight="1" x14ac:dyDescent="0.4">
      <c r="B68" s="102"/>
      <c r="C68" s="103"/>
      <c r="D68" s="103"/>
      <c r="E68" s="171">
        <v>6</v>
      </c>
      <c r="F68" s="108">
        <f>(COUNTIF(SEMANA29[1],E68)*3)</f>
        <v>0</v>
      </c>
      <c r="G68" s="172">
        <f>(COUNTIF(SEMANA29[2],E68)*2)</f>
        <v>0</v>
      </c>
      <c r="H68" s="172">
        <f>COUNTIF(SEMANA29[22],E68)</f>
        <v>0</v>
      </c>
      <c r="I68" s="426">
        <f t="shared" si="35"/>
        <v>0</v>
      </c>
      <c r="J68" s="173">
        <v>2</v>
      </c>
      <c r="K68" s="172">
        <f>(COUNTIF(SEMANA29[12],J68)*3)</f>
        <v>0</v>
      </c>
      <c r="L68" s="172">
        <f>(COUNTIF(SEMANA29[Columna2],J68)*2)</f>
        <v>0</v>
      </c>
      <c r="M68" s="172">
        <f>COUNTIF(SEMANA29[Columna23],J68)</f>
        <v>0</v>
      </c>
      <c r="N68" s="426">
        <f t="shared" si="36"/>
        <v>0</v>
      </c>
      <c r="O68" s="173">
        <v>3</v>
      </c>
      <c r="P68" s="172">
        <f>(COUNTIF(SEMANA29[Columna4],O68)*3)</f>
        <v>0</v>
      </c>
      <c r="Q68" s="172">
        <f>(COUNTIF(SEMANA29[Columna5],O68)*2)</f>
        <v>0</v>
      </c>
      <c r="R68" s="172">
        <f>COUNTIF(SEMANA29[Columna53],O68)</f>
        <v>0</v>
      </c>
      <c r="S68" s="426">
        <f t="shared" si="37"/>
        <v>0</v>
      </c>
      <c r="T68" s="173">
        <v>7</v>
      </c>
      <c r="U68" s="172">
        <f>(COUNTIF(SEMANA29[Columna7],T68)*3)</f>
        <v>0</v>
      </c>
      <c r="V68" s="172">
        <f>(COUNTIF(SEMANA29[Columna8],T68)*2)</f>
        <v>0</v>
      </c>
      <c r="W68" s="172">
        <f>COUNTIF(SEMANA29[Columna83],T68)</f>
        <v>0</v>
      </c>
      <c r="X68" s="426">
        <f t="shared" si="38"/>
        <v>0</v>
      </c>
      <c r="Y68" s="173">
        <v>7</v>
      </c>
      <c r="Z68" s="172">
        <f>(COUNTIF(SEMANA29[Columna10],Y68)*3)</f>
        <v>0</v>
      </c>
      <c r="AA68" s="172">
        <f>(COUNTIF(SEMANA29[Columna11],Y68)*2)</f>
        <v>0</v>
      </c>
      <c r="AB68" s="172">
        <f>COUNTIF(SEMANA29[Columna113],Y68)</f>
        <v>0</v>
      </c>
      <c r="AC68" s="426">
        <f t="shared" si="39"/>
        <v>0</v>
      </c>
      <c r="AD68" s="173">
        <v>10</v>
      </c>
      <c r="AE68" s="172">
        <f>(COUNTIF(SEMANA29[1RA],AD68)*3)</f>
        <v>0</v>
      </c>
      <c r="AF68" s="172">
        <f>(COUNTIF(SEMANA29[2DA],AD68)*2)</f>
        <v>0</v>
      </c>
      <c r="AG68" s="172">
        <f>COUNTIF(SEMANA29[2DA2],AD68)</f>
        <v>0</v>
      </c>
      <c r="AH68" s="426">
        <f t="shared" si="40"/>
        <v>0</v>
      </c>
      <c r="AI68" s="173">
        <v>8</v>
      </c>
      <c r="AJ68" s="172">
        <f>(COUNTIF(SEMANA29[Columna16],AI68)*3)</f>
        <v>0</v>
      </c>
      <c r="AK68" s="172">
        <f>(COUNTIF(SEMANA29[Columna17],AI68)*2)</f>
        <v>0</v>
      </c>
      <c r="AL68" s="172">
        <f>COUNTIF(SEMANA29[Columna173],AI68)</f>
        <v>0</v>
      </c>
      <c r="AM68" s="426">
        <f t="shared" si="41"/>
        <v>0</v>
      </c>
      <c r="AN68" s="173">
        <v>2</v>
      </c>
      <c r="AO68" s="172">
        <f>(COUNTIF(SEMANA29[123],AN68)*3)</f>
        <v>0</v>
      </c>
      <c r="AP68" s="172">
        <f>(COUNTIF(SEMANA29[555],AN68)*2)</f>
        <v>0</v>
      </c>
      <c r="AQ68" s="172">
        <f>COUNTIF(SEMANA29[556],AN68)</f>
        <v>0</v>
      </c>
      <c r="AR68" s="426">
        <f t="shared" si="42"/>
        <v>0</v>
      </c>
      <c r="AS68" s="173">
        <v>1</v>
      </c>
      <c r="AT68" s="172">
        <f>(COUNTIF(SEMANA29[AAAA],AS68)*3)</f>
        <v>0</v>
      </c>
      <c r="AU68" s="172">
        <f>(COUNTIF(SEMANA29[BBBB],AS68)*2)</f>
        <v>0</v>
      </c>
      <c r="AV68" s="172">
        <f>COUNTIF(SEMANA29[Columna13],AS68)</f>
        <v>0</v>
      </c>
      <c r="AW68" s="426">
        <f t="shared" si="43"/>
        <v>0</v>
      </c>
      <c r="AX68" s="173">
        <v>6</v>
      </c>
      <c r="AY68" s="172">
        <f>(COUNTIF(SEMANA29[Columna25],AX68)*3)</f>
        <v>0</v>
      </c>
      <c r="AZ68" s="172">
        <f>(COUNTIF(SEMANA29[Columna26],AX68)*2)</f>
        <v>0</v>
      </c>
      <c r="BA68" s="172">
        <f>COUNTIF(SEMANA29[Columna263],AX68)</f>
        <v>0</v>
      </c>
      <c r="BB68" s="426">
        <f t="shared" si="44"/>
        <v>0</v>
      </c>
      <c r="BC68" s="173">
        <v>6</v>
      </c>
      <c r="BD68" s="172">
        <f>(COUNTIF(SEMANA29[Columna272],BC68)*3)</f>
        <v>0</v>
      </c>
      <c r="BE68" s="172">
        <f>(COUNTIF(SEMANA29[Columna273],BC68)*2)</f>
        <v>0</v>
      </c>
      <c r="BF68" s="172">
        <f>COUNTIF(SEMANA29[Columna2732],BC68)</f>
        <v>0</v>
      </c>
      <c r="BG68" s="426">
        <f t="shared" si="45"/>
        <v>0</v>
      </c>
      <c r="BH68" s="173">
        <v>2</v>
      </c>
      <c r="BI68" s="172">
        <f>(COUNTIF(SEMANA29[Columna276],BH68)*3)</f>
        <v>0</v>
      </c>
      <c r="BJ68" s="172">
        <f>(COUNTIF(SEMANA29[Columna277],BH68)*2)</f>
        <v>0</v>
      </c>
      <c r="BK68" s="172">
        <f>COUNTIF(SEMANA29[Columna2772],BH68)</f>
        <v>0</v>
      </c>
      <c r="BL68" s="426">
        <f t="shared" si="46"/>
        <v>0</v>
      </c>
      <c r="BM68" s="173">
        <v>9</v>
      </c>
      <c r="BN68" s="172">
        <f>(COUNTIF(SEMANA29[Columna280],BM68)*3)</f>
        <v>0</v>
      </c>
      <c r="BO68" s="172">
        <f>(COUNTIF(SEMANA29[Columna281],BM68)*2)</f>
        <v>0</v>
      </c>
      <c r="BP68" s="172">
        <f>COUNTIF(SEMANA29[Columna2812],BM68)</f>
        <v>0</v>
      </c>
      <c r="BQ68" s="109">
        <f t="shared" si="47"/>
        <v>0</v>
      </c>
      <c r="BR68" s="171">
        <v>1</v>
      </c>
      <c r="BS68" s="108">
        <f>(COUNTIF(SEMANA29[Columna2802],BR68)*3)</f>
        <v>0</v>
      </c>
      <c r="BT68" s="172">
        <f>(COUNTIF(SEMANA29[Columna2813],BR68)*2)</f>
        <v>0</v>
      </c>
      <c r="BU68" s="423">
        <f>COUNTIF(SEMANA29[Columna28124],BR68)</f>
        <v>0</v>
      </c>
      <c r="BV68" s="109">
        <f t="shared" si="48"/>
        <v>0</v>
      </c>
      <c r="BW68" s="173">
        <v>12</v>
      </c>
      <c r="BX68" s="108">
        <f>(COUNTIF(SEMANA29[Columna2803],BW68)*3)</f>
        <v>0</v>
      </c>
      <c r="BY68" s="172">
        <f>(COUNTIF(SEMANA29[Columna2814],BW68)*2)</f>
        <v>0</v>
      </c>
      <c r="BZ68" s="423">
        <f>COUNTIF(SEMANA29[Columna28125],BW68)</f>
        <v>0</v>
      </c>
      <c r="CA68" s="109">
        <f t="shared" si="49"/>
        <v>0</v>
      </c>
      <c r="CB68" s="173">
        <v>12</v>
      </c>
      <c r="CC68" s="108">
        <f>(COUNTIF(SEMANA29[Columna2804],CB68)*3)</f>
        <v>0</v>
      </c>
      <c r="CD68" s="172">
        <f>(COUNTIF(SEMANA29[Columna2815],CB68)*2)</f>
        <v>0</v>
      </c>
      <c r="CE68" s="423">
        <f>COUNTIF(SEMANA29[Columna28126],CB68)</f>
        <v>0</v>
      </c>
      <c r="CF68" s="109">
        <f t="shared" si="50"/>
        <v>0</v>
      </c>
      <c r="CG68" s="103"/>
      <c r="CH68" s="103"/>
      <c r="DP68" s="388"/>
      <c r="DQ68" s="388"/>
      <c r="DR68" s="388"/>
      <c r="EH68" s="388"/>
      <c r="EI68" s="388"/>
      <c r="EJ68" s="388"/>
    </row>
    <row r="69" spans="2:140" ht="27.95" customHeight="1" x14ac:dyDescent="0.4">
      <c r="B69" s="102"/>
      <c r="C69" s="103"/>
      <c r="D69" s="103"/>
      <c r="E69" s="171">
        <v>4</v>
      </c>
      <c r="F69" s="108">
        <f>(COUNTIF(SEMANA29[1],E69)*3)</f>
        <v>0</v>
      </c>
      <c r="G69" s="172">
        <f>(COUNTIF(SEMANA29[2],E69)*2)</f>
        <v>0</v>
      </c>
      <c r="H69" s="172">
        <f>COUNTIF(SEMANA29[22],E69)</f>
        <v>0</v>
      </c>
      <c r="I69" s="426">
        <f t="shared" si="35"/>
        <v>0</v>
      </c>
      <c r="J69" s="173">
        <v>4</v>
      </c>
      <c r="K69" s="172">
        <f>(COUNTIF(SEMANA29[12],J69)*3)</f>
        <v>0</v>
      </c>
      <c r="L69" s="172">
        <f>(COUNTIF(SEMANA29[Columna2],J69)*2)</f>
        <v>0</v>
      </c>
      <c r="M69" s="172">
        <f>COUNTIF(SEMANA29[Columna23],J69)</f>
        <v>0</v>
      </c>
      <c r="N69" s="426">
        <f t="shared" si="36"/>
        <v>0</v>
      </c>
      <c r="O69" s="173">
        <v>7</v>
      </c>
      <c r="P69" s="172">
        <f>(COUNTIF(SEMANA29[Columna4],O69)*3)</f>
        <v>0</v>
      </c>
      <c r="Q69" s="172">
        <f>(COUNTIF(SEMANA29[Columna5],O69)*2)</f>
        <v>0</v>
      </c>
      <c r="R69" s="172">
        <f>COUNTIF(SEMANA29[Columna53],O69)</f>
        <v>0</v>
      </c>
      <c r="S69" s="426">
        <f t="shared" si="37"/>
        <v>0</v>
      </c>
      <c r="T69" s="173">
        <v>4</v>
      </c>
      <c r="U69" s="172">
        <f>(COUNTIF(SEMANA29[Columna7],T69)*3)</f>
        <v>0</v>
      </c>
      <c r="V69" s="172">
        <f>(COUNTIF(SEMANA29[Columna8],T69)*2)</f>
        <v>0</v>
      </c>
      <c r="W69" s="172">
        <f>COUNTIF(SEMANA29[Columna83],T69)</f>
        <v>0</v>
      </c>
      <c r="X69" s="426">
        <f t="shared" si="38"/>
        <v>0</v>
      </c>
      <c r="Y69" s="173">
        <v>4</v>
      </c>
      <c r="Z69" s="172">
        <f>(COUNTIF(SEMANA29[Columna10],Y69)*3)</f>
        <v>0</v>
      </c>
      <c r="AA69" s="172">
        <f>(COUNTIF(SEMANA29[Columna11],Y69)*2)</f>
        <v>0</v>
      </c>
      <c r="AB69" s="172">
        <f>COUNTIF(SEMANA29[Columna113],Y69)</f>
        <v>0</v>
      </c>
      <c r="AC69" s="426">
        <f t="shared" si="39"/>
        <v>0</v>
      </c>
      <c r="AD69" s="173">
        <v>3</v>
      </c>
      <c r="AE69" s="172">
        <f>(COUNTIF(SEMANA29[1RA],AD69)*3)</f>
        <v>0</v>
      </c>
      <c r="AF69" s="172">
        <f>(COUNTIF(SEMANA29[2DA],AD69)*2)</f>
        <v>0</v>
      </c>
      <c r="AG69" s="172">
        <f>COUNTIF(SEMANA29[2DA2],AD69)</f>
        <v>0</v>
      </c>
      <c r="AH69" s="426">
        <f t="shared" si="40"/>
        <v>0</v>
      </c>
      <c r="AI69" s="173">
        <v>2</v>
      </c>
      <c r="AJ69" s="172">
        <f>(COUNTIF(SEMANA29[Columna16],AI69)*3)</f>
        <v>0</v>
      </c>
      <c r="AK69" s="172">
        <f>(COUNTIF(SEMANA29[Columna17],AI69)*2)</f>
        <v>0</v>
      </c>
      <c r="AL69" s="172">
        <f>COUNTIF(SEMANA29[Columna173],AI69)</f>
        <v>0</v>
      </c>
      <c r="AM69" s="426">
        <f t="shared" si="41"/>
        <v>0</v>
      </c>
      <c r="AN69" s="173">
        <v>6</v>
      </c>
      <c r="AO69" s="172">
        <f>(COUNTIF(SEMANA29[123],AN69)*3)</f>
        <v>0</v>
      </c>
      <c r="AP69" s="172">
        <f>(COUNTIF(SEMANA29[555],AN69)*2)</f>
        <v>0</v>
      </c>
      <c r="AQ69" s="172">
        <f>COUNTIF(SEMANA29[556],AN69)</f>
        <v>0</v>
      </c>
      <c r="AR69" s="426">
        <f t="shared" si="42"/>
        <v>0</v>
      </c>
      <c r="AS69" s="173">
        <v>9</v>
      </c>
      <c r="AT69" s="172">
        <f>(COUNTIF(SEMANA29[AAAA],AS69)*3)</f>
        <v>0</v>
      </c>
      <c r="AU69" s="172">
        <f>(COUNTIF(SEMANA29[BBBB],AS69)*2)</f>
        <v>0</v>
      </c>
      <c r="AV69" s="172">
        <f>COUNTIF(SEMANA29[Columna13],AS69)</f>
        <v>0</v>
      </c>
      <c r="AW69" s="426">
        <f t="shared" si="43"/>
        <v>0</v>
      </c>
      <c r="AX69" s="173">
        <v>2</v>
      </c>
      <c r="AY69" s="172">
        <f>(COUNTIF(SEMANA29[Columna25],AX69)*3)</f>
        <v>0</v>
      </c>
      <c r="AZ69" s="172">
        <f>(COUNTIF(SEMANA29[Columna26],AX69)*2)</f>
        <v>0</v>
      </c>
      <c r="BA69" s="172">
        <f>COUNTIF(SEMANA29[Columna263],AX69)</f>
        <v>0</v>
      </c>
      <c r="BB69" s="426">
        <f t="shared" si="44"/>
        <v>0</v>
      </c>
      <c r="BC69" s="173">
        <v>3</v>
      </c>
      <c r="BD69" s="172">
        <f>(COUNTIF(SEMANA29[Columna272],BC69)*3)</f>
        <v>0</v>
      </c>
      <c r="BE69" s="172">
        <f>(COUNTIF(SEMANA29[Columna273],BC69)*2)</f>
        <v>0</v>
      </c>
      <c r="BF69" s="172">
        <f>COUNTIF(SEMANA29[Columna2732],BC69)</f>
        <v>0</v>
      </c>
      <c r="BG69" s="426">
        <f t="shared" si="45"/>
        <v>0</v>
      </c>
      <c r="BH69" s="173">
        <v>5</v>
      </c>
      <c r="BI69" s="172">
        <f>(COUNTIF(SEMANA29[Columna276],BH69)*3)</f>
        <v>0</v>
      </c>
      <c r="BJ69" s="172">
        <f>(COUNTIF(SEMANA29[Columna277],BH69)*2)</f>
        <v>0</v>
      </c>
      <c r="BK69" s="172">
        <f>COUNTIF(SEMANA29[Columna2772],BH69)</f>
        <v>0</v>
      </c>
      <c r="BL69" s="426">
        <f t="shared" si="46"/>
        <v>0</v>
      </c>
      <c r="BM69" s="173">
        <v>3</v>
      </c>
      <c r="BN69" s="172">
        <f>(COUNTIF(SEMANA29[Columna280],BM69)*3)</f>
        <v>0</v>
      </c>
      <c r="BO69" s="172">
        <f>(COUNTIF(SEMANA29[Columna281],BM69)*2)</f>
        <v>0</v>
      </c>
      <c r="BP69" s="172">
        <f>COUNTIF(SEMANA29[Columna2812],BM69)</f>
        <v>0</v>
      </c>
      <c r="BQ69" s="109">
        <f t="shared" si="47"/>
        <v>0</v>
      </c>
      <c r="BR69" s="171">
        <v>2</v>
      </c>
      <c r="BS69" s="108">
        <f>(COUNTIF(SEMANA29[Columna2802],BR69)*3)</f>
        <v>0</v>
      </c>
      <c r="BT69" s="172">
        <f>(COUNTIF(SEMANA29[Columna2813],BR69)*2)</f>
        <v>0</v>
      </c>
      <c r="BU69" s="423">
        <f>COUNTIF(SEMANA29[Columna28124],BR69)</f>
        <v>0</v>
      </c>
      <c r="BV69" s="109">
        <f t="shared" si="48"/>
        <v>0</v>
      </c>
      <c r="BW69" s="173">
        <v>2</v>
      </c>
      <c r="BX69" s="108">
        <f>(COUNTIF(SEMANA29[Columna2803],BW69)*3)</f>
        <v>0</v>
      </c>
      <c r="BY69" s="172">
        <f>(COUNTIF(SEMANA29[Columna2814],BW69)*2)</f>
        <v>0</v>
      </c>
      <c r="BZ69" s="423">
        <f>COUNTIF(SEMANA29[Columna28125],BW69)</f>
        <v>0</v>
      </c>
      <c r="CA69" s="109">
        <f t="shared" si="49"/>
        <v>0</v>
      </c>
      <c r="CB69" s="173">
        <v>2</v>
      </c>
      <c r="CC69" s="108">
        <f>(COUNTIF(SEMANA29[Columna2804],CB69)*3)</f>
        <v>0</v>
      </c>
      <c r="CD69" s="172">
        <f>(COUNTIF(SEMANA29[Columna2815],CB69)*2)</f>
        <v>0</v>
      </c>
      <c r="CE69" s="423">
        <f>COUNTIF(SEMANA29[Columna28126],CB69)</f>
        <v>0</v>
      </c>
      <c r="CF69" s="109">
        <f t="shared" si="50"/>
        <v>0</v>
      </c>
      <c r="CG69" s="103"/>
      <c r="CH69" s="103"/>
      <c r="DP69" s="388"/>
      <c r="DQ69" s="388"/>
      <c r="DR69" s="388"/>
      <c r="EH69" s="388"/>
      <c r="EI69" s="388"/>
      <c r="EJ69" s="388"/>
    </row>
    <row r="70" spans="2:140" ht="27.95" customHeight="1" x14ac:dyDescent="0.4">
      <c r="B70" s="102"/>
      <c r="C70" s="103"/>
      <c r="D70" s="103"/>
      <c r="E70" s="171">
        <v>3</v>
      </c>
      <c r="F70" s="108">
        <f>(COUNTIF(SEMANA29[1],E70)*3)</f>
        <v>0</v>
      </c>
      <c r="G70" s="172">
        <f>(COUNTIF(SEMANA29[2],E70)*2)</f>
        <v>0</v>
      </c>
      <c r="H70" s="172">
        <f>COUNTIF(SEMANA29[22],E70)</f>
        <v>0</v>
      </c>
      <c r="I70" s="426">
        <f t="shared" si="35"/>
        <v>0</v>
      </c>
      <c r="J70" s="173">
        <v>6</v>
      </c>
      <c r="K70" s="172">
        <f>(COUNTIF(SEMANA29[12],J70)*3)</f>
        <v>0</v>
      </c>
      <c r="L70" s="172">
        <f>(COUNTIF(SEMANA29[Columna2],J70)*2)</f>
        <v>0</v>
      </c>
      <c r="M70" s="172">
        <f>COUNTIF(SEMANA29[Columna23],J70)</f>
        <v>0</v>
      </c>
      <c r="N70" s="426">
        <f t="shared" si="36"/>
        <v>0</v>
      </c>
      <c r="O70" s="173">
        <v>8</v>
      </c>
      <c r="P70" s="172">
        <f>(COUNTIF(SEMANA29[Columna4],O70)*3)</f>
        <v>0</v>
      </c>
      <c r="Q70" s="172">
        <f>(COUNTIF(SEMANA29[Columna5],O70)*2)</f>
        <v>0</v>
      </c>
      <c r="R70" s="172">
        <f>COUNTIF(SEMANA29[Columna53],O70)</f>
        <v>0</v>
      </c>
      <c r="S70" s="426">
        <f t="shared" si="37"/>
        <v>0</v>
      </c>
      <c r="T70" s="173">
        <v>1</v>
      </c>
      <c r="U70" s="172">
        <f>(COUNTIF(SEMANA29[Columna7],T70)*3)</f>
        <v>0</v>
      </c>
      <c r="V70" s="172">
        <f>(COUNTIF(SEMANA29[Columna8],T70)*2)</f>
        <v>0</v>
      </c>
      <c r="W70" s="172">
        <f>COUNTIF(SEMANA29[Columna83],T70)</f>
        <v>0</v>
      </c>
      <c r="X70" s="426">
        <f t="shared" si="38"/>
        <v>0</v>
      </c>
      <c r="Y70" s="173">
        <v>5</v>
      </c>
      <c r="Z70" s="172">
        <f>(COUNTIF(SEMANA29[Columna10],Y70)*3)</f>
        <v>0</v>
      </c>
      <c r="AA70" s="172">
        <f>(COUNTIF(SEMANA29[Columna11],Y70)*2)</f>
        <v>0</v>
      </c>
      <c r="AB70" s="172">
        <f>COUNTIF(SEMANA29[Columna113],Y70)</f>
        <v>0</v>
      </c>
      <c r="AC70" s="426">
        <f t="shared" si="39"/>
        <v>0</v>
      </c>
      <c r="AD70" s="173">
        <v>7</v>
      </c>
      <c r="AE70" s="172">
        <f>(COUNTIF(SEMANA29[1RA],AD70)*3)</f>
        <v>0</v>
      </c>
      <c r="AF70" s="172">
        <f>(COUNTIF(SEMANA29[2DA],AD70)*2)</f>
        <v>0</v>
      </c>
      <c r="AG70" s="172">
        <f>COUNTIF(SEMANA29[2DA2],AD70)</f>
        <v>0</v>
      </c>
      <c r="AH70" s="426">
        <f t="shared" si="40"/>
        <v>0</v>
      </c>
      <c r="AI70" s="173">
        <v>9</v>
      </c>
      <c r="AJ70" s="172">
        <f>(COUNTIF(SEMANA29[Columna16],AI70)*3)</f>
        <v>0</v>
      </c>
      <c r="AK70" s="172">
        <f>(COUNTIF(SEMANA29[Columna17],AI70)*2)</f>
        <v>0</v>
      </c>
      <c r="AL70" s="172">
        <f>COUNTIF(SEMANA29[Columna173],AI70)</f>
        <v>0</v>
      </c>
      <c r="AM70" s="426">
        <f t="shared" si="41"/>
        <v>0</v>
      </c>
      <c r="AN70" s="173">
        <v>4</v>
      </c>
      <c r="AO70" s="172">
        <f>(COUNTIF(SEMANA29[123],AN70)*3)</f>
        <v>0</v>
      </c>
      <c r="AP70" s="172">
        <f>(COUNTIF(SEMANA29[555],AN70)*2)</f>
        <v>0</v>
      </c>
      <c r="AQ70" s="172">
        <f>COUNTIF(SEMANA29[556],AN70)</f>
        <v>0</v>
      </c>
      <c r="AR70" s="426">
        <f t="shared" si="42"/>
        <v>0</v>
      </c>
      <c r="AS70" s="173">
        <v>11</v>
      </c>
      <c r="AT70" s="172">
        <f>(COUNTIF(SEMANA29[AAAA],AS70)*3)</f>
        <v>0</v>
      </c>
      <c r="AU70" s="172">
        <f>(COUNTIF(SEMANA29[BBBB],AS70)*2)</f>
        <v>0</v>
      </c>
      <c r="AV70" s="172">
        <f>COUNTIF(SEMANA29[Columna13],AS70)</f>
        <v>0</v>
      </c>
      <c r="AW70" s="426">
        <f t="shared" si="43"/>
        <v>0</v>
      </c>
      <c r="AX70" s="173">
        <v>5</v>
      </c>
      <c r="AY70" s="172">
        <f>(COUNTIF(SEMANA29[Columna25],AX70)*3)</f>
        <v>0</v>
      </c>
      <c r="AZ70" s="172">
        <f>(COUNTIF(SEMANA29[Columna26],AX70)*2)</f>
        <v>0</v>
      </c>
      <c r="BA70" s="172">
        <f>COUNTIF(SEMANA29[Columna263],AX70)</f>
        <v>0</v>
      </c>
      <c r="BB70" s="426">
        <f t="shared" si="44"/>
        <v>0</v>
      </c>
      <c r="BC70" s="173">
        <v>2</v>
      </c>
      <c r="BD70" s="172">
        <f>(COUNTIF(SEMANA29[Columna272],BC70)*3)</f>
        <v>0</v>
      </c>
      <c r="BE70" s="172">
        <f>(COUNTIF(SEMANA29[Columna273],BC70)*2)</f>
        <v>0</v>
      </c>
      <c r="BF70" s="172">
        <f>COUNTIF(SEMANA29[Columna2732],BC70)</f>
        <v>0</v>
      </c>
      <c r="BG70" s="426">
        <f t="shared" si="45"/>
        <v>0</v>
      </c>
      <c r="BH70" s="173">
        <v>8</v>
      </c>
      <c r="BI70" s="172">
        <f>(COUNTIF(SEMANA29[Columna276],BH70)*3)</f>
        <v>0</v>
      </c>
      <c r="BJ70" s="172">
        <f>(COUNTIF(SEMANA29[Columna277],BH70)*2)</f>
        <v>0</v>
      </c>
      <c r="BK70" s="172">
        <f>COUNTIF(SEMANA29[Columna2772],BH70)</f>
        <v>0</v>
      </c>
      <c r="BL70" s="426">
        <f t="shared" si="46"/>
        <v>0</v>
      </c>
      <c r="BM70" s="173">
        <v>5</v>
      </c>
      <c r="BN70" s="172">
        <f>(COUNTIF(SEMANA29[Columna280],BM70)*3)</f>
        <v>0</v>
      </c>
      <c r="BO70" s="172">
        <f>(COUNTIF(SEMANA29[Columna281],BM70)*2)</f>
        <v>0</v>
      </c>
      <c r="BP70" s="172">
        <f>COUNTIF(SEMANA29[Columna2812],BM70)</f>
        <v>0</v>
      </c>
      <c r="BQ70" s="109">
        <f t="shared" si="47"/>
        <v>0</v>
      </c>
      <c r="BR70" s="171">
        <v>9</v>
      </c>
      <c r="BS70" s="108">
        <f>(COUNTIF(SEMANA29[Columna2802],BR70)*3)</f>
        <v>0</v>
      </c>
      <c r="BT70" s="172">
        <f>(COUNTIF(SEMANA29[Columna2813],BR70)*2)</f>
        <v>0</v>
      </c>
      <c r="BU70" s="423">
        <f>COUNTIF(SEMANA29[Columna28124],BR70)</f>
        <v>0</v>
      </c>
      <c r="BV70" s="109">
        <f t="shared" si="48"/>
        <v>0</v>
      </c>
      <c r="BW70" s="173">
        <v>9</v>
      </c>
      <c r="BX70" s="108">
        <f>(COUNTIF(SEMANA29[Columna2803],BW70)*3)</f>
        <v>0</v>
      </c>
      <c r="BY70" s="172">
        <f>(COUNTIF(SEMANA29[Columna2814],BW70)*2)</f>
        <v>0</v>
      </c>
      <c r="BZ70" s="423">
        <f>COUNTIF(SEMANA29[Columna28125],BW70)</f>
        <v>0</v>
      </c>
      <c r="CA70" s="109">
        <f t="shared" si="49"/>
        <v>0</v>
      </c>
      <c r="CB70" s="173">
        <v>9</v>
      </c>
      <c r="CC70" s="108">
        <f>(COUNTIF(SEMANA29[Columna2804],CB70)*3)</f>
        <v>0</v>
      </c>
      <c r="CD70" s="172">
        <f>(COUNTIF(SEMANA29[Columna2815],CB70)*2)</f>
        <v>0</v>
      </c>
      <c r="CE70" s="423">
        <f>COUNTIF(SEMANA29[Columna28126],CB70)</f>
        <v>0</v>
      </c>
      <c r="CF70" s="109">
        <f t="shared" si="50"/>
        <v>0</v>
      </c>
      <c r="CG70" s="103"/>
      <c r="CH70" s="103"/>
      <c r="DP70" s="388"/>
      <c r="DQ70" s="388"/>
      <c r="DR70" s="388"/>
      <c r="EH70" s="388"/>
      <c r="EI70" s="388"/>
      <c r="EJ70" s="388"/>
    </row>
    <row r="71" spans="2:140" ht="27.95" customHeight="1" x14ac:dyDescent="0.4">
      <c r="B71" s="102"/>
      <c r="C71" s="103"/>
      <c r="D71" s="103"/>
      <c r="E71" s="171">
        <v>5</v>
      </c>
      <c r="F71" s="108">
        <f>(COUNTIF(SEMANA29[1],E71)*3)</f>
        <v>0</v>
      </c>
      <c r="G71" s="172">
        <f>(COUNTIF(SEMANA29[2],E71)*2)</f>
        <v>0</v>
      </c>
      <c r="H71" s="172">
        <f>COUNTIF(SEMANA29[22],E71)</f>
        <v>0</v>
      </c>
      <c r="I71" s="426">
        <f t="shared" si="35"/>
        <v>0</v>
      </c>
      <c r="J71" s="173">
        <v>10</v>
      </c>
      <c r="K71" s="172">
        <f>(COUNTIF(SEMANA29[12],J71)*3)</f>
        <v>0</v>
      </c>
      <c r="L71" s="172">
        <f>(COUNTIF(SEMANA29[Columna2],J71)*2)</f>
        <v>0</v>
      </c>
      <c r="M71" s="172">
        <f>COUNTIF(SEMANA29[Columna23],J71)</f>
        <v>0</v>
      </c>
      <c r="N71" s="426">
        <f t="shared" si="36"/>
        <v>0</v>
      </c>
      <c r="O71" s="173">
        <v>4</v>
      </c>
      <c r="P71" s="172">
        <f>(COUNTIF(SEMANA29[Columna4],O71)*3)</f>
        <v>0</v>
      </c>
      <c r="Q71" s="172">
        <f>(COUNTIF(SEMANA29[Columna5],O71)*2)</f>
        <v>0</v>
      </c>
      <c r="R71" s="172">
        <f>COUNTIF(SEMANA29[Columna53],O71)</f>
        <v>0</v>
      </c>
      <c r="S71" s="426">
        <f t="shared" si="37"/>
        <v>0</v>
      </c>
      <c r="T71" s="173">
        <v>2</v>
      </c>
      <c r="U71" s="172">
        <f>(COUNTIF(SEMANA29[Columna7],T71)*3)</f>
        <v>0</v>
      </c>
      <c r="V71" s="172">
        <f>(COUNTIF(SEMANA29[Columna8],T71)*2)</f>
        <v>0</v>
      </c>
      <c r="W71" s="172">
        <f>COUNTIF(SEMANA29[Columna83],T71)</f>
        <v>0</v>
      </c>
      <c r="X71" s="426">
        <f t="shared" si="38"/>
        <v>0</v>
      </c>
      <c r="Y71" s="173">
        <v>6</v>
      </c>
      <c r="Z71" s="172">
        <f>(COUNTIF(SEMANA29[Columna10],Y71)*3)</f>
        <v>0</v>
      </c>
      <c r="AA71" s="172">
        <f>(COUNTIF(SEMANA29[Columna11],Y71)*2)</f>
        <v>0</v>
      </c>
      <c r="AB71" s="172">
        <f>COUNTIF(SEMANA29[Columna113],Y71)</f>
        <v>0</v>
      </c>
      <c r="AC71" s="426">
        <f t="shared" si="39"/>
        <v>0</v>
      </c>
      <c r="AD71" s="173">
        <v>2</v>
      </c>
      <c r="AE71" s="172">
        <f>(COUNTIF(SEMANA29[1RA],AD71)*3)</f>
        <v>0</v>
      </c>
      <c r="AF71" s="172">
        <f>(COUNTIF(SEMANA29[2DA],AD71)*2)</f>
        <v>0</v>
      </c>
      <c r="AG71" s="172">
        <f>COUNTIF(SEMANA29[2DA2],AD71)</f>
        <v>0</v>
      </c>
      <c r="AH71" s="426">
        <f t="shared" si="40"/>
        <v>0</v>
      </c>
      <c r="AI71" s="173">
        <v>3</v>
      </c>
      <c r="AJ71" s="172">
        <f>(COUNTIF(SEMANA29[Columna16],AI71)*3)</f>
        <v>0</v>
      </c>
      <c r="AK71" s="172">
        <f>(COUNTIF(SEMANA29[Columna17],AI71)*2)</f>
        <v>0</v>
      </c>
      <c r="AL71" s="172">
        <f>COUNTIF(SEMANA29[Columna173],AI71)</f>
        <v>0</v>
      </c>
      <c r="AM71" s="426">
        <f t="shared" si="41"/>
        <v>0</v>
      </c>
      <c r="AN71" s="173">
        <v>7</v>
      </c>
      <c r="AO71" s="172">
        <f>(COUNTIF(SEMANA29[123],AN71)*3)</f>
        <v>0</v>
      </c>
      <c r="AP71" s="172">
        <f>(COUNTIF(SEMANA29[555],AN71)*2)</f>
        <v>0</v>
      </c>
      <c r="AQ71" s="172">
        <f>COUNTIF(SEMANA29[556],AN71)</f>
        <v>0</v>
      </c>
      <c r="AR71" s="426">
        <f t="shared" si="42"/>
        <v>0</v>
      </c>
      <c r="AS71" s="173">
        <v>5</v>
      </c>
      <c r="AT71" s="172">
        <f>(COUNTIF(SEMANA29[AAAA],AS71)*3)</f>
        <v>0</v>
      </c>
      <c r="AU71" s="172">
        <f>(COUNTIF(SEMANA29[BBBB],AS71)*2)</f>
        <v>0</v>
      </c>
      <c r="AV71" s="172">
        <f>COUNTIF(SEMANA29[Columna13],AS71)</f>
        <v>0</v>
      </c>
      <c r="AW71" s="426">
        <f t="shared" si="43"/>
        <v>0</v>
      </c>
      <c r="AX71" s="173">
        <v>7</v>
      </c>
      <c r="AY71" s="172">
        <f>(COUNTIF(SEMANA29[Columna25],AX71)*3)</f>
        <v>0</v>
      </c>
      <c r="AZ71" s="172">
        <f>(COUNTIF(SEMANA29[Columna26],AX71)*2)</f>
        <v>0</v>
      </c>
      <c r="BA71" s="172">
        <f>COUNTIF(SEMANA29[Columna263],AX71)</f>
        <v>0</v>
      </c>
      <c r="BB71" s="426">
        <f t="shared" si="44"/>
        <v>0</v>
      </c>
      <c r="BC71" s="173">
        <v>4</v>
      </c>
      <c r="BD71" s="172">
        <f>(COUNTIF(SEMANA29[Columna272],BC71)*3)</f>
        <v>0</v>
      </c>
      <c r="BE71" s="172">
        <f>(COUNTIF(SEMANA29[Columna273],BC71)*2)</f>
        <v>0</v>
      </c>
      <c r="BF71" s="172">
        <f>COUNTIF(SEMANA29[Columna2732],BC71)</f>
        <v>0</v>
      </c>
      <c r="BG71" s="426">
        <f t="shared" si="45"/>
        <v>0</v>
      </c>
      <c r="BH71" s="173">
        <v>4</v>
      </c>
      <c r="BI71" s="172">
        <f>(COUNTIF(SEMANA29[Columna276],BH71)*3)</f>
        <v>0</v>
      </c>
      <c r="BJ71" s="172">
        <f>(COUNTIF(SEMANA29[Columna277],BH71)*2)</f>
        <v>0</v>
      </c>
      <c r="BK71" s="172">
        <f>COUNTIF(SEMANA29[Columna2772],BH71)</f>
        <v>0</v>
      </c>
      <c r="BL71" s="426">
        <f t="shared" si="46"/>
        <v>0</v>
      </c>
      <c r="BM71" s="173">
        <v>2</v>
      </c>
      <c r="BN71" s="172">
        <f>(COUNTIF(SEMANA29[Columna280],BM71)*3)</f>
        <v>0</v>
      </c>
      <c r="BO71" s="172">
        <f>(COUNTIF(SEMANA29[Columna281],BM71)*2)</f>
        <v>0</v>
      </c>
      <c r="BP71" s="172">
        <f>COUNTIF(SEMANA29[Columna2812],BM71)</f>
        <v>0</v>
      </c>
      <c r="BQ71" s="109">
        <f t="shared" si="47"/>
        <v>0</v>
      </c>
      <c r="BR71" s="171">
        <v>7</v>
      </c>
      <c r="BS71" s="108">
        <f>(COUNTIF(SEMANA29[Columna2802],BR71)*3)</f>
        <v>0</v>
      </c>
      <c r="BT71" s="172">
        <f>(COUNTIF(SEMANA29[Columna2813],BR71)*2)</f>
        <v>0</v>
      </c>
      <c r="BU71" s="423">
        <f>COUNTIF(SEMANA29[Columna28124],BR71)</f>
        <v>0</v>
      </c>
      <c r="BV71" s="109">
        <f t="shared" si="48"/>
        <v>0</v>
      </c>
      <c r="BW71" s="173">
        <v>10</v>
      </c>
      <c r="BX71" s="108">
        <f>(COUNTIF(SEMANA29[Columna2803],BW71)*3)</f>
        <v>0</v>
      </c>
      <c r="BY71" s="172">
        <f>(COUNTIF(SEMANA29[Columna2814],BW71)*2)</f>
        <v>0</v>
      </c>
      <c r="BZ71" s="423">
        <f>COUNTIF(SEMANA29[Columna28125],BW71)</f>
        <v>0</v>
      </c>
      <c r="CA71" s="109">
        <f t="shared" si="49"/>
        <v>0</v>
      </c>
      <c r="CB71" s="173">
        <v>10</v>
      </c>
      <c r="CC71" s="108">
        <f>(COUNTIF(SEMANA29[Columna2804],CB71)*3)</f>
        <v>0</v>
      </c>
      <c r="CD71" s="172">
        <f>(COUNTIF(SEMANA29[Columna2815],CB71)*2)</f>
        <v>0</v>
      </c>
      <c r="CE71" s="423">
        <f>COUNTIF(SEMANA29[Columna28126],CB71)</f>
        <v>0</v>
      </c>
      <c r="CF71" s="109">
        <f t="shared" si="50"/>
        <v>0</v>
      </c>
      <c r="CG71" s="103"/>
      <c r="CH71" s="103"/>
      <c r="DP71" s="388"/>
      <c r="DQ71" s="388"/>
      <c r="DR71" s="388"/>
      <c r="EH71" s="388"/>
      <c r="EI71" s="388"/>
      <c r="EJ71" s="388"/>
    </row>
    <row r="72" spans="2:140" ht="27.95" customHeight="1" x14ac:dyDescent="0.4">
      <c r="B72" s="102"/>
      <c r="C72" s="103"/>
      <c r="D72" s="103"/>
      <c r="E72" s="171">
        <v>8</v>
      </c>
      <c r="F72" s="108">
        <f>(COUNTIF(SEMANA29[1],E72)*3)</f>
        <v>0</v>
      </c>
      <c r="G72" s="172">
        <f>(COUNTIF(SEMANA29[2],E72)*2)</f>
        <v>0</v>
      </c>
      <c r="H72" s="172">
        <f>COUNTIF(SEMANA29[22],E72)</f>
        <v>0</v>
      </c>
      <c r="I72" s="426">
        <f t="shared" si="35"/>
        <v>0</v>
      </c>
      <c r="J72" s="173">
        <v>5</v>
      </c>
      <c r="K72" s="172">
        <f>(COUNTIF(SEMANA29[12],J72)*3)</f>
        <v>0</v>
      </c>
      <c r="L72" s="172">
        <f>(COUNTIF(SEMANA29[Columna2],J72)*2)</f>
        <v>0</v>
      </c>
      <c r="M72" s="172">
        <f>COUNTIF(SEMANA29[Columna23],J72)</f>
        <v>0</v>
      </c>
      <c r="N72" s="426">
        <f t="shared" si="36"/>
        <v>0</v>
      </c>
      <c r="O72" s="173">
        <v>9</v>
      </c>
      <c r="P72" s="172">
        <f>(COUNTIF(SEMANA29[Columna4],O72)*3)</f>
        <v>0</v>
      </c>
      <c r="Q72" s="172">
        <f>(COUNTIF(SEMANA29[Columna5],O72)*2)</f>
        <v>0</v>
      </c>
      <c r="R72" s="172">
        <f>COUNTIF(SEMANA29[Columna53],O72)</f>
        <v>0</v>
      </c>
      <c r="S72" s="426">
        <f t="shared" si="37"/>
        <v>0</v>
      </c>
      <c r="T72" s="173">
        <v>6</v>
      </c>
      <c r="U72" s="172">
        <f>(COUNTIF(SEMANA29[Columna7],T72)*3)</f>
        <v>0</v>
      </c>
      <c r="V72" s="172">
        <f>(COUNTIF(SEMANA29[Columna8],T72)*2)</f>
        <v>0</v>
      </c>
      <c r="W72" s="172">
        <f>COUNTIF(SEMANA29[Columna83],T72)</f>
        <v>0</v>
      </c>
      <c r="X72" s="426">
        <f t="shared" si="38"/>
        <v>0</v>
      </c>
      <c r="Y72" s="173">
        <v>3</v>
      </c>
      <c r="Z72" s="172">
        <f>(COUNTIF(SEMANA29[Columna10],Y72)*3)</f>
        <v>0</v>
      </c>
      <c r="AA72" s="172">
        <f>(COUNTIF(SEMANA29[Columna11],Y72)*2)</f>
        <v>0</v>
      </c>
      <c r="AB72" s="172">
        <f>COUNTIF(SEMANA29[Columna113],Y72)</f>
        <v>0</v>
      </c>
      <c r="AC72" s="426">
        <f t="shared" si="39"/>
        <v>0</v>
      </c>
      <c r="AD72" s="173">
        <v>6</v>
      </c>
      <c r="AE72" s="172">
        <f>(COUNTIF(SEMANA29[1RA],AD72)*3)</f>
        <v>0</v>
      </c>
      <c r="AF72" s="172">
        <f>(COUNTIF(SEMANA29[2DA],AD72)*2)</f>
        <v>0</v>
      </c>
      <c r="AG72" s="172">
        <f>COUNTIF(SEMANA29[2DA2],AD72)</f>
        <v>0</v>
      </c>
      <c r="AH72" s="426">
        <f t="shared" si="40"/>
        <v>0</v>
      </c>
      <c r="AI72" s="173">
        <v>1</v>
      </c>
      <c r="AJ72" s="172">
        <f>(COUNTIF(SEMANA29[Columna16],AI72)*3)</f>
        <v>0</v>
      </c>
      <c r="AK72" s="172">
        <f>(COUNTIF(SEMANA29[Columna17],AI72)*2)</f>
        <v>0</v>
      </c>
      <c r="AL72" s="172">
        <f>COUNTIF(SEMANA29[Columna173],AI72)</f>
        <v>0</v>
      </c>
      <c r="AM72" s="426">
        <f t="shared" si="41"/>
        <v>0</v>
      </c>
      <c r="AN72" s="173">
        <v>3</v>
      </c>
      <c r="AO72" s="172">
        <f>(COUNTIF(SEMANA29[123],AN72)*3)</f>
        <v>0</v>
      </c>
      <c r="AP72" s="172">
        <f>(COUNTIF(SEMANA29[555],AN72)*2)</f>
        <v>0</v>
      </c>
      <c r="AQ72" s="172">
        <f>COUNTIF(SEMANA29[556],AN72)</f>
        <v>0</v>
      </c>
      <c r="AR72" s="426">
        <f t="shared" si="42"/>
        <v>0</v>
      </c>
      <c r="AS72" s="173">
        <v>6</v>
      </c>
      <c r="AT72" s="172">
        <f>(COUNTIF(SEMANA29[AAAA],AS72)*3)</f>
        <v>0</v>
      </c>
      <c r="AU72" s="172">
        <f>(COUNTIF(SEMANA29[BBBB],AS72)*2)</f>
        <v>0</v>
      </c>
      <c r="AV72" s="172">
        <f>COUNTIF(SEMANA29[Columna13],AS72)</f>
        <v>0</v>
      </c>
      <c r="AW72" s="426">
        <f t="shared" si="43"/>
        <v>0</v>
      </c>
      <c r="AX72" s="173">
        <v>4</v>
      </c>
      <c r="AY72" s="172">
        <f>(COUNTIF(SEMANA29[Columna25],AX72)*3)</f>
        <v>0</v>
      </c>
      <c r="AZ72" s="172">
        <f>(COUNTIF(SEMANA29[Columna26],AX72)*2)</f>
        <v>0</v>
      </c>
      <c r="BA72" s="172">
        <f>COUNTIF(SEMANA29[Columna263],AX72)</f>
        <v>0</v>
      </c>
      <c r="BB72" s="426">
        <f t="shared" si="44"/>
        <v>0</v>
      </c>
      <c r="BC72" s="173">
        <v>1</v>
      </c>
      <c r="BD72" s="172">
        <f>(COUNTIF(SEMANA29[Columna272],BC72)*3)</f>
        <v>0</v>
      </c>
      <c r="BE72" s="172">
        <f>(COUNTIF(SEMANA29[Columna273],BC72)*2)</f>
        <v>0</v>
      </c>
      <c r="BF72" s="172">
        <f>COUNTIF(SEMANA29[Columna2732],BC72)</f>
        <v>0</v>
      </c>
      <c r="BG72" s="426">
        <f t="shared" si="45"/>
        <v>0</v>
      </c>
      <c r="BH72" s="173">
        <v>7</v>
      </c>
      <c r="BI72" s="172">
        <f>(COUNTIF(SEMANA29[Columna276],BH72)*3)</f>
        <v>0</v>
      </c>
      <c r="BJ72" s="172">
        <f>(COUNTIF(SEMANA29[Columna277],BH72)*2)</f>
        <v>0</v>
      </c>
      <c r="BK72" s="172">
        <f>COUNTIF(SEMANA29[Columna2772],BH72)</f>
        <v>0</v>
      </c>
      <c r="BL72" s="426">
        <f t="shared" si="46"/>
        <v>0</v>
      </c>
      <c r="BM72" s="173">
        <v>8</v>
      </c>
      <c r="BN72" s="172">
        <f>(COUNTIF(SEMANA29[Columna280],BM72)*3)</f>
        <v>0</v>
      </c>
      <c r="BO72" s="172">
        <f>(COUNTIF(SEMANA29[Columna281],BM72)*2)</f>
        <v>0</v>
      </c>
      <c r="BP72" s="172">
        <f>COUNTIF(SEMANA29[Columna2812],BM72)</f>
        <v>0</v>
      </c>
      <c r="BQ72" s="109">
        <f t="shared" si="47"/>
        <v>0</v>
      </c>
      <c r="BR72" s="171">
        <v>10</v>
      </c>
      <c r="BS72" s="108">
        <f>(COUNTIF(SEMANA29[Columna2802],BR72)*3)</f>
        <v>0</v>
      </c>
      <c r="BT72" s="172">
        <f>(COUNTIF(SEMANA29[Columna2813],BR72)*2)</f>
        <v>0</v>
      </c>
      <c r="BU72" s="423">
        <f>COUNTIF(SEMANA29[Columna28124],BR72)</f>
        <v>0</v>
      </c>
      <c r="BV72" s="109">
        <f t="shared" si="48"/>
        <v>0</v>
      </c>
      <c r="BW72" s="173">
        <v>5</v>
      </c>
      <c r="BX72" s="108">
        <f>(COUNTIF(SEMANA29[Columna2803],BW72)*3)</f>
        <v>0</v>
      </c>
      <c r="BY72" s="172">
        <f>(COUNTIF(SEMANA29[Columna2814],BW72)*2)</f>
        <v>0</v>
      </c>
      <c r="BZ72" s="423">
        <f>COUNTIF(SEMANA29[Columna28125],BW72)</f>
        <v>0</v>
      </c>
      <c r="CA72" s="109">
        <f t="shared" si="49"/>
        <v>0</v>
      </c>
      <c r="CB72" s="173">
        <v>5</v>
      </c>
      <c r="CC72" s="108">
        <f>(COUNTIF(SEMANA29[Columna2804],CB72)*3)</f>
        <v>0</v>
      </c>
      <c r="CD72" s="172">
        <f>(COUNTIF(SEMANA29[Columna2815],CB72)*2)</f>
        <v>0</v>
      </c>
      <c r="CE72" s="423">
        <f>COUNTIF(SEMANA29[Columna28126],CB72)</f>
        <v>0</v>
      </c>
      <c r="CF72" s="109">
        <f t="shared" si="50"/>
        <v>0</v>
      </c>
      <c r="CG72" s="103"/>
      <c r="CH72" s="103"/>
      <c r="DP72" s="388"/>
      <c r="DQ72" s="388"/>
      <c r="DR72" s="388"/>
      <c r="EH72" s="388"/>
      <c r="EI72" s="388"/>
      <c r="EJ72" s="388"/>
    </row>
    <row r="73" spans="2:140" ht="27.95" customHeight="1" x14ac:dyDescent="0.4">
      <c r="B73" s="102"/>
      <c r="C73" s="103"/>
      <c r="D73" s="103"/>
      <c r="E73" s="171">
        <v>1</v>
      </c>
      <c r="F73" s="108">
        <f>(COUNTIF(SEMANA29[1],E73)*3)</f>
        <v>0</v>
      </c>
      <c r="G73" s="172">
        <f>(COUNTIF(SEMANA29[2],E73)*2)</f>
        <v>0</v>
      </c>
      <c r="H73" s="172">
        <f>COUNTIF(SEMANA29[22],E73)</f>
        <v>0</v>
      </c>
      <c r="I73" s="426">
        <f t="shared" si="35"/>
        <v>0</v>
      </c>
      <c r="J73" s="173">
        <v>9</v>
      </c>
      <c r="K73" s="172">
        <f>(COUNTIF(SEMANA29[12],J73)*3)</f>
        <v>0</v>
      </c>
      <c r="L73" s="172">
        <f>(COUNTIF(SEMANA29[Columna2],J73)*2)</f>
        <v>0</v>
      </c>
      <c r="M73" s="172">
        <f>COUNTIF(SEMANA29[Columna23],J73)</f>
        <v>0</v>
      </c>
      <c r="N73" s="426">
        <f t="shared" si="36"/>
        <v>0</v>
      </c>
      <c r="O73" s="173">
        <v>10</v>
      </c>
      <c r="P73" s="172">
        <f>(COUNTIF(SEMANA29[Columna4],O73)*3)</f>
        <v>0</v>
      </c>
      <c r="Q73" s="172">
        <f>(COUNTIF(SEMANA29[Columna5],O73)*2)</f>
        <v>0</v>
      </c>
      <c r="R73" s="172">
        <f>COUNTIF(SEMANA29[Columna53],O73)</f>
        <v>0</v>
      </c>
      <c r="S73" s="426">
        <f t="shared" si="37"/>
        <v>0</v>
      </c>
      <c r="T73" s="173">
        <v>8</v>
      </c>
      <c r="U73" s="172">
        <f>(COUNTIF(SEMANA29[Columna7],T73)*3)</f>
        <v>0</v>
      </c>
      <c r="V73" s="172">
        <f>(COUNTIF(SEMANA29[Columna8],T73)*2)</f>
        <v>0</v>
      </c>
      <c r="W73" s="172">
        <f>COUNTIF(SEMANA29[Columna83],T73)</f>
        <v>0</v>
      </c>
      <c r="X73" s="426">
        <f t="shared" si="38"/>
        <v>0</v>
      </c>
      <c r="Y73" s="173">
        <v>10</v>
      </c>
      <c r="Z73" s="172">
        <f>(COUNTIF(SEMANA29[Columna10],Y73)*3)</f>
        <v>0</v>
      </c>
      <c r="AA73" s="172">
        <f>(COUNTIF(SEMANA29[Columna11],Y73)*2)</f>
        <v>0</v>
      </c>
      <c r="AB73" s="172">
        <f>COUNTIF(SEMANA29[Columna113],Y73)</f>
        <v>0</v>
      </c>
      <c r="AC73" s="426">
        <f t="shared" si="39"/>
        <v>0</v>
      </c>
      <c r="AD73" s="173">
        <v>8</v>
      </c>
      <c r="AE73" s="172">
        <f>(COUNTIF(SEMANA29[1RA],AD73)*3)</f>
        <v>0</v>
      </c>
      <c r="AF73" s="172">
        <f>(COUNTIF(SEMANA29[2DA],AD73)*2)</f>
        <v>0</v>
      </c>
      <c r="AG73" s="172">
        <f>COUNTIF(SEMANA29[2DA2],AD73)</f>
        <v>0</v>
      </c>
      <c r="AH73" s="426">
        <f t="shared" si="40"/>
        <v>0</v>
      </c>
      <c r="AI73" s="173">
        <v>4</v>
      </c>
      <c r="AJ73" s="172">
        <f>(COUNTIF(SEMANA29[Columna16],AI73)*3)</f>
        <v>0</v>
      </c>
      <c r="AK73" s="172">
        <f>(COUNTIF(SEMANA29[Columna17],AI73)*2)</f>
        <v>0</v>
      </c>
      <c r="AL73" s="172">
        <f>COUNTIF(SEMANA29[Columna173],AI73)</f>
        <v>0</v>
      </c>
      <c r="AM73" s="426">
        <f t="shared" si="41"/>
        <v>0</v>
      </c>
      <c r="AN73" s="173">
        <v>9</v>
      </c>
      <c r="AO73" s="172">
        <f>(COUNTIF(SEMANA29[123],AN73)*3)</f>
        <v>0</v>
      </c>
      <c r="AP73" s="172">
        <f>(COUNTIF(SEMANA29[555],AN73)*2)</f>
        <v>0</v>
      </c>
      <c r="AQ73" s="172">
        <f>COUNTIF(SEMANA29[556],AN73)</f>
        <v>0</v>
      </c>
      <c r="AR73" s="426">
        <f t="shared" si="42"/>
        <v>0</v>
      </c>
      <c r="AS73" s="173">
        <v>8</v>
      </c>
      <c r="AT73" s="172">
        <f>(COUNTIF(SEMANA29[AAAA],AS73)*3)</f>
        <v>0</v>
      </c>
      <c r="AU73" s="172">
        <f>(COUNTIF(SEMANA29[BBBB],AS73)*2)</f>
        <v>0</v>
      </c>
      <c r="AV73" s="172">
        <f>COUNTIF(SEMANA29[Columna13],AS73)</f>
        <v>0</v>
      </c>
      <c r="AW73" s="426">
        <f t="shared" si="43"/>
        <v>0</v>
      </c>
      <c r="AX73" s="173">
        <v>9</v>
      </c>
      <c r="AY73" s="172">
        <f>(COUNTIF(SEMANA29[Columna25],AX73)*3)</f>
        <v>0</v>
      </c>
      <c r="AZ73" s="172">
        <f>(COUNTIF(SEMANA29[Columna26],AX73)*2)</f>
        <v>0</v>
      </c>
      <c r="BA73" s="172">
        <f>COUNTIF(SEMANA29[Columna263],AX73)</f>
        <v>0</v>
      </c>
      <c r="BB73" s="426">
        <f t="shared" si="44"/>
        <v>0</v>
      </c>
      <c r="BC73" s="173">
        <v>8</v>
      </c>
      <c r="BD73" s="172">
        <f>(COUNTIF(SEMANA29[Columna272],BC73)*3)</f>
        <v>0</v>
      </c>
      <c r="BE73" s="172">
        <f>(COUNTIF(SEMANA29[Columna273],BC73)*2)</f>
        <v>0</v>
      </c>
      <c r="BF73" s="172">
        <f>COUNTIF(SEMANA29[Columna2732],BC73)</f>
        <v>0</v>
      </c>
      <c r="BG73" s="426">
        <f t="shared" si="45"/>
        <v>0</v>
      </c>
      <c r="BH73" s="173">
        <v>9</v>
      </c>
      <c r="BI73" s="172">
        <f>(COUNTIF(SEMANA29[Columna276],BH73)*3)</f>
        <v>0</v>
      </c>
      <c r="BJ73" s="172">
        <f>(COUNTIF(SEMANA29[Columna277],BH73)*2)</f>
        <v>0</v>
      </c>
      <c r="BK73" s="172">
        <f>COUNTIF(SEMANA29[Columna2772],BH73)</f>
        <v>0</v>
      </c>
      <c r="BL73" s="426">
        <f t="shared" si="46"/>
        <v>0</v>
      </c>
      <c r="BM73" s="173">
        <v>6</v>
      </c>
      <c r="BN73" s="172">
        <f>(COUNTIF(SEMANA29[Columna280],BM73)*3)</f>
        <v>0</v>
      </c>
      <c r="BO73" s="172">
        <f>(COUNTIF(SEMANA29[Columna281],BM73)*2)</f>
        <v>0</v>
      </c>
      <c r="BP73" s="172">
        <f>COUNTIF(SEMANA29[Columna2812],BM73)</f>
        <v>0</v>
      </c>
      <c r="BQ73" s="109">
        <f t="shared" si="47"/>
        <v>0</v>
      </c>
      <c r="BR73" s="171">
        <v>3</v>
      </c>
      <c r="BS73" s="108">
        <f>(COUNTIF(SEMANA29[Columna2802],BR73)*3)</f>
        <v>0</v>
      </c>
      <c r="BT73" s="172">
        <f>(COUNTIF(SEMANA29[Columna2813],BR73)*2)</f>
        <v>0</v>
      </c>
      <c r="BU73" s="423">
        <f>COUNTIF(SEMANA29[Columna28124],BR73)</f>
        <v>0</v>
      </c>
      <c r="BV73" s="109">
        <f t="shared" si="48"/>
        <v>0</v>
      </c>
      <c r="BW73" s="173">
        <v>13</v>
      </c>
      <c r="BX73" s="108">
        <f>(COUNTIF(SEMANA29[Columna2803],BW73)*3)</f>
        <v>0</v>
      </c>
      <c r="BY73" s="172">
        <f>(COUNTIF(SEMANA29[Columna2814],BW73)*2)</f>
        <v>0</v>
      </c>
      <c r="BZ73" s="423">
        <f>COUNTIF(SEMANA29[Columna28125],BW73)</f>
        <v>0</v>
      </c>
      <c r="CA73" s="109">
        <f t="shared" si="49"/>
        <v>0</v>
      </c>
      <c r="CB73" s="173">
        <v>13</v>
      </c>
      <c r="CC73" s="108">
        <f>(COUNTIF(SEMANA29[Columna2804],CB73)*3)</f>
        <v>0</v>
      </c>
      <c r="CD73" s="172">
        <f>(COUNTIF(SEMANA29[Columna2815],CB73)*2)</f>
        <v>0</v>
      </c>
      <c r="CE73" s="423">
        <f>COUNTIF(SEMANA29[Columna28126],CB73)</f>
        <v>0</v>
      </c>
      <c r="CF73" s="109">
        <f t="shared" si="50"/>
        <v>0</v>
      </c>
      <c r="CG73" s="103"/>
      <c r="CH73" s="103"/>
      <c r="DP73" s="388"/>
      <c r="DQ73" s="388"/>
      <c r="DR73" s="388"/>
      <c r="EH73" s="388"/>
      <c r="EI73" s="388"/>
      <c r="EJ73" s="388"/>
    </row>
    <row r="74" spans="2:140" ht="27.95" customHeight="1" x14ac:dyDescent="0.4">
      <c r="B74" s="102"/>
      <c r="C74" s="103"/>
      <c r="D74" s="103"/>
      <c r="E74" s="171">
        <v>7</v>
      </c>
      <c r="F74" s="108">
        <f>(COUNTIF(SEMANA29[1],E74)*3)</f>
        <v>0</v>
      </c>
      <c r="G74" s="172">
        <f>(COUNTIF(SEMANA29[2],E74)*2)</f>
        <v>0</v>
      </c>
      <c r="H74" s="172">
        <f>COUNTIF(SEMANA29[22],E74)</f>
        <v>0</v>
      </c>
      <c r="I74" s="426">
        <f t="shared" si="35"/>
        <v>0</v>
      </c>
      <c r="J74" s="173">
        <v>8</v>
      </c>
      <c r="K74" s="172">
        <f>(COUNTIF(SEMANA29[12],J74)*3)</f>
        <v>0</v>
      </c>
      <c r="L74" s="172">
        <f>(COUNTIF(SEMANA29[Columna2],J74)*2)</f>
        <v>0</v>
      </c>
      <c r="M74" s="172">
        <f>COUNTIF(SEMANA29[Columna23],J74)</f>
        <v>0</v>
      </c>
      <c r="N74" s="426">
        <f t="shared" si="36"/>
        <v>0</v>
      </c>
      <c r="O74" s="173">
        <v>6</v>
      </c>
      <c r="P74" s="172">
        <f>(COUNTIF(SEMANA29[Columna4],O74)*3)</f>
        <v>0</v>
      </c>
      <c r="Q74" s="172">
        <f>(COUNTIF(SEMANA29[Columna5],O74)*2)</f>
        <v>0</v>
      </c>
      <c r="R74" s="172">
        <f>COUNTIF(SEMANA29[Columna53],O74)</f>
        <v>0</v>
      </c>
      <c r="S74" s="426">
        <f t="shared" si="37"/>
        <v>0</v>
      </c>
      <c r="T74" s="173">
        <v>9</v>
      </c>
      <c r="U74" s="172">
        <f>(COUNTIF(SEMANA29[Columna7],T74)*3)</f>
        <v>0</v>
      </c>
      <c r="V74" s="172">
        <f>(COUNTIF(SEMANA29[Columna8],T74)*2)</f>
        <v>0</v>
      </c>
      <c r="W74" s="172">
        <f>COUNTIF(SEMANA29[Columna83],T74)</f>
        <v>0</v>
      </c>
      <c r="X74" s="426">
        <f t="shared" si="38"/>
        <v>0</v>
      </c>
      <c r="Y74" s="173">
        <v>8</v>
      </c>
      <c r="Z74" s="172">
        <f>(COUNTIF(SEMANA29[Columna10],Y74)*3)</f>
        <v>0</v>
      </c>
      <c r="AA74" s="172">
        <f>(COUNTIF(SEMANA29[Columna11],Y74)*2)</f>
        <v>0</v>
      </c>
      <c r="AB74" s="172">
        <f>COUNTIF(SEMANA29[Columna113],Y74)</f>
        <v>0</v>
      </c>
      <c r="AC74" s="426">
        <f t="shared" si="39"/>
        <v>0</v>
      </c>
      <c r="AD74" s="173">
        <v>9</v>
      </c>
      <c r="AE74" s="172">
        <f>(COUNTIF(SEMANA29[1RA],AD74)*3)</f>
        <v>0</v>
      </c>
      <c r="AF74" s="172">
        <f>(COUNTIF(SEMANA29[2DA],AD74)*2)</f>
        <v>0</v>
      </c>
      <c r="AG74" s="172">
        <f>COUNTIF(SEMANA29[2DA2],AD74)</f>
        <v>0</v>
      </c>
      <c r="AH74" s="426">
        <f t="shared" si="40"/>
        <v>0</v>
      </c>
      <c r="AI74" s="173">
        <v>10</v>
      </c>
      <c r="AJ74" s="172">
        <f>(COUNTIF(SEMANA29[Columna16],AI74)*3)</f>
        <v>0</v>
      </c>
      <c r="AK74" s="172">
        <f>(COUNTIF(SEMANA29[Columna17],AI74)*2)</f>
        <v>0</v>
      </c>
      <c r="AL74" s="172">
        <f>COUNTIF(SEMANA29[Columna173],AI74)</f>
        <v>0</v>
      </c>
      <c r="AM74" s="426">
        <f t="shared" si="41"/>
        <v>0</v>
      </c>
      <c r="AN74" s="173">
        <v>11</v>
      </c>
      <c r="AO74" s="172">
        <f>(COUNTIF(SEMANA29[123],AN74)*3)</f>
        <v>0</v>
      </c>
      <c r="AP74" s="172">
        <f>(COUNTIF(SEMANA29[555],AN74)*2)</f>
        <v>0</v>
      </c>
      <c r="AQ74" s="172">
        <f>COUNTIF(SEMANA29[556],AN74)</f>
        <v>0</v>
      </c>
      <c r="AR74" s="426">
        <f t="shared" si="42"/>
        <v>0</v>
      </c>
      <c r="AS74" s="173">
        <v>7</v>
      </c>
      <c r="AT74" s="172">
        <f>(COUNTIF(SEMANA29[AAAA],AS74)*3)</f>
        <v>0</v>
      </c>
      <c r="AU74" s="172">
        <f>(COUNTIF(SEMANA29[BBBB],AS74)*2)</f>
        <v>0</v>
      </c>
      <c r="AV74" s="172">
        <f>COUNTIF(SEMANA29[Columna13],AS74)</f>
        <v>0</v>
      </c>
      <c r="AW74" s="426">
        <f t="shared" si="43"/>
        <v>0</v>
      </c>
      <c r="AX74" s="173">
        <v>3</v>
      </c>
      <c r="AY74" s="172">
        <f>(COUNTIF(SEMANA29[Columna25],AX74)*3)</f>
        <v>0</v>
      </c>
      <c r="AZ74" s="172">
        <f>(COUNTIF(SEMANA29[Columna26],AX74)*2)</f>
        <v>0</v>
      </c>
      <c r="BA74" s="172">
        <f>COUNTIF(SEMANA29[Columna263],AX74)</f>
        <v>0</v>
      </c>
      <c r="BB74" s="426">
        <f t="shared" si="44"/>
        <v>0</v>
      </c>
      <c r="BC74" s="173">
        <v>11</v>
      </c>
      <c r="BD74" s="172">
        <f>(COUNTIF(SEMANA29[Columna272],BC74)*3)</f>
        <v>0</v>
      </c>
      <c r="BE74" s="172">
        <f>(COUNTIF(SEMANA29[Columna273],BC74)*2)</f>
        <v>0</v>
      </c>
      <c r="BF74" s="172">
        <f>COUNTIF(SEMANA29[Columna2732],BC74)</f>
        <v>0</v>
      </c>
      <c r="BG74" s="426">
        <f t="shared" si="45"/>
        <v>0</v>
      </c>
      <c r="BH74" s="173">
        <v>3</v>
      </c>
      <c r="BI74" s="172">
        <f>(COUNTIF(SEMANA29[Columna276],BH74)*3)</f>
        <v>0</v>
      </c>
      <c r="BJ74" s="172">
        <f>(COUNTIF(SEMANA29[Columna277],BH74)*2)</f>
        <v>0</v>
      </c>
      <c r="BK74" s="172">
        <f>COUNTIF(SEMANA29[Columna2772],BH74)</f>
        <v>0</v>
      </c>
      <c r="BL74" s="426">
        <f t="shared" si="46"/>
        <v>0</v>
      </c>
      <c r="BM74" s="173">
        <v>12</v>
      </c>
      <c r="BN74" s="172">
        <f>(COUNTIF(SEMANA29[Columna280],BM74)*3)</f>
        <v>0</v>
      </c>
      <c r="BO74" s="172">
        <f>(COUNTIF(SEMANA29[Columna281],BM74)*2)</f>
        <v>0</v>
      </c>
      <c r="BP74" s="172">
        <f>COUNTIF(SEMANA29[Columna2812],BM74)</f>
        <v>0</v>
      </c>
      <c r="BQ74" s="109">
        <f t="shared" si="47"/>
        <v>0</v>
      </c>
      <c r="BR74" s="171">
        <v>12</v>
      </c>
      <c r="BS74" s="108">
        <f>(COUNTIF(SEMANA29[Columna2802],BR74)*3)</f>
        <v>0</v>
      </c>
      <c r="BT74" s="172">
        <f>(COUNTIF(SEMANA29[Columna2813],BR74)*2)</f>
        <v>0</v>
      </c>
      <c r="BU74" s="423">
        <f>COUNTIF(SEMANA29[Columna28124],BR74)</f>
        <v>0</v>
      </c>
      <c r="BV74" s="109">
        <f t="shared" si="48"/>
        <v>0</v>
      </c>
      <c r="BW74" s="173">
        <v>4</v>
      </c>
      <c r="BX74" s="108">
        <f>(COUNTIF(SEMANA29[Columna2803],BW74)*3)</f>
        <v>0</v>
      </c>
      <c r="BY74" s="172">
        <f>(COUNTIF(SEMANA29[Columna2814],BW74)*2)</f>
        <v>0</v>
      </c>
      <c r="BZ74" s="423">
        <f>COUNTIF(SEMANA29[Columna28125],BW74)</f>
        <v>0</v>
      </c>
      <c r="CA74" s="109">
        <f t="shared" si="49"/>
        <v>0</v>
      </c>
      <c r="CB74" s="173">
        <v>4</v>
      </c>
      <c r="CC74" s="108">
        <f>(COUNTIF(SEMANA29[Columna2804],CB74)*3)</f>
        <v>0</v>
      </c>
      <c r="CD74" s="172">
        <f>(COUNTIF(SEMANA29[Columna2815],CB74)*2)</f>
        <v>0</v>
      </c>
      <c r="CE74" s="423">
        <f>COUNTIF(SEMANA29[Columna28126],CB74)</f>
        <v>0</v>
      </c>
      <c r="CF74" s="109">
        <f t="shared" si="50"/>
        <v>0</v>
      </c>
      <c r="CG74" s="103"/>
      <c r="CH74" s="103"/>
      <c r="CY74" s="110"/>
      <c r="DB74" s="110"/>
      <c r="DC74" s="110"/>
      <c r="DD74" s="110"/>
      <c r="DE74" s="110"/>
      <c r="DF74" s="110"/>
      <c r="DG74" s="110"/>
      <c r="DH74" s="110"/>
      <c r="DI74" s="110"/>
      <c r="DJ74" s="110"/>
      <c r="DK74" s="110"/>
      <c r="DL74" s="110"/>
      <c r="DM74" s="110"/>
      <c r="DN74" s="110"/>
      <c r="DO74" s="110"/>
      <c r="DP74" s="391"/>
      <c r="DQ74" s="391"/>
      <c r="DR74" s="391"/>
      <c r="EH74" s="388"/>
      <c r="EI74" s="388"/>
      <c r="EJ74" s="388"/>
    </row>
    <row r="75" spans="2:140" s="110" customFormat="1" ht="27.95" customHeight="1" x14ac:dyDescent="0.4">
      <c r="B75" s="102"/>
      <c r="C75" s="103"/>
      <c r="D75" s="103"/>
      <c r="E75" s="171">
        <v>10</v>
      </c>
      <c r="F75" s="108">
        <f>(COUNTIF(SEMANA29[1],E75)*3)</f>
        <v>0</v>
      </c>
      <c r="G75" s="172">
        <f>(COUNTIF(SEMANA29[2],E75)*2)</f>
        <v>0</v>
      </c>
      <c r="H75" s="172">
        <f>COUNTIF(SEMANA29[22],E75)</f>
        <v>0</v>
      </c>
      <c r="I75" s="426">
        <f t="shared" si="35"/>
        <v>0</v>
      </c>
      <c r="J75" s="173">
        <v>3</v>
      </c>
      <c r="K75" s="172">
        <f>(COUNTIF(SEMANA29[12],J75)*3)</f>
        <v>0</v>
      </c>
      <c r="L75" s="172">
        <f>(COUNTIF(SEMANA29[Columna2],J75)*2)</f>
        <v>0</v>
      </c>
      <c r="M75" s="172">
        <f>COUNTIF(SEMANA29[Columna23],J75)</f>
        <v>0</v>
      </c>
      <c r="N75" s="426">
        <f t="shared" si="36"/>
        <v>0</v>
      </c>
      <c r="O75" s="173">
        <v>2</v>
      </c>
      <c r="P75" s="172">
        <f>(COUNTIF(SEMANA29[Columna4],O75)*3)</f>
        <v>0</v>
      </c>
      <c r="Q75" s="172">
        <f>(COUNTIF(SEMANA29[Columna5],O75)*2)</f>
        <v>0</v>
      </c>
      <c r="R75" s="172">
        <f>COUNTIF(SEMANA29[Columna53],O75)</f>
        <v>0</v>
      </c>
      <c r="S75" s="426">
        <f t="shared" si="37"/>
        <v>0</v>
      </c>
      <c r="T75" s="173">
        <v>10</v>
      </c>
      <c r="U75" s="172">
        <f>(COUNTIF(SEMANA29[Columna7],T75)*3)</f>
        <v>0</v>
      </c>
      <c r="V75" s="172">
        <f>(COUNTIF(SEMANA29[Columna8],T75)*2)</f>
        <v>0</v>
      </c>
      <c r="W75" s="172">
        <f>COUNTIF(SEMANA29[Columna83],T75)</f>
        <v>0</v>
      </c>
      <c r="X75" s="426">
        <f t="shared" si="38"/>
        <v>0</v>
      </c>
      <c r="Y75" s="173">
        <v>9</v>
      </c>
      <c r="Z75" s="172">
        <f>(COUNTIF(SEMANA29[Columna10],Y75)*3)</f>
        <v>0</v>
      </c>
      <c r="AA75" s="172">
        <f>(COUNTIF(SEMANA29[Columna11],Y75)*2)</f>
        <v>0</v>
      </c>
      <c r="AB75" s="172">
        <f>COUNTIF(SEMANA29[Columna113],Y75)</f>
        <v>0</v>
      </c>
      <c r="AC75" s="426">
        <f t="shared" si="39"/>
        <v>0</v>
      </c>
      <c r="AD75" s="173">
        <v>1</v>
      </c>
      <c r="AE75" s="172">
        <f>(COUNTIF(SEMANA29[1RA],AD75)*3)</f>
        <v>0</v>
      </c>
      <c r="AF75" s="172">
        <f>(COUNTIF(SEMANA29[2DA],AD75)*2)</f>
        <v>0</v>
      </c>
      <c r="AG75" s="172">
        <f>COUNTIF(SEMANA29[2DA2],AD75)</f>
        <v>0</v>
      </c>
      <c r="AH75" s="426">
        <f t="shared" si="40"/>
        <v>0</v>
      </c>
      <c r="AI75" s="173">
        <v>5</v>
      </c>
      <c r="AJ75" s="172">
        <f>(COUNTIF(SEMANA29[Columna16],AI75)*3)</f>
        <v>0</v>
      </c>
      <c r="AK75" s="172">
        <f>(COUNTIF(SEMANA29[Columna17],AI75)*2)</f>
        <v>0</v>
      </c>
      <c r="AL75" s="172">
        <f>COUNTIF(SEMANA29[Columna173],AI75)</f>
        <v>0</v>
      </c>
      <c r="AM75" s="426">
        <f t="shared" si="41"/>
        <v>0</v>
      </c>
      <c r="AN75" s="173">
        <v>5</v>
      </c>
      <c r="AO75" s="172">
        <f>(COUNTIF(SEMANA29[123],AN75)*3)</f>
        <v>0</v>
      </c>
      <c r="AP75" s="172">
        <f>(COUNTIF(SEMANA29[555],AN75)*2)</f>
        <v>0</v>
      </c>
      <c r="AQ75" s="172">
        <f>COUNTIF(SEMANA29[556],AN75)</f>
        <v>0</v>
      </c>
      <c r="AR75" s="426">
        <f t="shared" si="42"/>
        <v>0</v>
      </c>
      <c r="AS75" s="173">
        <v>3</v>
      </c>
      <c r="AT75" s="172">
        <f>(COUNTIF(SEMANA29[AAAA],AS75)*3)</f>
        <v>0</v>
      </c>
      <c r="AU75" s="172">
        <f>(COUNTIF(SEMANA29[BBBB],AS75)*2)</f>
        <v>0</v>
      </c>
      <c r="AV75" s="172">
        <f>COUNTIF(SEMANA29[Columna13],AS75)</f>
        <v>0</v>
      </c>
      <c r="AW75" s="426">
        <f t="shared" si="43"/>
        <v>0</v>
      </c>
      <c r="AX75" s="173">
        <v>11</v>
      </c>
      <c r="AY75" s="172">
        <f>(COUNTIF(SEMANA29[Columna25],AX75)*3)</f>
        <v>0</v>
      </c>
      <c r="AZ75" s="172">
        <f>(COUNTIF(SEMANA29[Columna26],AX75)*2)</f>
        <v>0</v>
      </c>
      <c r="BA75" s="172">
        <f>COUNTIF(SEMANA29[Columna263],AX75)</f>
        <v>0</v>
      </c>
      <c r="BB75" s="426">
        <f t="shared" si="44"/>
        <v>0</v>
      </c>
      <c r="BC75" s="173">
        <v>12</v>
      </c>
      <c r="BD75" s="172">
        <f>(COUNTIF(SEMANA29[Columna272],BC75)*3)</f>
        <v>0</v>
      </c>
      <c r="BE75" s="172">
        <f>(COUNTIF(SEMANA29[Columna273],BC75)*2)</f>
        <v>0</v>
      </c>
      <c r="BF75" s="172">
        <f>COUNTIF(SEMANA29[Columna2732],BC75)</f>
        <v>0</v>
      </c>
      <c r="BG75" s="426">
        <f t="shared" si="45"/>
        <v>0</v>
      </c>
      <c r="BH75" s="173">
        <v>10</v>
      </c>
      <c r="BI75" s="172">
        <f>(COUNTIF(SEMANA29[Columna276],BH75)*3)</f>
        <v>0</v>
      </c>
      <c r="BJ75" s="172">
        <f>(COUNTIF(SEMANA29[Columna277],BH75)*2)</f>
        <v>0</v>
      </c>
      <c r="BK75" s="172">
        <f>COUNTIF(SEMANA29[Columna2772],BH75)</f>
        <v>0</v>
      </c>
      <c r="BL75" s="426">
        <f t="shared" si="46"/>
        <v>0</v>
      </c>
      <c r="BM75" s="173">
        <v>10</v>
      </c>
      <c r="BN75" s="172">
        <f>(COUNTIF(SEMANA29[Columna280],BM75)*3)</f>
        <v>0</v>
      </c>
      <c r="BO75" s="172">
        <f>(COUNTIF(SEMANA29[Columna281],BM75)*2)</f>
        <v>0</v>
      </c>
      <c r="BP75" s="172">
        <f>COUNTIF(SEMANA29[Columna2812],BM75)</f>
        <v>0</v>
      </c>
      <c r="BQ75" s="109">
        <f t="shared" si="47"/>
        <v>0</v>
      </c>
      <c r="BR75" s="171">
        <v>13</v>
      </c>
      <c r="BS75" s="108">
        <f>(COUNTIF(SEMANA29[Columna2802],BR75)*3)</f>
        <v>0</v>
      </c>
      <c r="BT75" s="172">
        <f>(COUNTIF(SEMANA29[Columna2813],BR75)*2)</f>
        <v>0</v>
      </c>
      <c r="BU75" s="423">
        <f>COUNTIF(SEMANA29[Columna28124],BR75)</f>
        <v>0</v>
      </c>
      <c r="BV75" s="109">
        <f t="shared" si="48"/>
        <v>0</v>
      </c>
      <c r="BW75" s="173">
        <v>8</v>
      </c>
      <c r="BX75" s="108">
        <f>(COUNTIF(SEMANA29[Columna2803],BW75)*3)</f>
        <v>0</v>
      </c>
      <c r="BY75" s="172">
        <f>(COUNTIF(SEMANA29[Columna2814],BW75)*2)</f>
        <v>0</v>
      </c>
      <c r="BZ75" s="423">
        <f>COUNTIF(SEMANA29[Columna28125],BW75)</f>
        <v>0</v>
      </c>
      <c r="CA75" s="109">
        <f t="shared" si="49"/>
        <v>0</v>
      </c>
      <c r="CB75" s="173">
        <v>8</v>
      </c>
      <c r="CC75" s="108">
        <f>(COUNTIF(SEMANA29[Columna2804],CB75)*3)</f>
        <v>0</v>
      </c>
      <c r="CD75" s="172">
        <f>(COUNTIF(SEMANA29[Columna2815],CB75)*2)</f>
        <v>0</v>
      </c>
      <c r="CE75" s="423">
        <f>COUNTIF(SEMANA29[Columna28126],CB75)</f>
        <v>0</v>
      </c>
      <c r="CF75" s="109">
        <f t="shared" si="50"/>
        <v>0</v>
      </c>
      <c r="CG75" s="103"/>
      <c r="CH75" s="103"/>
      <c r="DP75" s="391"/>
      <c r="DQ75" s="391"/>
      <c r="DR75" s="391"/>
      <c r="EH75" s="391"/>
      <c r="EI75" s="391"/>
      <c r="EJ75" s="391"/>
    </row>
    <row r="76" spans="2:140" s="110" customFormat="1" ht="27.95" customHeight="1" x14ac:dyDescent="0.4">
      <c r="B76" s="102"/>
      <c r="C76" s="103"/>
      <c r="D76" s="103"/>
      <c r="E76" s="171">
        <v>11</v>
      </c>
      <c r="F76" s="108">
        <f>(COUNTIF(SEMANA29[1],E76)*3)</f>
        <v>0</v>
      </c>
      <c r="G76" s="172">
        <f>(COUNTIF(SEMANA29[2],E76)*2)</f>
        <v>0</v>
      </c>
      <c r="H76" s="172">
        <f>COUNTIF(SEMANA29[22],E76)</f>
        <v>0</v>
      </c>
      <c r="I76" s="426">
        <f t="shared" si="35"/>
        <v>0</v>
      </c>
      <c r="J76" s="173">
        <v>11</v>
      </c>
      <c r="K76" s="172">
        <f>(COUNTIF(SEMANA29[12],J76)*3)</f>
        <v>0</v>
      </c>
      <c r="L76" s="172">
        <f>(COUNTIF(SEMANA29[Columna2],J76)*2)</f>
        <v>0</v>
      </c>
      <c r="M76" s="172">
        <f>COUNTIF(SEMANA29[Columna23],J76)</f>
        <v>0</v>
      </c>
      <c r="N76" s="426">
        <f t="shared" si="36"/>
        <v>0</v>
      </c>
      <c r="O76" s="173">
        <v>11</v>
      </c>
      <c r="P76" s="172">
        <f>(COUNTIF(SEMANA29[Columna4],O76)*3)</f>
        <v>0</v>
      </c>
      <c r="Q76" s="172">
        <f>(COUNTIF(SEMANA29[Columna5],O76)*2)</f>
        <v>0</v>
      </c>
      <c r="R76" s="172">
        <f>COUNTIF(SEMANA29[Columna53],O76)</f>
        <v>0</v>
      </c>
      <c r="S76" s="426">
        <f t="shared" si="37"/>
        <v>0</v>
      </c>
      <c r="T76" s="173">
        <v>11</v>
      </c>
      <c r="U76" s="172">
        <f>(COUNTIF(SEMANA29[Columna7],T76)*3)</f>
        <v>0</v>
      </c>
      <c r="V76" s="172">
        <f>(COUNTIF(SEMANA29[Columna8],T76)*2)</f>
        <v>0</v>
      </c>
      <c r="W76" s="172">
        <f>COUNTIF(SEMANA29[Columna83],T76)</f>
        <v>0</v>
      </c>
      <c r="X76" s="426">
        <f t="shared" si="38"/>
        <v>0</v>
      </c>
      <c r="Y76" s="173">
        <v>11</v>
      </c>
      <c r="Z76" s="172">
        <f>(COUNTIF(SEMANA29[Columna10],Y76)*3)</f>
        <v>0</v>
      </c>
      <c r="AA76" s="172">
        <f>(COUNTIF(SEMANA29[Columna11],Y76)*2)</f>
        <v>0</v>
      </c>
      <c r="AB76" s="172">
        <f>COUNTIF(SEMANA29[Columna113],Y76)</f>
        <v>0</v>
      </c>
      <c r="AC76" s="426">
        <f t="shared" si="39"/>
        <v>0</v>
      </c>
      <c r="AD76" s="173">
        <v>11</v>
      </c>
      <c r="AE76" s="172">
        <f>(COUNTIF(SEMANA29[1RA],AD76)*3)</f>
        <v>0</v>
      </c>
      <c r="AF76" s="172">
        <f>(COUNTIF(SEMANA29[2DA],AD76)*2)</f>
        <v>0</v>
      </c>
      <c r="AG76" s="172">
        <f>COUNTIF(SEMANA29[2DA2],AD76)</f>
        <v>0</v>
      </c>
      <c r="AH76" s="426">
        <f t="shared" si="40"/>
        <v>0</v>
      </c>
      <c r="AI76" s="173">
        <v>11</v>
      </c>
      <c r="AJ76" s="172">
        <f>(COUNTIF(SEMANA29[Columna16],AI76)*3)</f>
        <v>0</v>
      </c>
      <c r="AK76" s="172">
        <f>(COUNTIF(SEMANA29[Columna17],AI76)*2)</f>
        <v>0</v>
      </c>
      <c r="AL76" s="172">
        <f>COUNTIF(SEMANA29[Columna173],AI76)</f>
        <v>0</v>
      </c>
      <c r="AM76" s="426">
        <f t="shared" si="41"/>
        <v>0</v>
      </c>
      <c r="AN76" s="173">
        <v>12</v>
      </c>
      <c r="AO76" s="172">
        <f>(COUNTIF(SEMANA29[123],AN76)*3)</f>
        <v>0</v>
      </c>
      <c r="AP76" s="172">
        <f>(COUNTIF(SEMANA29[555],AN76)*2)</f>
        <v>0</v>
      </c>
      <c r="AQ76" s="172">
        <f>COUNTIF(SEMANA29[556],AN76)</f>
        <v>0</v>
      </c>
      <c r="AR76" s="426">
        <f t="shared" si="42"/>
        <v>0</v>
      </c>
      <c r="AS76" s="173">
        <v>4</v>
      </c>
      <c r="AT76" s="172">
        <f>(COUNTIF(SEMANA29[AAAA],AS76)*3)</f>
        <v>0</v>
      </c>
      <c r="AU76" s="172">
        <f>(COUNTIF(SEMANA29[BBBB],AS76)*2)</f>
        <v>0</v>
      </c>
      <c r="AV76" s="172">
        <f>COUNTIF(SEMANA29[Columna13],AS76)</f>
        <v>0</v>
      </c>
      <c r="AW76" s="426">
        <f t="shared" si="43"/>
        <v>0</v>
      </c>
      <c r="AX76" s="173">
        <v>8</v>
      </c>
      <c r="AY76" s="172">
        <f>(COUNTIF(SEMANA29[Columna25],AX76)*3)</f>
        <v>0</v>
      </c>
      <c r="AZ76" s="172">
        <f>(COUNTIF(SEMANA29[Columna26],AX76)*2)</f>
        <v>0</v>
      </c>
      <c r="BA76" s="172">
        <f>COUNTIF(SEMANA29[Columna263],AX76)</f>
        <v>0</v>
      </c>
      <c r="BB76" s="426">
        <f t="shared" si="44"/>
        <v>0</v>
      </c>
      <c r="BC76" s="173">
        <v>9</v>
      </c>
      <c r="BD76" s="172">
        <f>(COUNTIF(SEMANA29[Columna272],BC76)*3)</f>
        <v>0</v>
      </c>
      <c r="BE76" s="172">
        <f>(COUNTIF(SEMANA29[Columna273],BC76)*2)</f>
        <v>0</v>
      </c>
      <c r="BF76" s="172">
        <f>COUNTIF(SEMANA29[Columna2732],BC76)</f>
        <v>0</v>
      </c>
      <c r="BG76" s="426">
        <f t="shared" si="45"/>
        <v>0</v>
      </c>
      <c r="BH76" s="173">
        <v>11</v>
      </c>
      <c r="BI76" s="172">
        <f>(COUNTIF(SEMANA29[Columna276],BH76)*3)</f>
        <v>0</v>
      </c>
      <c r="BJ76" s="172">
        <f>(COUNTIF(SEMANA29[Columna277],BH76)*2)</f>
        <v>0</v>
      </c>
      <c r="BK76" s="172">
        <f>COUNTIF(SEMANA29[Columna2772],BH76)</f>
        <v>0</v>
      </c>
      <c r="BL76" s="426">
        <f t="shared" si="46"/>
        <v>0</v>
      </c>
      <c r="BM76" s="173">
        <v>13</v>
      </c>
      <c r="BN76" s="172">
        <f>(COUNTIF(SEMANA29[Columna280],BM76)*3)</f>
        <v>0</v>
      </c>
      <c r="BO76" s="172">
        <f>(COUNTIF(SEMANA29[Columna281],BM76)*2)</f>
        <v>0</v>
      </c>
      <c r="BP76" s="172">
        <f>COUNTIF(SEMANA29[Columna2812],BM76)</f>
        <v>0</v>
      </c>
      <c r="BQ76" s="109">
        <f t="shared" si="47"/>
        <v>0</v>
      </c>
      <c r="BR76" s="171">
        <v>4</v>
      </c>
      <c r="BS76" s="108">
        <f>(COUNTIF(SEMANA29[Columna2802],BR76)*3)</f>
        <v>0</v>
      </c>
      <c r="BT76" s="172">
        <f>(COUNTIF(SEMANA29[Columna2813],BR76)*2)</f>
        <v>0</v>
      </c>
      <c r="BU76" s="423">
        <f>COUNTIF(SEMANA29[Columna28124],BR76)</f>
        <v>0</v>
      </c>
      <c r="BV76" s="109">
        <f t="shared" si="48"/>
        <v>0</v>
      </c>
      <c r="BW76" s="173">
        <v>6</v>
      </c>
      <c r="BX76" s="108">
        <f>(COUNTIF(SEMANA29[Columna2803],BW76)*3)</f>
        <v>0</v>
      </c>
      <c r="BY76" s="172">
        <f>(COUNTIF(SEMANA29[Columna2814],BW76)*2)</f>
        <v>0</v>
      </c>
      <c r="BZ76" s="423">
        <f>COUNTIF(SEMANA29[Columna28125],BW76)</f>
        <v>0</v>
      </c>
      <c r="CA76" s="109">
        <f t="shared" si="49"/>
        <v>0</v>
      </c>
      <c r="CB76" s="173">
        <v>6</v>
      </c>
      <c r="CC76" s="108">
        <f>(COUNTIF(SEMANA29[Columna2804],CB76)*3)</f>
        <v>0</v>
      </c>
      <c r="CD76" s="172">
        <f>(COUNTIF(SEMANA29[Columna2815],CB76)*2)</f>
        <v>0</v>
      </c>
      <c r="CE76" s="423">
        <f>COUNTIF(SEMANA29[Columna28126],CB76)</f>
        <v>0</v>
      </c>
      <c r="CF76" s="109">
        <f t="shared" si="50"/>
        <v>0</v>
      </c>
      <c r="CG76" s="103"/>
      <c r="CH76" s="103"/>
      <c r="DP76" s="391"/>
      <c r="DQ76" s="391"/>
      <c r="DR76" s="391"/>
      <c r="EH76" s="391"/>
      <c r="EI76" s="391"/>
      <c r="EJ76" s="391"/>
    </row>
    <row r="77" spans="2:140" s="110" customFormat="1" ht="27.95" customHeight="1" x14ac:dyDescent="0.4">
      <c r="B77" s="102"/>
      <c r="C77" s="103"/>
      <c r="D77" s="103"/>
      <c r="E77" s="171">
        <v>12</v>
      </c>
      <c r="F77" s="108">
        <f>(COUNTIF(SEMANA29[1],E77)*3)</f>
        <v>0</v>
      </c>
      <c r="G77" s="172">
        <f>(COUNTIF(SEMANA29[2],E77)*2)</f>
        <v>0</v>
      </c>
      <c r="H77" s="172">
        <f>COUNTIF(SEMANA29[22],E77)</f>
        <v>0</v>
      </c>
      <c r="I77" s="426">
        <f t="shared" si="35"/>
        <v>0</v>
      </c>
      <c r="J77" s="173">
        <v>12</v>
      </c>
      <c r="K77" s="172">
        <f>(COUNTIF(SEMANA29[12],J77)*3)</f>
        <v>0</v>
      </c>
      <c r="L77" s="172">
        <f>(COUNTIF(SEMANA29[Columna2],J77)*2)</f>
        <v>0</v>
      </c>
      <c r="M77" s="172">
        <f>COUNTIF(SEMANA29[Columna23],J77)</f>
        <v>0</v>
      </c>
      <c r="N77" s="426">
        <f t="shared" si="36"/>
        <v>0</v>
      </c>
      <c r="O77" s="173">
        <v>12</v>
      </c>
      <c r="P77" s="172">
        <f>(COUNTIF(SEMANA29[Columna4],O77)*3)</f>
        <v>0</v>
      </c>
      <c r="Q77" s="172">
        <f>(COUNTIF(SEMANA29[Columna5],O77)*2)</f>
        <v>0</v>
      </c>
      <c r="R77" s="172">
        <f>COUNTIF(SEMANA29[Columna53],O77)</f>
        <v>0</v>
      </c>
      <c r="S77" s="426">
        <f t="shared" si="37"/>
        <v>0</v>
      </c>
      <c r="T77" s="173">
        <v>12</v>
      </c>
      <c r="U77" s="172">
        <f>(COUNTIF(SEMANA29[Columna7],T77)*3)</f>
        <v>0</v>
      </c>
      <c r="V77" s="172">
        <f>(COUNTIF(SEMANA29[Columna8],T77)*2)</f>
        <v>0</v>
      </c>
      <c r="W77" s="172">
        <f>COUNTIF(SEMANA29[Columna83],T77)</f>
        <v>0</v>
      </c>
      <c r="X77" s="426">
        <f t="shared" si="38"/>
        <v>0</v>
      </c>
      <c r="Y77" s="173">
        <v>12</v>
      </c>
      <c r="Z77" s="172">
        <f>(COUNTIF(SEMANA29[Columna10],Y77)*3)</f>
        <v>0</v>
      </c>
      <c r="AA77" s="172">
        <f>(COUNTIF(SEMANA29[Columna11],Y77)*2)</f>
        <v>0</v>
      </c>
      <c r="AB77" s="172">
        <f>COUNTIF(SEMANA29[Columna113],Y77)</f>
        <v>0</v>
      </c>
      <c r="AC77" s="426">
        <f t="shared" si="39"/>
        <v>0</v>
      </c>
      <c r="AD77" s="173">
        <v>12</v>
      </c>
      <c r="AE77" s="172">
        <f>(COUNTIF(SEMANA29[1RA],AD77)*3)</f>
        <v>0</v>
      </c>
      <c r="AF77" s="172">
        <f>(COUNTIF(SEMANA29[2DA],AD77)*2)</f>
        <v>0</v>
      </c>
      <c r="AG77" s="172">
        <f>COUNTIF(SEMANA29[2DA2],AD77)</f>
        <v>0</v>
      </c>
      <c r="AH77" s="426">
        <f t="shared" si="40"/>
        <v>0</v>
      </c>
      <c r="AI77" s="173">
        <v>12</v>
      </c>
      <c r="AJ77" s="172">
        <f>(COUNTIF(SEMANA29[Columna16],AI77)*3)</f>
        <v>0</v>
      </c>
      <c r="AK77" s="172">
        <f>(COUNTIF(SEMANA29[Columna17],AI77)*2)</f>
        <v>0</v>
      </c>
      <c r="AL77" s="172">
        <f>COUNTIF(SEMANA29[Columna173],AI77)</f>
        <v>0</v>
      </c>
      <c r="AM77" s="426">
        <f t="shared" si="41"/>
        <v>0</v>
      </c>
      <c r="AN77" s="173">
        <v>10</v>
      </c>
      <c r="AO77" s="172">
        <f>(COUNTIF(SEMANA29[123],AN77)*3)</f>
        <v>0</v>
      </c>
      <c r="AP77" s="172">
        <f>(COUNTIF(SEMANA29[555],AN77)*2)</f>
        <v>0</v>
      </c>
      <c r="AQ77" s="172">
        <f>COUNTIF(SEMANA29[556],AN77)</f>
        <v>0</v>
      </c>
      <c r="AR77" s="426">
        <f t="shared" si="42"/>
        <v>0</v>
      </c>
      <c r="AS77" s="173">
        <v>12</v>
      </c>
      <c r="AT77" s="172">
        <f>(COUNTIF(SEMANA29[AAAA],AS77)*3)</f>
        <v>0</v>
      </c>
      <c r="AU77" s="172">
        <f>(COUNTIF(SEMANA29[BBBB],AS77)*2)</f>
        <v>0</v>
      </c>
      <c r="AV77" s="172">
        <f>COUNTIF(SEMANA29[Columna13],AS77)</f>
        <v>0</v>
      </c>
      <c r="AW77" s="426">
        <f t="shared" si="43"/>
        <v>0</v>
      </c>
      <c r="AX77" s="173">
        <v>12</v>
      </c>
      <c r="AY77" s="172">
        <f>(COUNTIF(SEMANA29[Columna25],AX77)*3)</f>
        <v>0</v>
      </c>
      <c r="AZ77" s="172">
        <f>(COUNTIF(SEMANA29[Columna26],AX77)*2)</f>
        <v>0</v>
      </c>
      <c r="BA77" s="172">
        <f>COUNTIF(SEMANA29[Columna263],AX77)</f>
        <v>0</v>
      </c>
      <c r="BB77" s="426">
        <f t="shared" si="44"/>
        <v>0</v>
      </c>
      <c r="BC77" s="173">
        <v>10</v>
      </c>
      <c r="BD77" s="172">
        <f>(COUNTIF(SEMANA29[Columna272],BC77)*3)</f>
        <v>0</v>
      </c>
      <c r="BE77" s="172">
        <f>(COUNTIF(SEMANA29[Columna273],BC77)*2)</f>
        <v>0</v>
      </c>
      <c r="BF77" s="172">
        <f>COUNTIF(SEMANA29[Columna2732],BC77)</f>
        <v>0</v>
      </c>
      <c r="BG77" s="426">
        <f t="shared" si="45"/>
        <v>0</v>
      </c>
      <c r="BH77" s="173">
        <v>12</v>
      </c>
      <c r="BI77" s="172">
        <f>(COUNTIF(SEMANA29[Columna276],BH77)*3)</f>
        <v>0</v>
      </c>
      <c r="BJ77" s="172">
        <f>(COUNTIF(SEMANA29[Columna277],BH77)*2)</f>
        <v>0</v>
      </c>
      <c r="BK77" s="172">
        <f>COUNTIF(SEMANA29[Columna2772],BH77)</f>
        <v>0</v>
      </c>
      <c r="BL77" s="426">
        <f t="shared" si="46"/>
        <v>0</v>
      </c>
      <c r="BM77" s="173">
        <v>7</v>
      </c>
      <c r="BN77" s="172">
        <f>(COUNTIF(SEMANA29[Columna280],BM77)*3)</f>
        <v>0</v>
      </c>
      <c r="BO77" s="172">
        <f>(COUNTIF(SEMANA29[Columna281],BM77)*2)</f>
        <v>0</v>
      </c>
      <c r="BP77" s="172">
        <f>COUNTIF(SEMANA29[Columna2812],BM77)</f>
        <v>0</v>
      </c>
      <c r="BQ77" s="109">
        <f t="shared" si="47"/>
        <v>0</v>
      </c>
      <c r="BR77" s="171">
        <v>8</v>
      </c>
      <c r="BS77" s="108">
        <f>(COUNTIF(SEMANA29[Columna2802],BR77)*3)</f>
        <v>0</v>
      </c>
      <c r="BT77" s="172">
        <f>(COUNTIF(SEMANA29[Columna2813],BR77)*2)</f>
        <v>0</v>
      </c>
      <c r="BU77" s="423">
        <f>COUNTIF(SEMANA29[Columna28124],BR77)</f>
        <v>0</v>
      </c>
      <c r="BV77" s="109">
        <f t="shared" si="48"/>
        <v>0</v>
      </c>
      <c r="BW77" s="173">
        <v>7</v>
      </c>
      <c r="BX77" s="108">
        <f>(COUNTIF(SEMANA29[Columna2803],BW77)*3)</f>
        <v>0</v>
      </c>
      <c r="BY77" s="172">
        <f>(COUNTIF(SEMANA29[Columna2814],BW77)*2)</f>
        <v>0</v>
      </c>
      <c r="BZ77" s="423">
        <f>COUNTIF(SEMANA29[Columna28125],BW77)</f>
        <v>0</v>
      </c>
      <c r="CA77" s="109">
        <f t="shared" si="49"/>
        <v>0</v>
      </c>
      <c r="CB77" s="173">
        <v>7</v>
      </c>
      <c r="CC77" s="108">
        <f>(COUNTIF(SEMANA29[Columna2804],CB77)*3)</f>
        <v>0</v>
      </c>
      <c r="CD77" s="172">
        <f>(COUNTIF(SEMANA29[Columna2815],CB77)*2)</f>
        <v>0</v>
      </c>
      <c r="CE77" s="423">
        <f>COUNTIF(SEMANA29[Columna28126],CB77)</f>
        <v>0</v>
      </c>
      <c r="CF77" s="109">
        <f t="shared" si="50"/>
        <v>0</v>
      </c>
      <c r="CG77" s="103"/>
      <c r="CH77" s="103"/>
      <c r="DP77" s="391"/>
      <c r="DQ77" s="391"/>
      <c r="DR77" s="391"/>
      <c r="EH77" s="391"/>
      <c r="EI77" s="391"/>
      <c r="EJ77" s="391"/>
    </row>
    <row r="78" spans="2:140" s="110" customFormat="1" ht="27.95" customHeight="1" x14ac:dyDescent="0.4">
      <c r="B78" s="102"/>
      <c r="C78" s="103"/>
      <c r="D78" s="103"/>
      <c r="E78" s="171">
        <v>13</v>
      </c>
      <c r="F78" s="108">
        <f>(COUNTIF(SEMANA29[1],E78)*3)</f>
        <v>0</v>
      </c>
      <c r="G78" s="172">
        <f>(COUNTIF(SEMANA29[2],E78)*2)</f>
        <v>0</v>
      </c>
      <c r="H78" s="172">
        <f>COUNTIF(SEMANA29[22],E78)</f>
        <v>0</v>
      </c>
      <c r="I78" s="426">
        <f t="shared" si="35"/>
        <v>0</v>
      </c>
      <c r="J78" s="173">
        <v>13</v>
      </c>
      <c r="K78" s="172">
        <f>(COUNTIF(SEMANA29[12],J78)*3)</f>
        <v>0</v>
      </c>
      <c r="L78" s="172">
        <f>(COUNTIF(SEMANA29[Columna2],J78)*2)</f>
        <v>0</v>
      </c>
      <c r="M78" s="172">
        <f>COUNTIF(SEMANA29[Columna23],J78)</f>
        <v>0</v>
      </c>
      <c r="N78" s="426">
        <f t="shared" si="36"/>
        <v>0</v>
      </c>
      <c r="O78" s="173">
        <v>13</v>
      </c>
      <c r="P78" s="172">
        <f>(COUNTIF(SEMANA29[Columna4],O78)*3)</f>
        <v>0</v>
      </c>
      <c r="Q78" s="172">
        <f>(COUNTIF(SEMANA29[Columna5],O78)*2)</f>
        <v>0</v>
      </c>
      <c r="R78" s="172">
        <f>COUNTIF(SEMANA29[Columna53],O78)</f>
        <v>0</v>
      </c>
      <c r="S78" s="426">
        <f t="shared" si="37"/>
        <v>0</v>
      </c>
      <c r="T78" s="173">
        <v>13</v>
      </c>
      <c r="U78" s="172">
        <f>(COUNTIF(SEMANA29[Columna7],T78)*3)</f>
        <v>0</v>
      </c>
      <c r="V78" s="172">
        <f>(COUNTIF(SEMANA29[Columna8],T78)*2)</f>
        <v>0</v>
      </c>
      <c r="W78" s="172">
        <f>COUNTIF(SEMANA29[Columna83],T78)</f>
        <v>0</v>
      </c>
      <c r="X78" s="426">
        <f t="shared" si="38"/>
        <v>0</v>
      </c>
      <c r="Y78" s="173">
        <v>13</v>
      </c>
      <c r="Z78" s="172">
        <f>(COUNTIF(SEMANA29[Columna10],Y78)*3)</f>
        <v>0</v>
      </c>
      <c r="AA78" s="172">
        <f>(COUNTIF(SEMANA29[Columna11],Y78)*2)</f>
        <v>0</v>
      </c>
      <c r="AB78" s="172">
        <f>COUNTIF(SEMANA29[Columna113],Y78)</f>
        <v>0</v>
      </c>
      <c r="AC78" s="426">
        <f t="shared" si="39"/>
        <v>0</v>
      </c>
      <c r="AD78" s="173">
        <v>13</v>
      </c>
      <c r="AE78" s="172">
        <f>(COUNTIF(SEMANA29[1RA],AD78)*3)</f>
        <v>0</v>
      </c>
      <c r="AF78" s="172">
        <f>(COUNTIF(SEMANA29[2DA],AD78)*2)</f>
        <v>0</v>
      </c>
      <c r="AG78" s="172">
        <f>COUNTIF(SEMANA29[2DA2],AD78)</f>
        <v>0</v>
      </c>
      <c r="AH78" s="426">
        <f t="shared" si="40"/>
        <v>0</v>
      </c>
      <c r="AI78" s="173">
        <v>13</v>
      </c>
      <c r="AJ78" s="172">
        <f>(COUNTIF(SEMANA29[Columna16],AI78)*3)</f>
        <v>0</v>
      </c>
      <c r="AK78" s="172">
        <f>(COUNTIF(SEMANA29[Columna17],AI78)*2)</f>
        <v>0</v>
      </c>
      <c r="AL78" s="172">
        <f>COUNTIF(SEMANA29[Columna173],AI78)</f>
        <v>0</v>
      </c>
      <c r="AM78" s="426">
        <f t="shared" si="41"/>
        <v>0</v>
      </c>
      <c r="AN78" s="173">
        <v>13</v>
      </c>
      <c r="AO78" s="172">
        <f>(COUNTIF(SEMANA29[123],AN78)*3)</f>
        <v>0</v>
      </c>
      <c r="AP78" s="172">
        <f>(COUNTIF(SEMANA29[555],AN78)*2)</f>
        <v>0</v>
      </c>
      <c r="AQ78" s="172">
        <f>COUNTIF(SEMANA29[556],AN78)</f>
        <v>0</v>
      </c>
      <c r="AR78" s="426">
        <f t="shared" si="42"/>
        <v>0</v>
      </c>
      <c r="AS78" s="173">
        <v>13</v>
      </c>
      <c r="AT78" s="172">
        <f>(COUNTIF(SEMANA29[AAAA],AS78)*3)</f>
        <v>0</v>
      </c>
      <c r="AU78" s="172">
        <f>(COUNTIF(SEMANA29[BBBB],AS78)*2)</f>
        <v>0</v>
      </c>
      <c r="AV78" s="172">
        <f>COUNTIF(SEMANA29[Columna13],AS78)</f>
        <v>0</v>
      </c>
      <c r="AW78" s="426">
        <f t="shared" si="43"/>
        <v>0</v>
      </c>
      <c r="AX78" s="173">
        <v>13</v>
      </c>
      <c r="AY78" s="172">
        <f>(COUNTIF(SEMANA29[Columna25],AX78)*3)</f>
        <v>0</v>
      </c>
      <c r="AZ78" s="172">
        <f>(COUNTIF(SEMANA29[Columna26],AX78)*2)</f>
        <v>0</v>
      </c>
      <c r="BA78" s="172">
        <f>COUNTIF(SEMANA29[Columna263],AX78)</f>
        <v>0</v>
      </c>
      <c r="BB78" s="426">
        <f t="shared" si="44"/>
        <v>0</v>
      </c>
      <c r="BC78" s="173">
        <v>13</v>
      </c>
      <c r="BD78" s="172">
        <f>(COUNTIF(SEMANA29[Columna272],BC78)*3)</f>
        <v>0</v>
      </c>
      <c r="BE78" s="172">
        <f>(COUNTIF(SEMANA29[Columna273],BC78)*2)</f>
        <v>0</v>
      </c>
      <c r="BF78" s="172">
        <f>COUNTIF(SEMANA29[Columna2732],BC78)</f>
        <v>0</v>
      </c>
      <c r="BG78" s="426">
        <f t="shared" si="45"/>
        <v>0</v>
      </c>
      <c r="BH78" s="173">
        <v>13</v>
      </c>
      <c r="BI78" s="172">
        <f>(COUNTIF(SEMANA29[Columna276],BH78)*3)</f>
        <v>0</v>
      </c>
      <c r="BJ78" s="172">
        <f>(COUNTIF(SEMANA29[Columna277],BH78)*2)</f>
        <v>0</v>
      </c>
      <c r="BK78" s="172">
        <f>COUNTIF(SEMANA29[Columna2772],BH78)</f>
        <v>0</v>
      </c>
      <c r="BL78" s="426">
        <f t="shared" si="46"/>
        <v>0</v>
      </c>
      <c r="BM78" s="173">
        <v>11</v>
      </c>
      <c r="BN78" s="172">
        <f>(COUNTIF(SEMANA29[Columna280],BM78)*3)</f>
        <v>0</v>
      </c>
      <c r="BO78" s="172">
        <f>(COUNTIF(SEMANA29[Columna281],BM78)*2)</f>
        <v>0</v>
      </c>
      <c r="BP78" s="172">
        <f>COUNTIF(SEMANA29[Columna2812],BM78)</f>
        <v>0</v>
      </c>
      <c r="BQ78" s="109">
        <f t="shared" si="47"/>
        <v>0</v>
      </c>
      <c r="BR78" s="171">
        <v>6</v>
      </c>
      <c r="BS78" s="108">
        <f>(COUNTIF(SEMANA29[Columna2802],BR78)*3)</f>
        <v>0</v>
      </c>
      <c r="BT78" s="172">
        <f>(COUNTIF(SEMANA29[Columna2813],BR78)*2)</f>
        <v>0</v>
      </c>
      <c r="BU78" s="423">
        <f>COUNTIF(SEMANA29[Columna28124],BR78)</f>
        <v>0</v>
      </c>
      <c r="BV78" s="109">
        <f t="shared" si="48"/>
        <v>0</v>
      </c>
      <c r="BW78" s="173">
        <v>11</v>
      </c>
      <c r="BX78" s="108">
        <f>(COUNTIF(SEMANA29[Columna2803],BW78)*3)</f>
        <v>0</v>
      </c>
      <c r="BY78" s="172">
        <f>(COUNTIF(SEMANA29[Columna2814],BW78)*2)</f>
        <v>0</v>
      </c>
      <c r="BZ78" s="423">
        <f>COUNTIF(SEMANA29[Columna28125],BW78)</f>
        <v>0</v>
      </c>
      <c r="CA78" s="109">
        <f t="shared" si="49"/>
        <v>0</v>
      </c>
      <c r="CB78" s="173">
        <v>11</v>
      </c>
      <c r="CC78" s="108">
        <f>(COUNTIF(SEMANA29[Columna2804],CB78)*3)</f>
        <v>0</v>
      </c>
      <c r="CD78" s="172">
        <f>(COUNTIF(SEMANA29[Columna2815],CB78)*2)</f>
        <v>0</v>
      </c>
      <c r="CE78" s="423">
        <f>COUNTIF(SEMANA29[Columna28126],CB78)</f>
        <v>0</v>
      </c>
      <c r="CF78" s="109">
        <f t="shared" si="50"/>
        <v>0</v>
      </c>
      <c r="CG78" s="103"/>
      <c r="CH78" s="103"/>
      <c r="DP78" s="391"/>
      <c r="DQ78" s="391"/>
      <c r="DR78" s="391"/>
      <c r="EH78" s="391"/>
      <c r="EI78" s="391"/>
      <c r="EJ78" s="391"/>
    </row>
    <row r="79" spans="2:140" s="110" customFormat="1" ht="27.95" customHeight="1" x14ac:dyDescent="0.4">
      <c r="B79" s="102"/>
      <c r="C79" s="103"/>
      <c r="D79" s="103"/>
      <c r="E79" s="174">
        <v>14</v>
      </c>
      <c r="F79" s="112">
        <f>(COUNTIF(SEMANA29[1],E79)*3)</f>
        <v>0</v>
      </c>
      <c r="G79" s="113">
        <f>(COUNTIF(SEMANA29[2],E79)*2)</f>
        <v>0</v>
      </c>
      <c r="H79" s="113">
        <f>COUNTIF(SEMANA29[22],E79)</f>
        <v>0</v>
      </c>
      <c r="I79" s="114">
        <f t="shared" si="35"/>
        <v>0</v>
      </c>
      <c r="J79" s="115">
        <v>14</v>
      </c>
      <c r="K79" s="113">
        <f>(COUNTIF(SEMANA29[12],J79)*3)</f>
        <v>0</v>
      </c>
      <c r="L79" s="113">
        <f>(COUNTIF(SEMANA29[Columna2],J79)*2)</f>
        <v>0</v>
      </c>
      <c r="M79" s="113">
        <f>COUNTIF(SEMANA29[Columna23],J79)</f>
        <v>0</v>
      </c>
      <c r="N79" s="114">
        <f t="shared" si="36"/>
        <v>0</v>
      </c>
      <c r="O79" s="115">
        <v>14</v>
      </c>
      <c r="P79" s="113">
        <f>(COUNTIF(SEMANA29[Columna4],O79)*3)</f>
        <v>0</v>
      </c>
      <c r="Q79" s="113">
        <f>(COUNTIF(SEMANA29[Columna5],O79)*2)</f>
        <v>0</v>
      </c>
      <c r="R79" s="113">
        <f>COUNTIF(SEMANA29[Columna53],O79)</f>
        <v>0</v>
      </c>
      <c r="S79" s="114">
        <f t="shared" si="37"/>
        <v>0</v>
      </c>
      <c r="T79" s="115">
        <v>14</v>
      </c>
      <c r="U79" s="113">
        <f>(COUNTIF(SEMANA29[Columna7],T79)*3)</f>
        <v>0</v>
      </c>
      <c r="V79" s="113">
        <f>(COUNTIF(SEMANA29[Columna8],T79)*2)</f>
        <v>0</v>
      </c>
      <c r="W79" s="113">
        <f>COUNTIF(SEMANA29[Columna83],T79)</f>
        <v>0</v>
      </c>
      <c r="X79" s="114">
        <f t="shared" si="38"/>
        <v>0</v>
      </c>
      <c r="Y79" s="115">
        <v>14</v>
      </c>
      <c r="Z79" s="113">
        <f>(COUNTIF(SEMANA29[Columna10],Y79)*3)</f>
        <v>0</v>
      </c>
      <c r="AA79" s="113">
        <f>(COUNTIF(SEMANA29[Columna11],Y79)*2)</f>
        <v>0</v>
      </c>
      <c r="AB79" s="113">
        <f>COUNTIF(SEMANA29[Columna113],Y79)</f>
        <v>0</v>
      </c>
      <c r="AC79" s="114">
        <f t="shared" si="39"/>
        <v>0</v>
      </c>
      <c r="AD79" s="115">
        <v>14</v>
      </c>
      <c r="AE79" s="113">
        <f>(COUNTIF(SEMANA29[1RA],AD79)*3)</f>
        <v>0</v>
      </c>
      <c r="AF79" s="113">
        <f>(COUNTIF(SEMANA29[2DA],AD79)*2)</f>
        <v>0</v>
      </c>
      <c r="AG79" s="113">
        <f>COUNTIF(SEMANA29[2DA2],AD79)</f>
        <v>0</v>
      </c>
      <c r="AH79" s="114">
        <f t="shared" si="40"/>
        <v>0</v>
      </c>
      <c r="AI79" s="115">
        <v>14</v>
      </c>
      <c r="AJ79" s="113">
        <f>(COUNTIF(SEMANA29[Columna16],AI79)*3)</f>
        <v>0</v>
      </c>
      <c r="AK79" s="113">
        <f>(COUNTIF(SEMANA29[Columna17],AI79)*2)</f>
        <v>0</v>
      </c>
      <c r="AL79" s="113">
        <f>COUNTIF(SEMANA29[Columna173],AI79)</f>
        <v>0</v>
      </c>
      <c r="AM79" s="114">
        <f t="shared" si="41"/>
        <v>0</v>
      </c>
      <c r="AN79" s="115">
        <v>14</v>
      </c>
      <c r="AO79" s="113">
        <f>(COUNTIF(SEMANA29[123],AN79)*3)</f>
        <v>0</v>
      </c>
      <c r="AP79" s="113">
        <f>(COUNTIF(SEMANA29[555],AN79)*2)</f>
        <v>0</v>
      </c>
      <c r="AQ79" s="113">
        <f>COUNTIF(SEMANA29[556],AN79)</f>
        <v>0</v>
      </c>
      <c r="AR79" s="114">
        <f t="shared" si="42"/>
        <v>0</v>
      </c>
      <c r="AS79" s="115">
        <v>14</v>
      </c>
      <c r="AT79" s="113">
        <f>(COUNTIF(SEMANA29[AAAA],AS79)*3)</f>
        <v>0</v>
      </c>
      <c r="AU79" s="113">
        <f>(COUNTIF(SEMANA29[BBBB],AS79)*2)</f>
        <v>0</v>
      </c>
      <c r="AV79" s="113">
        <f>COUNTIF(SEMANA29[Columna13],AS79)</f>
        <v>0</v>
      </c>
      <c r="AW79" s="114">
        <f t="shared" si="43"/>
        <v>0</v>
      </c>
      <c r="AX79" s="115">
        <v>14</v>
      </c>
      <c r="AY79" s="113">
        <f>(COUNTIF(SEMANA29[Columna25],AX79)*3)</f>
        <v>0</v>
      </c>
      <c r="AZ79" s="113">
        <f>(COUNTIF(SEMANA29[Columna26],AX79)*2)</f>
        <v>0</v>
      </c>
      <c r="BA79" s="113">
        <f>COUNTIF(SEMANA29[Columna263],AX79)</f>
        <v>0</v>
      </c>
      <c r="BB79" s="114">
        <f t="shared" si="44"/>
        <v>0</v>
      </c>
      <c r="BC79" s="115">
        <v>14</v>
      </c>
      <c r="BD79" s="113">
        <f>(COUNTIF(SEMANA29[Columna272],BC79)*3)</f>
        <v>0</v>
      </c>
      <c r="BE79" s="113">
        <f>(COUNTIF(SEMANA29[Columna273],BC79)*2)</f>
        <v>0</v>
      </c>
      <c r="BF79" s="113">
        <f>COUNTIF(SEMANA29[Columna2732],BC79)</f>
        <v>0</v>
      </c>
      <c r="BG79" s="114">
        <f t="shared" si="45"/>
        <v>0</v>
      </c>
      <c r="BH79" s="115">
        <v>14</v>
      </c>
      <c r="BI79" s="113">
        <f>(COUNTIF(SEMANA29[Columna276],BH79)*3)</f>
        <v>0</v>
      </c>
      <c r="BJ79" s="113">
        <f>(COUNTIF(SEMANA29[Columna277],BH79)*2)</f>
        <v>0</v>
      </c>
      <c r="BK79" s="113">
        <f>COUNTIF(SEMANA29[Columna2772],BH79)</f>
        <v>0</v>
      </c>
      <c r="BL79" s="114">
        <f t="shared" si="46"/>
        <v>0</v>
      </c>
      <c r="BM79" s="115">
        <v>14</v>
      </c>
      <c r="BN79" s="113">
        <f>(COUNTIF(SEMANA29[Columna280],BM79)*3)</f>
        <v>0</v>
      </c>
      <c r="BO79" s="113">
        <f>(COUNTIF(SEMANA29[Columna281],BM79)*2)</f>
        <v>0</v>
      </c>
      <c r="BP79" s="113">
        <f>COUNTIF(SEMANA29[Columna2812],BM79)</f>
        <v>0</v>
      </c>
      <c r="BQ79" s="116">
        <f t="shared" si="47"/>
        <v>0</v>
      </c>
      <c r="BR79" s="174">
        <v>14</v>
      </c>
      <c r="BS79" s="112">
        <f>(COUNTIF(SEMANA29[Columna2802],BR79)*3)</f>
        <v>0</v>
      </c>
      <c r="BT79" s="113">
        <f>(COUNTIF(SEMANA29[Columna2813],BR79)*2)</f>
        <v>0</v>
      </c>
      <c r="BU79" s="424">
        <f>COUNTIF(SEMANA29[Columna28124],BR79)</f>
        <v>0</v>
      </c>
      <c r="BV79" s="116">
        <f t="shared" si="48"/>
        <v>0</v>
      </c>
      <c r="BW79" s="115">
        <v>14</v>
      </c>
      <c r="BX79" s="112">
        <f>(COUNTIF(SEMANA29[Columna2803],BW79)*3)</f>
        <v>0</v>
      </c>
      <c r="BY79" s="113">
        <f>(COUNTIF(SEMANA29[Columna2814],BW79)*2)</f>
        <v>0</v>
      </c>
      <c r="BZ79" s="424">
        <f>COUNTIF(SEMANA29[Columna28125],BW79)</f>
        <v>0</v>
      </c>
      <c r="CA79" s="116">
        <f t="shared" si="49"/>
        <v>0</v>
      </c>
      <c r="CB79" s="115">
        <v>14</v>
      </c>
      <c r="CC79" s="112">
        <f>(COUNTIF(SEMANA29[Columna2804],CB79)*3)</f>
        <v>0</v>
      </c>
      <c r="CD79" s="113">
        <f>(COUNTIF(SEMANA29[Columna2815],CB79)*2)</f>
        <v>0</v>
      </c>
      <c r="CE79" s="424">
        <f>COUNTIF(SEMANA29[Columna28126],CB79)</f>
        <v>0</v>
      </c>
      <c r="CF79" s="116">
        <f t="shared" si="50"/>
        <v>0</v>
      </c>
      <c r="CG79" s="103"/>
      <c r="CH79" s="103"/>
      <c r="DP79" s="391"/>
      <c r="DQ79" s="391"/>
      <c r="DR79" s="391"/>
      <c r="EH79" s="391"/>
      <c r="EI79" s="391"/>
      <c r="EJ79" s="391"/>
    </row>
    <row r="80" spans="2:140" s="110" customFormat="1" ht="26.25" customHeight="1" x14ac:dyDescent="0.4">
      <c r="B80" s="102"/>
      <c r="C80" s="103"/>
      <c r="D80" s="103"/>
      <c r="E80" s="103"/>
      <c r="F80" s="103"/>
      <c r="G80" s="103">
        <v>1</v>
      </c>
      <c r="H80" s="103"/>
      <c r="I80" s="103"/>
      <c r="J80" s="103"/>
      <c r="K80" s="103"/>
      <c r="L80" s="103">
        <v>2</v>
      </c>
      <c r="M80" s="103"/>
      <c r="N80" s="103"/>
      <c r="O80" s="103"/>
      <c r="P80" s="103"/>
      <c r="Q80" s="103">
        <v>3</v>
      </c>
      <c r="R80" s="103"/>
      <c r="S80" s="103"/>
      <c r="T80" s="103"/>
      <c r="U80" s="103"/>
      <c r="V80" s="103">
        <v>4</v>
      </c>
      <c r="W80" s="103"/>
      <c r="X80" s="103"/>
      <c r="Y80" s="103"/>
      <c r="Z80" s="103"/>
      <c r="AA80" s="103">
        <v>5</v>
      </c>
      <c r="AB80" s="103"/>
      <c r="AC80" s="103"/>
      <c r="AD80" s="103"/>
      <c r="AE80" s="103"/>
      <c r="AF80" s="103">
        <v>6</v>
      </c>
      <c r="AG80" s="103"/>
      <c r="AH80" s="103"/>
      <c r="AI80" s="103"/>
      <c r="AJ80" s="103"/>
      <c r="AK80" s="103">
        <v>7</v>
      </c>
      <c r="AL80" s="103"/>
      <c r="AM80" s="103"/>
      <c r="AN80" s="103"/>
      <c r="AO80" s="103"/>
      <c r="AP80" s="103">
        <v>8</v>
      </c>
      <c r="AQ80" s="103"/>
      <c r="AR80" s="103"/>
      <c r="AS80" s="103"/>
      <c r="AT80" s="103"/>
      <c r="AU80" s="103">
        <v>9</v>
      </c>
      <c r="AV80" s="103"/>
      <c r="AW80" s="103"/>
      <c r="AX80" s="103"/>
      <c r="AY80" s="103"/>
      <c r="AZ80" s="103">
        <v>10</v>
      </c>
      <c r="BA80" s="103"/>
      <c r="BB80" s="103"/>
      <c r="BC80" s="103"/>
      <c r="BD80" s="103"/>
      <c r="BE80" s="103">
        <v>11</v>
      </c>
      <c r="BF80" s="103"/>
      <c r="BG80" s="117"/>
      <c r="BH80" s="103"/>
      <c r="BI80" s="103"/>
      <c r="BJ80" s="103">
        <v>12</v>
      </c>
      <c r="BK80" s="103"/>
      <c r="BL80" s="117"/>
      <c r="BM80" s="103"/>
      <c r="BN80" s="103"/>
      <c r="BO80" s="103">
        <v>13</v>
      </c>
      <c r="BP80" s="103"/>
      <c r="BQ80" s="103"/>
      <c r="BR80" s="103"/>
      <c r="BS80" s="103"/>
      <c r="BT80" s="103">
        <v>14</v>
      </c>
      <c r="BU80" s="103"/>
      <c r="BV80" s="103"/>
      <c r="BW80" s="103"/>
      <c r="BX80" s="103"/>
      <c r="BY80" s="103">
        <v>15</v>
      </c>
      <c r="BZ80" s="103"/>
      <c r="CA80" s="103"/>
      <c r="CB80" s="103"/>
      <c r="CC80" s="103"/>
      <c r="CD80" s="103">
        <v>16</v>
      </c>
      <c r="CE80" s="103"/>
      <c r="CF80" s="103"/>
      <c r="CG80" s="103"/>
      <c r="CH80" s="103"/>
      <c r="DP80" s="388"/>
      <c r="DQ80" s="388"/>
      <c r="DR80" s="388"/>
      <c r="EH80" s="391"/>
      <c r="EI80" s="391"/>
      <c r="EJ80" s="391"/>
    </row>
    <row r="81" spans="1:140" ht="15.75" customHeight="1" thickBot="1" x14ac:dyDescent="0.45">
      <c r="B81" s="102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17"/>
      <c r="BH81" s="103"/>
      <c r="BI81" s="103"/>
      <c r="BJ81" s="103"/>
      <c r="BK81" s="103"/>
      <c r="BL81" s="117"/>
      <c r="BM81" s="103"/>
      <c r="BN81" s="103"/>
      <c r="BO81" s="103"/>
      <c r="BP81" s="103"/>
      <c r="BQ81" s="103"/>
      <c r="BR81" s="103"/>
      <c r="BS81" s="103"/>
      <c r="BT81" s="103"/>
      <c r="BU81" s="103"/>
      <c r="BV81" s="103"/>
      <c r="BW81" s="103"/>
      <c r="BX81" s="103"/>
      <c r="BY81" s="103"/>
      <c r="BZ81" s="103"/>
      <c r="CA81" s="103"/>
      <c r="CB81" s="103"/>
      <c r="CC81" s="103"/>
      <c r="CD81" s="103"/>
      <c r="CE81" s="103"/>
      <c r="CF81" s="103"/>
      <c r="CG81" s="103"/>
      <c r="CH81" s="103"/>
      <c r="DA81" s="110"/>
      <c r="EH81" s="388"/>
      <c r="EI81" s="388"/>
      <c r="EJ81" s="388"/>
    </row>
    <row r="82" spans="1:140" ht="36" customHeight="1" x14ac:dyDescent="0.5">
      <c r="A82" s="3"/>
      <c r="B82" s="118"/>
      <c r="C82" s="119"/>
      <c r="D82" s="120"/>
      <c r="E82" s="120"/>
      <c r="F82" s="120"/>
      <c r="G82" s="120"/>
      <c r="H82" s="120"/>
      <c r="I82" s="119"/>
      <c r="J82" s="119" t="s">
        <v>284</v>
      </c>
      <c r="K82" s="119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19"/>
      <c r="AF82" s="121"/>
      <c r="AG82" s="119" t="s">
        <v>279</v>
      </c>
      <c r="AH82" s="121"/>
      <c r="AI82" s="121"/>
      <c r="AJ82" s="119"/>
      <c r="AK82" s="121"/>
      <c r="AL82" s="122" t="str">
        <f>D3</f>
        <v>20/09/2026</v>
      </c>
      <c r="AM82" s="120"/>
      <c r="AN82" s="120"/>
      <c r="AO82" s="120"/>
      <c r="AP82" s="120"/>
      <c r="AQ82" s="120"/>
      <c r="AR82" s="120"/>
      <c r="AS82" s="120"/>
      <c r="AT82" s="120"/>
      <c r="AU82" s="120"/>
      <c r="AV82" s="120"/>
      <c r="AW82" s="120"/>
      <c r="AX82" s="123"/>
      <c r="AY82" s="120"/>
      <c r="AZ82" s="120"/>
      <c r="BA82" s="120"/>
      <c r="BB82" s="120"/>
      <c r="BC82" s="120"/>
      <c r="BD82" s="120"/>
      <c r="BE82" s="120"/>
      <c r="BF82" s="124"/>
      <c r="BG82" s="123"/>
      <c r="BH82" s="120"/>
      <c r="BI82" s="120"/>
      <c r="BJ82" s="120"/>
      <c r="BK82" s="120"/>
      <c r="BL82" s="120"/>
      <c r="BM82" s="120"/>
      <c r="BN82" s="120"/>
      <c r="BO82" s="124"/>
      <c r="BP82" s="123"/>
      <c r="BQ82" s="103"/>
      <c r="BR82" s="103"/>
      <c r="BS82" s="103"/>
      <c r="BT82" s="103"/>
      <c r="BU82" s="103"/>
      <c r="BV82" s="103"/>
      <c r="BW82" s="103"/>
      <c r="BX82" s="103"/>
      <c r="BY82" s="103"/>
      <c r="BZ82" s="103"/>
      <c r="CA82" s="103"/>
      <c r="CB82" s="103"/>
      <c r="CC82" s="103"/>
      <c r="CD82" s="103"/>
      <c r="CE82" s="103"/>
      <c r="CF82" s="103"/>
      <c r="CG82" s="103"/>
      <c r="EH82" s="388"/>
      <c r="EI82" s="388"/>
      <c r="EJ82" s="388"/>
    </row>
    <row r="83" spans="1:140" ht="36" customHeight="1" x14ac:dyDescent="0.4">
      <c r="A83" s="3"/>
      <c r="B83" s="541">
        <f>E4</f>
        <v>1</v>
      </c>
      <c r="C83" s="181"/>
      <c r="D83" s="181"/>
      <c r="E83" s="182"/>
      <c r="F83" s="542">
        <f>J4</f>
        <v>2</v>
      </c>
      <c r="G83" s="183"/>
      <c r="H83" s="183"/>
      <c r="I83" s="183"/>
      <c r="J83" s="183"/>
      <c r="K83" s="183"/>
      <c r="L83" s="183"/>
      <c r="M83" s="183"/>
      <c r="N83" s="184"/>
      <c r="O83" s="542">
        <f>O4</f>
        <v>3</v>
      </c>
      <c r="P83" s="183"/>
      <c r="Q83" s="183"/>
      <c r="R83" s="183"/>
      <c r="S83" s="183"/>
      <c r="T83" s="183"/>
      <c r="U83" s="183"/>
      <c r="V83" s="183"/>
      <c r="W83" s="184"/>
      <c r="X83" s="542">
        <f>T4</f>
        <v>4</v>
      </c>
      <c r="Y83" s="183"/>
      <c r="Z83" s="183"/>
      <c r="AA83" s="183"/>
      <c r="AB83" s="183"/>
      <c r="AC83" s="183"/>
      <c r="AD83" s="183"/>
      <c r="AE83" s="183"/>
      <c r="AF83" s="184"/>
      <c r="AG83" s="542">
        <f>Y4</f>
        <v>5</v>
      </c>
      <c r="AH83" s="183"/>
      <c r="AI83" s="183"/>
      <c r="AJ83" s="183"/>
      <c r="AK83" s="183"/>
      <c r="AL83" s="183"/>
      <c r="AM83" s="183"/>
      <c r="AN83" s="183"/>
      <c r="AO83" s="184"/>
      <c r="AP83" s="542">
        <f>AD4</f>
        <v>6</v>
      </c>
      <c r="AQ83" s="183"/>
      <c r="AR83" s="183"/>
      <c r="AS83" s="183"/>
      <c r="AT83" s="183"/>
      <c r="AU83" s="183"/>
      <c r="AV83" s="183"/>
      <c r="AW83" s="183"/>
      <c r="AX83" s="184"/>
      <c r="AY83" s="542">
        <f>AI4</f>
        <v>7</v>
      </c>
      <c r="AZ83" s="183"/>
      <c r="BA83" s="183"/>
      <c r="BB83" s="183"/>
      <c r="BC83" s="183"/>
      <c r="BD83" s="183"/>
      <c r="BE83" s="183"/>
      <c r="BF83" s="183"/>
      <c r="BG83" s="184"/>
      <c r="BH83" s="542">
        <f>AN4</f>
        <v>8</v>
      </c>
      <c r="BI83" s="183"/>
      <c r="BJ83" s="183"/>
      <c r="BK83" s="183"/>
      <c r="BL83" s="183"/>
      <c r="BM83" s="183"/>
      <c r="BN83" s="183"/>
      <c r="BO83" s="183"/>
      <c r="BP83" s="184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EH83" s="388"/>
      <c r="EI83" s="388"/>
      <c r="EJ83" s="388"/>
    </row>
    <row r="84" spans="1:140" ht="30" customHeight="1" x14ac:dyDescent="0.4">
      <c r="A84" s="3"/>
      <c r="B84" s="125" t="s">
        <v>280</v>
      </c>
      <c r="C84" s="127" t="s">
        <v>285</v>
      </c>
      <c r="D84" s="127"/>
      <c r="E84" s="126" t="s">
        <v>165</v>
      </c>
      <c r="F84" s="125" t="s">
        <v>280</v>
      </c>
      <c r="G84" s="127" t="s">
        <v>285</v>
      </c>
      <c r="H84" s="127"/>
      <c r="I84" s="127"/>
      <c r="J84" s="127"/>
      <c r="K84" s="127"/>
      <c r="L84" s="127"/>
      <c r="M84" s="127"/>
      <c r="N84" s="126" t="s">
        <v>165</v>
      </c>
      <c r="O84" s="125" t="s">
        <v>280</v>
      </c>
      <c r="P84" s="127" t="s">
        <v>285</v>
      </c>
      <c r="Q84" s="127"/>
      <c r="R84" s="127"/>
      <c r="S84" s="127"/>
      <c r="T84" s="127"/>
      <c r="U84" s="127"/>
      <c r="V84" s="127"/>
      <c r="W84" s="126" t="s">
        <v>165</v>
      </c>
      <c r="X84" s="125" t="s">
        <v>280</v>
      </c>
      <c r="Y84" s="127" t="s">
        <v>285</v>
      </c>
      <c r="Z84" s="127"/>
      <c r="AA84" s="127"/>
      <c r="AB84" s="127"/>
      <c r="AC84" s="127"/>
      <c r="AD84" s="127"/>
      <c r="AE84" s="127"/>
      <c r="AF84" s="126" t="s">
        <v>165</v>
      </c>
      <c r="AG84" s="125" t="s">
        <v>280</v>
      </c>
      <c r="AH84" s="127" t="s">
        <v>285</v>
      </c>
      <c r="AI84" s="127"/>
      <c r="AJ84" s="127"/>
      <c r="AK84" s="127"/>
      <c r="AL84" s="127"/>
      <c r="AM84" s="127"/>
      <c r="AN84" s="127"/>
      <c r="AO84" s="126" t="s">
        <v>165</v>
      </c>
      <c r="AP84" s="125" t="s">
        <v>280</v>
      </c>
      <c r="AQ84" s="127" t="s">
        <v>285</v>
      </c>
      <c r="AR84" s="127"/>
      <c r="AS84" s="127"/>
      <c r="AT84" s="127"/>
      <c r="AU84" s="127"/>
      <c r="AV84" s="127"/>
      <c r="AW84" s="127"/>
      <c r="AX84" s="126" t="s">
        <v>165</v>
      </c>
      <c r="AY84" s="125" t="s">
        <v>280</v>
      </c>
      <c r="AZ84" s="127" t="s">
        <v>285</v>
      </c>
      <c r="BA84" s="127"/>
      <c r="BB84" s="127"/>
      <c r="BC84" s="127"/>
      <c r="BD84" s="127"/>
      <c r="BE84" s="127"/>
      <c r="BF84" s="127"/>
      <c r="BG84" s="126" t="s">
        <v>165</v>
      </c>
      <c r="BH84" s="125" t="s">
        <v>280</v>
      </c>
      <c r="BI84" s="127" t="s">
        <v>285</v>
      </c>
      <c r="BJ84" s="127"/>
      <c r="BK84" s="127"/>
      <c r="BL84" s="127"/>
      <c r="BM84" s="127"/>
      <c r="BN84" s="127"/>
      <c r="BO84" s="127"/>
      <c r="BP84" s="126" t="s">
        <v>165</v>
      </c>
      <c r="BQ84" s="103"/>
      <c r="BR84" s="103"/>
      <c r="BS84" s="103"/>
      <c r="BT84" s="103"/>
      <c r="BU84" s="103"/>
      <c r="BV84" s="103"/>
      <c r="BW84" s="103"/>
      <c r="BX84" s="103"/>
      <c r="BY84" s="103"/>
      <c r="BZ84" s="103"/>
      <c r="CA84" s="103"/>
      <c r="CB84" s="103"/>
      <c r="CC84" s="103"/>
      <c r="CD84" s="103"/>
      <c r="CE84" s="103"/>
      <c r="CF84" s="103"/>
      <c r="CG84" s="103"/>
      <c r="EH84" s="388"/>
      <c r="EI84" s="388"/>
      <c r="EJ84" s="388"/>
    </row>
    <row r="85" spans="1:140" ht="30" customHeight="1" x14ac:dyDescent="0.4">
      <c r="A85" s="3"/>
      <c r="B85" s="128">
        <f t="shared" ref="B85:B90" si="51">E66</f>
        <v>9</v>
      </c>
      <c r="C85" s="175" t="str">
        <f t="array" ref="C85">_xlfn._xlws.FILTER('[1]ALFABETICO SEM'!$M$1:$M$196, ('[1]ALFABETICO SEM'!$L$1:$L$196 = $B$83) * ('[1]ALFABETICO SEM'!$N$1:$N$196 = B85), " - ")</f>
        <v>PAULA DEL CARMEN</v>
      </c>
      <c r="D85" s="103"/>
      <c r="E85" s="129">
        <f t="shared" ref="E85:F90" si="52">I66</f>
        <v>0</v>
      </c>
      <c r="F85" s="128">
        <f t="shared" si="52"/>
        <v>1</v>
      </c>
      <c r="G85" s="175" t="str">
        <f t="array" ref="G85">_xlfn._xlws.FILTER('[1]ALFABETICO SEM'!$M$1:$M$196, ('[1]ALFABETICO SEM'!$L$1:$L$196 = $F$83) * ('[1]ALFABETICO SEM'!$N$1:$N$196 = F85), " - ")</f>
        <v>MOSTAZA</v>
      </c>
      <c r="H85" s="176"/>
      <c r="I85" s="176"/>
      <c r="J85" s="176"/>
      <c r="K85" s="176"/>
      <c r="L85" s="176"/>
      <c r="M85" s="176"/>
      <c r="N85" s="129">
        <f t="shared" ref="N85:O90" si="53">N66</f>
        <v>0</v>
      </c>
      <c r="O85" s="128">
        <f t="shared" si="53"/>
        <v>5</v>
      </c>
      <c r="P85" s="175" t="str">
        <f t="array" ref="P85">_xlfn._xlws.FILTER('[1]ALFABETICO SEM'!$M$1:$M$196, ('[1]ALFABETICO SEM'!$L$1:$L$196 = O$83) * ('[1]ALFABETICO SEM'!$N$1:$N$196 = O85), " - ")</f>
        <v>RED TIME</v>
      </c>
      <c r="Q85" s="176"/>
      <c r="R85" s="176"/>
      <c r="S85" s="176"/>
      <c r="T85" s="176"/>
      <c r="U85" s="176"/>
      <c r="V85" s="176"/>
      <c r="W85" s="129">
        <f t="shared" ref="W85:X90" si="54">S66</f>
        <v>0</v>
      </c>
      <c r="X85" s="128">
        <f t="shared" si="54"/>
        <v>3</v>
      </c>
      <c r="Y85" s="175" t="str">
        <f t="array" ref="Y85">_xlfn._xlws.FILTER('[1]ALFABETICO SEM'!$M$1:$M$196, ('[1]ALFABETICO SEM'!$L$1:$L$196 = X$83) * ('[1]ALFABETICO SEM'!$N$1:$N$196 = X85), " - ")</f>
        <v>STARSHIP GOLD</v>
      </c>
      <c r="Z85" s="142"/>
      <c r="AA85" s="142"/>
      <c r="AB85" s="142"/>
      <c r="AC85" s="142"/>
      <c r="AD85" s="142"/>
      <c r="AE85" s="142"/>
      <c r="AF85" s="141">
        <f t="shared" ref="AF85:AG90" si="55">X66</f>
        <v>0</v>
      </c>
      <c r="AG85" s="128">
        <f t="shared" si="55"/>
        <v>2</v>
      </c>
      <c r="AH85" s="175" t="str">
        <f t="array" ref="AH85">_xlfn._xlws.FILTER('[1]ALFABETICO SEM'!$M$1:$M$196, ('[1]ALFABETICO SEM'!$L$1:$L$196 = AG$83) * ('[1]ALFABETICO SEM'!$N$1:$N$196 = AG85), " - ")</f>
        <v>TOWER STAR</v>
      </c>
      <c r="AI85" s="142"/>
      <c r="AJ85" s="142"/>
      <c r="AK85" s="142"/>
      <c r="AL85" s="142"/>
      <c r="AM85" s="142"/>
      <c r="AN85" s="142"/>
      <c r="AO85" s="141">
        <f t="shared" ref="AO85:AP90" si="56">AC66</f>
        <v>0</v>
      </c>
      <c r="AP85" s="128">
        <f t="shared" si="56"/>
        <v>5</v>
      </c>
      <c r="AQ85" s="175" t="str">
        <f t="array" ref="AQ85">_xlfn._xlws.FILTER('[1]ALFABETICO SEM'!$M$1:$M$196, ('[1]ALFABETICO SEM'!$L$1:$L$196 = AP$83) * ('[1]ALFABETICO SEM'!$N$1:$N$196 = AP85), " - ")</f>
        <v>MAJESTIC SHOT</v>
      </c>
      <c r="AR85" s="176"/>
      <c r="AS85" s="176"/>
      <c r="AT85" s="176"/>
      <c r="AU85" s="176"/>
      <c r="AV85" s="176"/>
      <c r="AW85" s="176"/>
      <c r="AX85" s="129">
        <f t="shared" ref="AX85:AY90" si="57">AH66</f>
        <v>0</v>
      </c>
      <c r="AY85" s="128">
        <f t="shared" si="57"/>
        <v>7</v>
      </c>
      <c r="AZ85" s="175" t="str">
        <f t="array" ref="AZ85">_xlfn._xlws.FILTER('[1]ALFABETICO SEM'!$M$1:$M$196, ('[1]ALFABETICO SEM'!$L$1:$L$196 = AY$83) * ('[1]ALFABETICO SEM'!$N$1:$N$196 = AY85), " - ")</f>
        <v>SILK EYES</v>
      </c>
      <c r="BA85" s="142"/>
      <c r="BB85" s="142"/>
      <c r="BC85" s="142"/>
      <c r="BD85" s="142"/>
      <c r="BE85" s="142"/>
      <c r="BF85" s="142"/>
      <c r="BG85" s="141">
        <f t="shared" ref="BG85:BH90" si="58">AM66</f>
        <v>0</v>
      </c>
      <c r="BH85" s="128">
        <f t="shared" si="58"/>
        <v>8</v>
      </c>
      <c r="BI85" s="175" t="str">
        <f t="array" ref="BI85">_xlfn._xlws.FILTER('[1]ALFABETICO SEM'!$M$1:$M$196, ('[1]ALFABETICO SEM'!$L$1:$L$196 = BH$83) * ('[1]ALFABETICO SEM'!$N$1:$N$196 = BH85), " - ")</f>
        <v>KING NYSOS</v>
      </c>
      <c r="BJ85" s="142"/>
      <c r="BK85" s="142"/>
      <c r="BL85" s="142"/>
      <c r="BM85" s="142"/>
      <c r="BN85" s="142"/>
      <c r="BO85" s="142"/>
      <c r="BP85" s="141">
        <f t="shared" ref="BP85:BP90" si="59">AR66</f>
        <v>0</v>
      </c>
      <c r="BQ85" s="103"/>
      <c r="BR85" s="103"/>
      <c r="BS85" s="103"/>
      <c r="BT85" s="103"/>
      <c r="BU85" s="103"/>
      <c r="BV85" s="103"/>
      <c r="BW85" s="103"/>
      <c r="BX85" s="103"/>
      <c r="BY85" s="103"/>
      <c r="BZ85" s="103"/>
      <c r="CA85" s="103"/>
      <c r="CB85" s="103"/>
      <c r="CC85" s="103"/>
      <c r="CD85" s="103"/>
      <c r="CE85" s="103"/>
      <c r="CF85" s="103"/>
      <c r="CG85" s="103"/>
      <c r="EH85" s="388"/>
      <c r="EI85" s="388"/>
      <c r="EJ85" s="388"/>
    </row>
    <row r="86" spans="1:140" ht="30" customHeight="1" x14ac:dyDescent="0.4">
      <c r="A86" s="3"/>
      <c r="B86" s="128">
        <f t="shared" si="51"/>
        <v>2</v>
      </c>
      <c r="C86" s="175" t="str">
        <f t="array" ref="C86">_xlfn._xlws.FILTER('[1]ALFABETICO SEM'!$M$1:$M$196, ('[1]ALFABETICO SEM'!$L$1:$L$196 = $B$83) * ('[1]ALFABETICO SEM'!$N$1:$N$196 = B86), " - ")</f>
        <v>TALENTOSO</v>
      </c>
      <c r="D86" s="103"/>
      <c r="E86" s="129">
        <f t="shared" si="52"/>
        <v>0</v>
      </c>
      <c r="F86" s="128">
        <f t="shared" si="52"/>
        <v>7</v>
      </c>
      <c r="G86" s="175" t="str">
        <f t="array" ref="G86">_xlfn._xlws.FILTER('[1]ALFABETICO SEM'!$M$1:$M$196, ('[1]ALFABETICO SEM'!$L$1:$L$196 = $F$83) * ('[1]ALFABETICO SEM'!$N$1:$N$196 = F86), " - ")</f>
        <v>SALOME</v>
      </c>
      <c r="H86" s="142"/>
      <c r="I86" s="142"/>
      <c r="J86" s="142"/>
      <c r="K86" s="142"/>
      <c r="L86" s="142"/>
      <c r="M86" s="142"/>
      <c r="N86" s="141">
        <f t="shared" si="53"/>
        <v>0</v>
      </c>
      <c r="O86" s="128">
        <f t="shared" si="53"/>
        <v>1</v>
      </c>
      <c r="P86" s="175" t="str">
        <f t="array" ref="P86">_xlfn._xlws.FILTER('[1]ALFABETICO SEM'!$M$1:$M$196, ('[1]ALFABETICO SEM'!$L$1:$L$196 = O$83) * ('[1]ALFABETICO SEM'!$N$1:$N$196 = O86), " - ")</f>
        <v>FURETTO</v>
      </c>
      <c r="Q86" s="176"/>
      <c r="R86" s="176"/>
      <c r="S86" s="176"/>
      <c r="T86" s="176"/>
      <c r="U86" s="176"/>
      <c r="V86" s="176"/>
      <c r="W86" s="129">
        <f t="shared" si="54"/>
        <v>0</v>
      </c>
      <c r="X86" s="128">
        <f t="shared" si="54"/>
        <v>5</v>
      </c>
      <c r="Y86" s="175" t="str">
        <f t="array" ref="Y86">_xlfn._xlws.FILTER('[1]ALFABETICO SEM'!$M$1:$M$196, ('[1]ALFABETICO SEM'!$L$1:$L$196 = X$83) * ('[1]ALFABETICO SEM'!$N$1:$N$196 = X86), " - ")</f>
        <v>OROLINDA</v>
      </c>
      <c r="Z86" s="176"/>
      <c r="AA86" s="176"/>
      <c r="AB86" s="176"/>
      <c r="AC86" s="176"/>
      <c r="AD86" s="176"/>
      <c r="AE86" s="176"/>
      <c r="AF86" s="129">
        <f t="shared" si="55"/>
        <v>0</v>
      </c>
      <c r="AG86" s="128">
        <f t="shared" si="55"/>
        <v>1</v>
      </c>
      <c r="AH86" s="175" t="str">
        <f t="array" ref="AH86">_xlfn._xlws.FILTER('[1]ALFABETICO SEM'!$M$1:$M$196, ('[1]ALFABETICO SEM'!$L$1:$L$196 = AG$83) * ('[1]ALFABETICO SEM'!$N$1:$N$196 = AG86), " - ")</f>
        <v>TIME REPORT</v>
      </c>
      <c r="AI86" s="176"/>
      <c r="AJ86" s="176"/>
      <c r="AK86" s="176"/>
      <c r="AL86" s="176"/>
      <c r="AM86" s="176"/>
      <c r="AN86" s="176"/>
      <c r="AO86" s="129">
        <f t="shared" si="56"/>
        <v>0</v>
      </c>
      <c r="AP86" s="128">
        <f t="shared" si="56"/>
        <v>4</v>
      </c>
      <c r="AQ86" s="175" t="str">
        <f t="array" ref="AQ86">_xlfn._xlws.FILTER('[1]ALFABETICO SEM'!$M$1:$M$196, ('[1]ALFABETICO SEM'!$L$1:$L$196 = AP$83) * ('[1]ALFABETICO SEM'!$N$1:$N$196 = AP86), " - ")</f>
        <v>HONEY TIME</v>
      </c>
      <c r="AR86" s="142"/>
      <c r="AS86" s="142"/>
      <c r="AT86" s="142"/>
      <c r="AU86" s="142"/>
      <c r="AV86" s="142"/>
      <c r="AW86" s="142"/>
      <c r="AX86" s="141">
        <f t="shared" si="57"/>
        <v>0</v>
      </c>
      <c r="AY86" s="128">
        <f t="shared" si="57"/>
        <v>6</v>
      </c>
      <c r="AZ86" s="175" t="str">
        <f t="array" ref="AZ86">_xlfn._xlws.FILTER('[1]ALFABETICO SEM'!$M$1:$M$196, ('[1]ALFABETICO SEM'!$L$1:$L$196 = AY$83) * ('[1]ALFABETICO SEM'!$N$1:$N$196 = AY86), " - ")</f>
        <v>ZEPPELIN</v>
      </c>
      <c r="BA86" s="176"/>
      <c r="BB86" s="176"/>
      <c r="BC86" s="176"/>
      <c r="BD86" s="176"/>
      <c r="BE86" s="176"/>
      <c r="BF86" s="176"/>
      <c r="BG86" s="129">
        <f t="shared" si="58"/>
        <v>0</v>
      </c>
      <c r="BH86" s="128">
        <f t="shared" si="58"/>
        <v>1</v>
      </c>
      <c r="BI86" s="175" t="str">
        <f t="array" ref="BI86">_xlfn._xlws.FILTER('[1]ALFABETICO SEM'!$M$1:$M$196, ('[1]ALFABETICO SEM'!$L$1:$L$196 = BH$83) * ('[1]ALFABETICO SEM'!$N$1:$N$196 = BH86), " - ")</f>
        <v>KOSHO</v>
      </c>
      <c r="BJ86" s="176"/>
      <c r="BK86" s="176"/>
      <c r="BL86" s="176"/>
      <c r="BM86" s="176"/>
      <c r="BN86" s="176"/>
      <c r="BO86" s="176"/>
      <c r="BP86" s="141">
        <f t="shared" si="59"/>
        <v>0</v>
      </c>
      <c r="BQ86" s="103"/>
      <c r="BR86" s="103"/>
      <c r="BS86" s="103"/>
      <c r="BT86" s="103"/>
      <c r="BU86" s="103"/>
      <c r="BV86" s="103"/>
      <c r="BW86" s="103"/>
      <c r="BX86" s="103"/>
      <c r="BY86" s="103"/>
      <c r="BZ86" s="103"/>
      <c r="CA86" s="103"/>
      <c r="CB86" s="103"/>
      <c r="CC86" s="103"/>
      <c r="CD86" s="103"/>
      <c r="CE86" s="103"/>
      <c r="CF86" s="103"/>
      <c r="CG86" s="103"/>
      <c r="EH86" s="388"/>
      <c r="EI86" s="388"/>
      <c r="EJ86" s="388"/>
    </row>
    <row r="87" spans="1:140" ht="24.75" customHeight="1" x14ac:dyDescent="0.4">
      <c r="A87" s="3"/>
      <c r="B87" s="128">
        <f t="shared" si="51"/>
        <v>6</v>
      </c>
      <c r="C87" s="175" t="str">
        <f t="array" ref="C87">_xlfn._xlws.FILTER('[1]ALFABETICO SEM'!$M$1:$M$196, ('[1]ALFABETICO SEM'!$L$1:$L$196 = $B$83) * ('[1]ALFABETICO SEM'!$N$1:$N$196 = B87), " - ")</f>
        <v>DOCTOR ELY</v>
      </c>
      <c r="D87" s="140"/>
      <c r="E87" s="141">
        <f t="shared" si="52"/>
        <v>0</v>
      </c>
      <c r="F87" s="128">
        <f t="shared" si="52"/>
        <v>2</v>
      </c>
      <c r="G87" s="175" t="str">
        <f t="array" ref="G87">_xlfn._xlws.FILTER('[1]ALFABETICO SEM'!$M$1:$M$196, ('[1]ALFABETICO SEM'!$L$1:$L$196 = $F$83) * ('[1]ALFABETICO SEM'!$N$1:$N$196 = F87), " - ")</f>
        <v>DECIDIDA</v>
      </c>
      <c r="H87" s="176"/>
      <c r="I87" s="176"/>
      <c r="J87" s="176"/>
      <c r="K87" s="176"/>
      <c r="L87" s="176"/>
      <c r="M87" s="176"/>
      <c r="N87" s="129">
        <f t="shared" si="53"/>
        <v>0</v>
      </c>
      <c r="O87" s="128">
        <f t="shared" si="53"/>
        <v>3</v>
      </c>
      <c r="P87" s="175" t="str">
        <f t="array" ref="P87">_xlfn._xlws.FILTER('[1]ALFABETICO SEM'!$M$1:$M$196, ('[1]ALFABETICO SEM'!$L$1:$L$196 = O$83) * ('[1]ALFABETICO SEM'!$N$1:$N$196 = O87), " - ")</f>
        <v>FORTY TIME</v>
      </c>
      <c r="Q87" s="142"/>
      <c r="R87" s="142"/>
      <c r="S87" s="142"/>
      <c r="T87" s="142"/>
      <c r="U87" s="142"/>
      <c r="V87" s="142"/>
      <c r="W87" s="141">
        <f t="shared" si="54"/>
        <v>0</v>
      </c>
      <c r="X87" s="128">
        <f t="shared" si="54"/>
        <v>7</v>
      </c>
      <c r="Y87" s="175" t="str">
        <f t="array" ref="Y87">_xlfn._xlws.FILTER('[1]ALFABETICO SEM'!$M$1:$M$196, ('[1]ALFABETICO SEM'!$L$1:$L$196 = X$83) * ('[1]ALFABETICO SEM'!$N$1:$N$196 = X87), " - ")</f>
        <v>GRAN FERONIA</v>
      </c>
      <c r="Z87" s="176"/>
      <c r="AA87" s="176"/>
      <c r="AB87" s="176"/>
      <c r="AC87" s="176"/>
      <c r="AD87" s="176"/>
      <c r="AE87" s="176"/>
      <c r="AF87" s="129">
        <f t="shared" si="55"/>
        <v>0</v>
      </c>
      <c r="AG87" s="128">
        <f t="shared" si="55"/>
        <v>7</v>
      </c>
      <c r="AH87" s="175" t="str">
        <f t="array" ref="AH87">_xlfn._xlws.FILTER('[1]ALFABETICO SEM'!$M$1:$M$196, ('[1]ALFABETICO SEM'!$L$1:$L$196 = AG$83) * ('[1]ALFABETICO SEM'!$N$1:$N$196 = AG87), " - ")</f>
        <v>BRAVUCON</v>
      </c>
      <c r="AI87" s="176"/>
      <c r="AJ87" s="176"/>
      <c r="AK87" s="176"/>
      <c r="AL87" s="176"/>
      <c r="AM87" s="176"/>
      <c r="AN87" s="176"/>
      <c r="AO87" s="129">
        <f t="shared" si="56"/>
        <v>0</v>
      </c>
      <c r="AP87" s="128">
        <f t="shared" si="56"/>
        <v>10</v>
      </c>
      <c r="AQ87" s="175" t="str">
        <f t="array" ref="AQ87">_xlfn._xlws.FILTER('[1]ALFABETICO SEM'!$M$1:$M$196, ('[1]ALFABETICO SEM'!$L$1:$L$196 = AP$83) * ('[1]ALFABETICO SEM'!$N$1:$N$196 = AP87), " - ")</f>
        <v>LELIZAMAR</v>
      </c>
      <c r="AR87" s="176"/>
      <c r="AS87" s="176"/>
      <c r="AT87" s="176"/>
      <c r="AU87" s="176"/>
      <c r="AV87" s="176"/>
      <c r="AW87" s="176"/>
      <c r="AX87" s="129">
        <f t="shared" si="57"/>
        <v>0</v>
      </c>
      <c r="AY87" s="128">
        <f t="shared" si="57"/>
        <v>8</v>
      </c>
      <c r="AZ87" s="175" t="str">
        <f t="array" ref="AZ87">_xlfn._xlws.FILTER('[1]ALFABETICO SEM'!$M$1:$M$196, ('[1]ALFABETICO SEM'!$L$1:$L$196 = AY$83) * ('[1]ALFABETICO SEM'!$N$1:$N$196 = AY87), " - ")</f>
        <v>LOOK AT DADDY</v>
      </c>
      <c r="BA87" s="176"/>
      <c r="BB87" s="176"/>
      <c r="BC87" s="176"/>
      <c r="BD87" s="176"/>
      <c r="BE87" s="176"/>
      <c r="BF87" s="176"/>
      <c r="BG87" s="129">
        <f t="shared" si="58"/>
        <v>0</v>
      </c>
      <c r="BH87" s="128">
        <f t="shared" si="58"/>
        <v>2</v>
      </c>
      <c r="BI87" s="175" t="str">
        <f t="array" ref="BI87">_xlfn._xlws.FILTER('[1]ALFABETICO SEM'!$M$1:$M$196, ('[1]ALFABETICO SEM'!$L$1:$L$196 = BH$83) * ('[1]ALFABETICO SEM'!$N$1:$N$196 = BH87), " - ")</f>
        <v>BIG SENSATION</v>
      </c>
      <c r="BJ87" s="176"/>
      <c r="BK87" s="176"/>
      <c r="BL87" s="176"/>
      <c r="BM87" s="176"/>
      <c r="BN87" s="176"/>
      <c r="BO87" s="176"/>
      <c r="BP87" s="141">
        <f t="shared" si="59"/>
        <v>0</v>
      </c>
      <c r="BQ87" s="103"/>
      <c r="BR87" s="103"/>
      <c r="BS87" s="103"/>
      <c r="BT87" s="103"/>
      <c r="BU87" s="103"/>
      <c r="BV87" s="103"/>
      <c r="BW87" s="103"/>
      <c r="BX87" s="103"/>
      <c r="BY87" s="103"/>
      <c r="BZ87" s="103"/>
      <c r="CA87" s="103"/>
      <c r="CB87" s="103"/>
      <c r="CC87" s="103"/>
      <c r="CD87" s="103"/>
      <c r="CE87" s="103"/>
      <c r="CF87" s="103"/>
      <c r="CG87" s="103"/>
      <c r="EH87" s="388"/>
      <c r="EI87" s="388"/>
      <c r="EJ87" s="388"/>
    </row>
    <row r="88" spans="1:140" ht="30" customHeight="1" x14ac:dyDescent="0.4">
      <c r="A88" s="3"/>
      <c r="B88" s="128">
        <f t="shared" si="51"/>
        <v>4</v>
      </c>
      <c r="C88" s="175" t="str">
        <f t="array" ref="C88">_xlfn._xlws.FILTER('[1]ALFABETICO SEM'!$M$1:$M$196, ('[1]ALFABETICO SEM'!$L$1:$L$196 = $B$83) * ('[1]ALFABETICO SEM'!$N$1:$N$196 = B88), " - ")</f>
        <v>BELIEVE ANDREW</v>
      </c>
      <c r="D88" s="103"/>
      <c r="E88" s="129">
        <f t="shared" si="52"/>
        <v>0</v>
      </c>
      <c r="F88" s="128">
        <f t="shared" si="52"/>
        <v>4</v>
      </c>
      <c r="G88" s="175" t="str">
        <f t="array" ref="G88">_xlfn._xlws.FILTER('[1]ALFABETICO SEM'!$M$1:$M$196, ('[1]ALFABETICO SEM'!$L$1:$L$196 = $F$83) * ('[1]ALFABETICO SEM'!$N$1:$N$196 = F88), " - ")</f>
        <v>PAINT WHITE</v>
      </c>
      <c r="H88" s="176"/>
      <c r="I88" s="176"/>
      <c r="J88" s="176"/>
      <c r="K88" s="176"/>
      <c r="L88" s="176"/>
      <c r="M88" s="176"/>
      <c r="N88" s="129">
        <f t="shared" si="53"/>
        <v>0</v>
      </c>
      <c r="O88" s="128">
        <f t="shared" si="53"/>
        <v>7</v>
      </c>
      <c r="P88" s="175" t="str">
        <f t="array" ref="P88">_xlfn._xlws.FILTER('[1]ALFABETICO SEM'!$M$1:$M$196, ('[1]ALFABETICO SEM'!$L$1:$L$196 = O$83) * ('[1]ALFABETICO SEM'!$N$1:$N$196 = O88), " - ")</f>
        <v>MAHOMES</v>
      </c>
      <c r="Q88" s="176"/>
      <c r="R88" s="176"/>
      <c r="S88" s="176"/>
      <c r="T88" s="176"/>
      <c r="U88" s="176"/>
      <c r="V88" s="176"/>
      <c r="W88" s="129">
        <f t="shared" si="54"/>
        <v>0</v>
      </c>
      <c r="X88" s="128">
        <f t="shared" si="54"/>
        <v>4</v>
      </c>
      <c r="Y88" s="175" t="str">
        <f t="array" ref="Y88">_xlfn._xlws.FILTER('[1]ALFABETICO SEM'!$M$1:$M$196, ('[1]ALFABETICO SEM'!$L$1:$L$196 = X$83) * ('[1]ALFABETICO SEM'!$N$1:$N$196 = X88), " - ")</f>
        <v>FRANCISS ROSE</v>
      </c>
      <c r="Z88" s="176"/>
      <c r="AA88" s="176"/>
      <c r="AB88" s="176"/>
      <c r="AC88" s="176"/>
      <c r="AD88" s="176"/>
      <c r="AE88" s="176"/>
      <c r="AF88" s="129">
        <f t="shared" si="55"/>
        <v>0</v>
      </c>
      <c r="AG88" s="128">
        <f t="shared" si="55"/>
        <v>4</v>
      </c>
      <c r="AH88" s="175" t="str">
        <f t="array" ref="AH88">_xlfn._xlws.FILTER('[1]ALFABETICO SEM'!$M$1:$M$196, ('[1]ALFABETICO SEM'!$L$1:$L$196 = AG$83) * ('[1]ALFABETICO SEM'!$N$1:$N$196 = AG88), " - ")</f>
        <v>MAXIMUS FORTUNE</v>
      </c>
      <c r="AI88" s="176"/>
      <c r="AJ88" s="176"/>
      <c r="AK88" s="176"/>
      <c r="AL88" s="176"/>
      <c r="AM88" s="176"/>
      <c r="AN88" s="176"/>
      <c r="AO88" s="129">
        <f t="shared" si="56"/>
        <v>0</v>
      </c>
      <c r="AP88" s="128">
        <f t="shared" si="56"/>
        <v>3</v>
      </c>
      <c r="AQ88" s="175" t="str">
        <f t="array" ref="AQ88">_xlfn._xlws.FILTER('[1]ALFABETICO SEM'!$M$1:$M$196, ('[1]ALFABETICO SEM'!$L$1:$L$196 = AP$83) * ('[1]ALFABETICO SEM'!$N$1:$N$196 = AP88), " - ")</f>
        <v>WAY TOO MUCH</v>
      </c>
      <c r="AR88" s="176"/>
      <c r="AS88" s="176"/>
      <c r="AT88" s="176"/>
      <c r="AU88" s="176"/>
      <c r="AV88" s="176"/>
      <c r="AW88" s="176"/>
      <c r="AX88" s="129">
        <f t="shared" si="57"/>
        <v>0</v>
      </c>
      <c r="AY88" s="128">
        <f t="shared" si="57"/>
        <v>2</v>
      </c>
      <c r="AZ88" s="175" t="str">
        <f t="array" ref="AZ88">_xlfn._xlws.FILTER('[1]ALFABETICO SEM'!$M$1:$M$196, ('[1]ALFABETICO SEM'!$L$1:$L$196 = AY$83) * ('[1]ALFABETICO SEM'!$N$1:$N$196 = AY88), " - ")</f>
        <v>ABUELO</v>
      </c>
      <c r="BA88" s="176"/>
      <c r="BB88" s="176"/>
      <c r="BC88" s="176"/>
      <c r="BD88" s="176"/>
      <c r="BE88" s="176"/>
      <c r="BF88" s="176"/>
      <c r="BG88" s="129">
        <f t="shared" si="58"/>
        <v>0</v>
      </c>
      <c r="BH88" s="128">
        <f t="shared" si="58"/>
        <v>6</v>
      </c>
      <c r="BI88" s="175" t="str">
        <f t="array" ref="BI88">_xlfn._xlws.FILTER('[1]ALFABETICO SEM'!$M$1:$M$196, ('[1]ALFABETICO SEM'!$L$1:$L$196 = BH$83) * ('[1]ALFABETICO SEM'!$N$1:$N$196 = BH88), " - ")</f>
        <v>BUCEFALO</v>
      </c>
      <c r="BJ88" s="176"/>
      <c r="BK88" s="176"/>
      <c r="BL88" s="176"/>
      <c r="BM88" s="176"/>
      <c r="BN88" s="176"/>
      <c r="BO88" s="176"/>
      <c r="BP88" s="141">
        <f t="shared" si="59"/>
        <v>0</v>
      </c>
      <c r="BQ88" s="103"/>
      <c r="BR88" s="103"/>
      <c r="BS88" s="103"/>
      <c r="BT88" s="103"/>
      <c r="BU88" s="103"/>
      <c r="BV88" s="103"/>
      <c r="BW88" s="103"/>
      <c r="BX88" s="103"/>
      <c r="BY88" s="103"/>
      <c r="BZ88" s="103"/>
      <c r="CA88" s="103"/>
      <c r="CB88" s="103"/>
      <c r="CC88" s="103"/>
      <c r="CD88" s="103"/>
      <c r="CE88" s="103"/>
      <c r="CF88" s="103"/>
      <c r="CG88" s="103"/>
      <c r="EH88" s="388"/>
      <c r="EI88" s="388"/>
      <c r="EJ88" s="388"/>
    </row>
    <row r="89" spans="1:140" ht="30" customHeight="1" x14ac:dyDescent="0.4">
      <c r="A89" s="3"/>
      <c r="B89" s="128">
        <f t="shared" si="51"/>
        <v>3</v>
      </c>
      <c r="C89" s="175" t="str">
        <f t="array" ref="C89">_xlfn._xlws.FILTER('[1]ALFABETICO SEM'!$M$1:$M$196, ('[1]ALFABETICO SEM'!$L$1:$L$196 = $B$83) * ('[1]ALFABETICO SEM'!$N$1:$N$196 = B89), " - ")</f>
        <v>CEDSRUNNER</v>
      </c>
      <c r="D89" s="103"/>
      <c r="E89" s="129">
        <f t="shared" si="52"/>
        <v>0</v>
      </c>
      <c r="F89" s="128">
        <f t="shared" si="52"/>
        <v>6</v>
      </c>
      <c r="G89" s="175" t="str">
        <f t="array" ref="G89">_xlfn._xlws.FILTER('[1]ALFABETICO SEM'!$M$1:$M$196, ('[1]ALFABETICO SEM'!$L$1:$L$196 = $F$83) * ('[1]ALFABETICO SEM'!$N$1:$N$196 = F89), " - ")</f>
        <v>IMPETUOSA</v>
      </c>
      <c r="H89" s="176"/>
      <c r="I89" s="176"/>
      <c r="J89" s="176"/>
      <c r="K89" s="176"/>
      <c r="L89" s="176"/>
      <c r="M89" s="176"/>
      <c r="N89" s="129">
        <f t="shared" si="53"/>
        <v>0</v>
      </c>
      <c r="O89" s="128">
        <f t="shared" si="53"/>
        <v>8</v>
      </c>
      <c r="P89" s="175" t="str">
        <f t="array" ref="P89">_xlfn._xlws.FILTER('[1]ALFABETICO SEM'!$M$1:$M$196, ('[1]ALFABETICO SEM'!$L$1:$L$196 = O$83) * ('[1]ALFABETICO SEM'!$N$1:$N$196 = O89), " - ")</f>
        <v>DEEP ATTACK</v>
      </c>
      <c r="Q89" s="176"/>
      <c r="R89" s="176"/>
      <c r="S89" s="176"/>
      <c r="T89" s="176"/>
      <c r="U89" s="176"/>
      <c r="V89" s="176"/>
      <c r="W89" s="129">
        <f t="shared" si="54"/>
        <v>0</v>
      </c>
      <c r="X89" s="128">
        <f t="shared" si="54"/>
        <v>1</v>
      </c>
      <c r="Y89" s="175" t="str">
        <f t="array" ref="Y89">_xlfn._xlws.FILTER('[1]ALFABETICO SEM'!$M$1:$M$196, ('[1]ALFABETICO SEM'!$L$1:$L$196 = X$83) * ('[1]ALFABETICO SEM'!$N$1:$N$196 = X89), " - ")</f>
        <v>RUE DU BAC</v>
      </c>
      <c r="Z89" s="176"/>
      <c r="AA89" s="176"/>
      <c r="AB89" s="176"/>
      <c r="AC89" s="176"/>
      <c r="AD89" s="176"/>
      <c r="AE89" s="176"/>
      <c r="AF89" s="129">
        <f t="shared" si="55"/>
        <v>0</v>
      </c>
      <c r="AG89" s="128">
        <f t="shared" si="55"/>
        <v>5</v>
      </c>
      <c r="AH89" s="175" t="str">
        <f t="array" ref="AH89">_xlfn._xlws.FILTER('[1]ALFABETICO SEM'!$M$1:$M$196, ('[1]ALFABETICO SEM'!$L$1:$L$196 = AG$83) * ('[1]ALFABETICO SEM'!$N$1:$N$196 = AG89), " - ")</f>
        <v>EL GRAN ELADIO</v>
      </c>
      <c r="AI89" s="176"/>
      <c r="AJ89" s="176"/>
      <c r="AK89" s="176"/>
      <c r="AL89" s="176"/>
      <c r="AM89" s="176"/>
      <c r="AN89" s="176"/>
      <c r="AO89" s="129">
        <f t="shared" si="56"/>
        <v>0</v>
      </c>
      <c r="AP89" s="128">
        <f t="shared" si="56"/>
        <v>7</v>
      </c>
      <c r="AQ89" s="175" t="str">
        <f t="array" ref="AQ89">_xlfn._xlws.FILTER('[1]ALFABETICO SEM'!$M$1:$M$196, ('[1]ALFABETICO SEM'!$L$1:$L$196 = AP$83) * ('[1]ALFABETICO SEM'!$N$1:$N$196 = AP89), " - ")</f>
        <v>ALANA</v>
      </c>
      <c r="AR89" s="176"/>
      <c r="AS89" s="176"/>
      <c r="AT89" s="176"/>
      <c r="AU89" s="176"/>
      <c r="AV89" s="176"/>
      <c r="AW89" s="176"/>
      <c r="AX89" s="129">
        <f t="shared" si="57"/>
        <v>0</v>
      </c>
      <c r="AY89" s="128">
        <f t="shared" si="57"/>
        <v>9</v>
      </c>
      <c r="AZ89" s="175">
        <f t="array" ref="AZ89">_xlfn._xlws.FILTER('[1]ALFABETICO SEM'!$M$1:$M$196, ('[1]ALFABETICO SEM'!$L$1:$L$196 = AY$83) * ('[1]ALFABETICO SEM'!$N$1:$N$196 = AY89), " - ")</f>
        <v>0</v>
      </c>
      <c r="BA89" s="176"/>
      <c r="BB89" s="176"/>
      <c r="BC89" s="176"/>
      <c r="BD89" s="176"/>
      <c r="BE89" s="176"/>
      <c r="BF89" s="176"/>
      <c r="BG89" s="129">
        <f t="shared" si="58"/>
        <v>0</v>
      </c>
      <c r="BH89" s="128">
        <f t="shared" si="58"/>
        <v>4</v>
      </c>
      <c r="BI89" s="175" t="str">
        <f t="array" ref="BI89">_xlfn._xlws.FILTER('[1]ALFABETICO SEM'!$M$1:$M$196, ('[1]ALFABETICO SEM'!$L$1:$L$196 = BH$83) * ('[1]ALFABETICO SEM'!$N$1:$N$196 = BH89), " - ")</f>
        <v>KILIMANJARO</v>
      </c>
      <c r="BJ89" s="176"/>
      <c r="BK89" s="176"/>
      <c r="BL89" s="176"/>
      <c r="BM89" s="176"/>
      <c r="BN89" s="176"/>
      <c r="BO89" s="176"/>
      <c r="BP89" s="141">
        <f t="shared" si="59"/>
        <v>0</v>
      </c>
      <c r="BQ89" s="103"/>
      <c r="BR89" s="103"/>
      <c r="BS89" s="103"/>
      <c r="BT89" s="103"/>
      <c r="BU89" s="103"/>
      <c r="BV89" s="103"/>
      <c r="BW89" s="103"/>
      <c r="BX89" s="103"/>
      <c r="BY89" s="103"/>
      <c r="BZ89" s="103"/>
      <c r="CA89" s="103"/>
      <c r="CB89" s="103"/>
      <c r="CC89" s="103"/>
      <c r="CD89" s="103"/>
      <c r="CE89" s="103"/>
      <c r="CF89" s="103"/>
      <c r="CG89" s="103"/>
      <c r="EH89" s="388"/>
      <c r="EI89" s="388"/>
      <c r="EJ89" s="388"/>
    </row>
    <row r="90" spans="1:140" ht="24.75" customHeight="1" x14ac:dyDescent="0.4">
      <c r="A90" s="3"/>
      <c r="B90" s="130">
        <f t="shared" si="51"/>
        <v>5</v>
      </c>
      <c r="C90" s="175" t="str">
        <f t="array" ref="C90">_xlfn._xlws.FILTER('[1]ALFABETICO SEM'!$M$1:$M$196, ('[1]ALFABETICO SEM'!$L$1:$L$196 = $B$83) * ('[1]ALFABETICO SEM'!$N$1:$N$196 = B90), " - ")</f>
        <v>VISION</v>
      </c>
      <c r="D90" s="132"/>
      <c r="E90" s="133">
        <f t="shared" si="52"/>
        <v>0</v>
      </c>
      <c r="F90" s="130">
        <f t="shared" si="52"/>
        <v>10</v>
      </c>
      <c r="G90" s="175" t="str">
        <f t="array" ref="G90">_xlfn._xlws.FILTER('[1]ALFABETICO SEM'!$M$1:$M$196, ('[1]ALFABETICO SEM'!$L$1:$L$196 = $F$83) * ('[1]ALFABETICO SEM'!$N$1:$N$196 = F90), " - ")</f>
        <v>SICARIGUA</v>
      </c>
      <c r="H90" s="134"/>
      <c r="I90" s="134"/>
      <c r="J90" s="134"/>
      <c r="K90" s="134"/>
      <c r="L90" s="134"/>
      <c r="M90" s="134"/>
      <c r="N90" s="133">
        <f t="shared" si="53"/>
        <v>0</v>
      </c>
      <c r="O90" s="130">
        <f t="shared" si="53"/>
        <v>4</v>
      </c>
      <c r="P90" s="175" t="str">
        <f t="array" ref="P90">_xlfn._xlws.FILTER('[1]ALFABETICO SEM'!$M$1:$M$196, ('[1]ALFABETICO SEM'!$L$1:$L$196 = O$83) * ('[1]ALFABETICO SEM'!$N$1:$N$196 = O90), " - ")</f>
        <v>ABU PEPE</v>
      </c>
      <c r="Q90" s="134"/>
      <c r="R90" s="134"/>
      <c r="S90" s="134"/>
      <c r="T90" s="134"/>
      <c r="U90" s="134"/>
      <c r="V90" s="134"/>
      <c r="W90" s="133">
        <f t="shared" si="54"/>
        <v>0</v>
      </c>
      <c r="X90" s="130">
        <f t="shared" si="54"/>
        <v>2</v>
      </c>
      <c r="Y90" s="175" t="str">
        <f t="array" ref="Y90">_xlfn._xlws.FILTER('[1]ALFABETICO SEM'!$M$1:$M$196, ('[1]ALFABETICO SEM'!$L$1:$L$196 = X$83) * ('[1]ALFABETICO SEM'!$N$1:$N$196 = X90), " - ")</f>
        <v>MIA SOPHIA</v>
      </c>
      <c r="Z90" s="134"/>
      <c r="AA90" s="134"/>
      <c r="AB90" s="134"/>
      <c r="AC90" s="134"/>
      <c r="AD90" s="134"/>
      <c r="AE90" s="134"/>
      <c r="AF90" s="133">
        <f t="shared" si="55"/>
        <v>0</v>
      </c>
      <c r="AG90" s="130">
        <f t="shared" si="55"/>
        <v>6</v>
      </c>
      <c r="AH90" s="175" t="str">
        <f t="array" ref="AH90">_xlfn._xlws.FILTER('[1]ALFABETICO SEM'!$M$1:$M$196, ('[1]ALFABETICO SEM'!$L$1:$L$196 = AG$83) * ('[1]ALFABETICO SEM'!$N$1:$N$196 = AG90), " - ")</f>
        <v>TUCO SALAMANCA</v>
      </c>
      <c r="AI90" s="134"/>
      <c r="AJ90" s="134"/>
      <c r="AK90" s="134"/>
      <c r="AL90" s="134"/>
      <c r="AM90" s="134"/>
      <c r="AN90" s="134"/>
      <c r="AO90" s="133">
        <f t="shared" si="56"/>
        <v>0</v>
      </c>
      <c r="AP90" s="128">
        <f t="shared" si="56"/>
        <v>2</v>
      </c>
      <c r="AQ90" s="175" t="str">
        <f t="array" ref="AQ90">_xlfn._xlws.FILTER('[1]ALFABETICO SEM'!$M$1:$M$196, ('[1]ALFABETICO SEM'!$L$1:$L$196 = AP$83) * ('[1]ALFABETICO SEM'!$N$1:$N$196 = AP90), " - ")</f>
        <v>YANKEE LAKE</v>
      </c>
      <c r="AR90" s="134"/>
      <c r="AS90" s="134"/>
      <c r="AT90" s="134"/>
      <c r="AU90" s="134"/>
      <c r="AV90" s="134"/>
      <c r="AW90" s="134"/>
      <c r="AX90" s="129">
        <f t="shared" si="57"/>
        <v>0</v>
      </c>
      <c r="AY90" s="128">
        <f t="shared" si="57"/>
        <v>3</v>
      </c>
      <c r="AZ90" s="175" t="str">
        <f t="array" ref="AZ90">_xlfn._xlws.FILTER('[1]ALFABETICO SEM'!$M$1:$M$196, ('[1]ALFABETICO SEM'!$L$1:$L$196 = AY$83) * ('[1]ALFABETICO SEM'!$N$1:$N$196 = AY90), " - ")</f>
        <v>GRANDIOSSUS</v>
      </c>
      <c r="BA90" s="176"/>
      <c r="BB90" s="176"/>
      <c r="BC90" s="176"/>
      <c r="BD90" s="176"/>
      <c r="BE90" s="176"/>
      <c r="BF90" s="176"/>
      <c r="BG90" s="129">
        <f t="shared" si="58"/>
        <v>0</v>
      </c>
      <c r="BH90" s="128">
        <f t="shared" si="58"/>
        <v>7</v>
      </c>
      <c r="BI90" s="175" t="str">
        <f t="array" ref="BI90">_xlfn._xlws.FILTER('[1]ALFABETICO SEM'!$M$1:$M$196, ('[1]ALFABETICO SEM'!$L$1:$L$196 = BH$83) * ('[1]ALFABETICO SEM'!$N$1:$N$196 = BH90), " - ")</f>
        <v>SIEMPRE</v>
      </c>
      <c r="BJ90" s="176"/>
      <c r="BK90" s="176"/>
      <c r="BL90" s="176"/>
      <c r="BM90" s="176"/>
      <c r="BN90" s="176"/>
      <c r="BO90" s="176"/>
      <c r="BP90" s="141">
        <f t="shared" si="59"/>
        <v>0</v>
      </c>
      <c r="BQ90" s="103"/>
      <c r="BR90" s="103"/>
      <c r="BS90" s="103"/>
      <c r="BT90" s="103"/>
      <c r="BU90" s="103"/>
      <c r="BV90" s="103"/>
      <c r="BW90" s="103"/>
      <c r="BX90" s="103"/>
      <c r="BY90" s="103"/>
      <c r="BZ90" s="103"/>
      <c r="CA90" s="103"/>
      <c r="CB90" s="103"/>
      <c r="CC90" s="103"/>
      <c r="CD90" s="103"/>
      <c r="CE90" s="103"/>
      <c r="CF90" s="103"/>
      <c r="CG90" s="103"/>
      <c r="EH90" s="388"/>
      <c r="EI90" s="388"/>
      <c r="EJ90" s="388"/>
    </row>
    <row r="91" spans="1:140" ht="30" customHeight="1" x14ac:dyDescent="0.4">
      <c r="A91" s="3"/>
      <c r="B91" s="541">
        <f>(B5 + 1)</f>
        <v>1</v>
      </c>
      <c r="C91" s="183"/>
      <c r="D91" s="183"/>
      <c r="E91" s="184"/>
      <c r="F91" s="541">
        <f>(B5+ 2)</f>
        <v>2</v>
      </c>
      <c r="G91" s="183"/>
      <c r="H91" s="183"/>
      <c r="I91" s="183"/>
      <c r="J91" s="183"/>
      <c r="K91" s="183"/>
      <c r="L91" s="183"/>
      <c r="M91" s="183"/>
      <c r="N91" s="184"/>
      <c r="O91" s="541">
        <f>(B5 + 3)</f>
        <v>3</v>
      </c>
      <c r="P91" s="183"/>
      <c r="Q91" s="183"/>
      <c r="R91" s="183"/>
      <c r="S91" s="183"/>
      <c r="T91" s="183"/>
      <c r="U91" s="183"/>
      <c r="V91" s="183"/>
      <c r="W91" s="184"/>
      <c r="X91" s="541">
        <f>(B5 + 4)</f>
        <v>4</v>
      </c>
      <c r="Y91" s="183"/>
      <c r="Z91" s="183"/>
      <c r="AA91" s="183"/>
      <c r="AB91" s="183"/>
      <c r="AC91" s="183"/>
      <c r="AD91" s="183"/>
      <c r="AE91" s="183"/>
      <c r="AF91" s="184"/>
      <c r="AG91" s="541">
        <f>(B5 + 5)</f>
        <v>5</v>
      </c>
      <c r="AH91" s="183"/>
      <c r="AI91" s="183"/>
      <c r="AJ91" s="183"/>
      <c r="AK91" s="183"/>
      <c r="AL91" s="183"/>
      <c r="AM91" s="183"/>
      <c r="AN91" s="183"/>
      <c r="AO91" s="184"/>
      <c r="AP91" s="541">
        <f>(B5 + 6)</f>
        <v>6</v>
      </c>
      <c r="AQ91" s="183"/>
      <c r="AR91" s="183"/>
      <c r="AS91" s="183"/>
      <c r="AT91" s="183"/>
      <c r="AU91" s="183"/>
      <c r="AV91" s="183"/>
      <c r="AW91" s="183"/>
      <c r="AX91" s="184"/>
      <c r="AY91" s="541">
        <f>(B5 + 7)</f>
        <v>7</v>
      </c>
      <c r="AZ91" s="183"/>
      <c r="BA91" s="183"/>
      <c r="BB91" s="183"/>
      <c r="BC91" s="183"/>
      <c r="BD91" s="183"/>
      <c r="BE91" s="183"/>
      <c r="BF91" s="183"/>
      <c r="BG91" s="184"/>
      <c r="BH91" s="541">
        <f>(B5 + 8)</f>
        <v>8</v>
      </c>
      <c r="BI91" s="183"/>
      <c r="BJ91" s="183"/>
      <c r="BK91" s="183"/>
      <c r="BL91" s="183"/>
      <c r="BM91" s="183"/>
      <c r="BN91" s="183"/>
      <c r="BO91" s="183"/>
      <c r="BP91" s="184"/>
      <c r="EH91" s="388"/>
      <c r="EI91" s="388"/>
      <c r="EJ91" s="388"/>
    </row>
    <row r="92" spans="1:140" ht="30" customHeight="1" x14ac:dyDescent="0.35">
      <c r="A92" s="3"/>
      <c r="B92" s="269" t="s">
        <v>280</v>
      </c>
      <c r="C92" s="178" t="s">
        <v>285</v>
      </c>
      <c r="D92" s="178"/>
      <c r="E92" s="135" t="s">
        <v>165</v>
      </c>
      <c r="F92" s="269" t="s">
        <v>280</v>
      </c>
      <c r="G92" s="178" t="s">
        <v>285</v>
      </c>
      <c r="H92" s="178"/>
      <c r="I92" s="178"/>
      <c r="J92" s="178"/>
      <c r="K92" s="178"/>
      <c r="L92" s="178"/>
      <c r="M92" s="178"/>
      <c r="N92" s="135" t="s">
        <v>165</v>
      </c>
      <c r="O92" s="269" t="s">
        <v>280</v>
      </c>
      <c r="P92" s="178" t="s">
        <v>285</v>
      </c>
      <c r="Q92" s="178"/>
      <c r="R92" s="178"/>
      <c r="S92" s="178"/>
      <c r="T92" s="178"/>
      <c r="U92" s="178"/>
      <c r="V92" s="178"/>
      <c r="W92" s="135" t="s">
        <v>165</v>
      </c>
      <c r="X92" s="269" t="s">
        <v>280</v>
      </c>
      <c r="Y92" s="178" t="s">
        <v>285</v>
      </c>
      <c r="Z92" s="178"/>
      <c r="AA92" s="178"/>
      <c r="AB92" s="178"/>
      <c r="AC92" s="178"/>
      <c r="AD92" s="178"/>
      <c r="AE92" s="178"/>
      <c r="AF92" s="135" t="s">
        <v>165</v>
      </c>
      <c r="AG92" s="269" t="s">
        <v>280</v>
      </c>
      <c r="AH92" s="178" t="s">
        <v>285</v>
      </c>
      <c r="AI92" s="178"/>
      <c r="AJ92" s="178"/>
      <c r="AK92" s="178"/>
      <c r="AL92" s="178"/>
      <c r="AM92" s="178"/>
      <c r="AN92" s="178"/>
      <c r="AO92" s="177" t="s">
        <v>165</v>
      </c>
      <c r="AP92" s="269" t="s">
        <v>280</v>
      </c>
      <c r="AQ92" s="178" t="s">
        <v>285</v>
      </c>
      <c r="AR92" s="178"/>
      <c r="AS92" s="178"/>
      <c r="AT92" s="178"/>
      <c r="AU92" s="178"/>
      <c r="AV92" s="178"/>
      <c r="AW92" s="178"/>
      <c r="AX92" s="135" t="s">
        <v>165</v>
      </c>
      <c r="AY92" s="269" t="s">
        <v>280</v>
      </c>
      <c r="AZ92" s="178" t="s">
        <v>285</v>
      </c>
      <c r="BA92" s="178"/>
      <c r="BB92" s="178"/>
      <c r="BC92" s="178"/>
      <c r="BD92" s="178"/>
      <c r="BE92" s="178"/>
      <c r="BF92" s="178"/>
      <c r="BG92" s="135" t="s">
        <v>165</v>
      </c>
      <c r="BH92" s="269" t="s">
        <v>280</v>
      </c>
      <c r="BI92" s="178" t="s">
        <v>285</v>
      </c>
      <c r="BJ92" s="178"/>
      <c r="BK92" s="178"/>
      <c r="BL92" s="178"/>
      <c r="BM92" s="178"/>
      <c r="BN92" s="178"/>
      <c r="BO92" s="178"/>
      <c r="BP92" s="135" t="s">
        <v>165</v>
      </c>
      <c r="EH92" s="388"/>
      <c r="EI92" s="388"/>
      <c r="EJ92" s="388"/>
    </row>
    <row r="93" spans="1:140" ht="24.75" customHeight="1" x14ac:dyDescent="0.4">
      <c r="A93" s="3"/>
      <c r="B93" s="179">
        <f t="array" ref="B93">INDEX(66:66,$B$5* 5 + 5)</f>
        <v>9</v>
      </c>
      <c r="C93" s="431" t="str">
        <f t="array" ref="C93">_xlfn._xlws.FILTER('[1]ALFABETICO SEM'!$M$1:$M$196, ('[1]ALFABETICO SEM'!$L$1:$L$196 = B$91) * ('[1]ALFABETICO SEM'!$N$1:$N$196 = B93), " - ")</f>
        <v>PAULA DEL CARMEN</v>
      </c>
      <c r="D93" s="180"/>
      <c r="E93" s="180">
        <f t="array" ref="E93">INDEX(66:66,$B$5* 5 + 9)</f>
        <v>0</v>
      </c>
      <c r="F93" s="179">
        <f t="array" ref="F93">INDEX(66:66,$B$5* 5+1 + 9)</f>
        <v>1</v>
      </c>
      <c r="G93" s="431" t="str">
        <f t="array" ref="G93">_xlfn._xlws.FILTER('[1]ALFABETICO SEM'!$M$1:$M$196, ('[1]ALFABETICO SEM'!$L$1:$L$196 = F$91) * ('[1]ALFABETICO SEM'!$N$1:$N$196 = F93), " - ")</f>
        <v>MOSTAZA</v>
      </c>
      <c r="H93" s="180"/>
      <c r="I93" s="180"/>
      <c r="J93" s="180"/>
      <c r="K93" s="180"/>
      <c r="L93" s="180"/>
      <c r="M93" s="180"/>
      <c r="N93" s="138">
        <f t="array" ref="N93">INDEX(66:66,$B$5* 5 + 14)</f>
        <v>0</v>
      </c>
      <c r="O93" s="179">
        <f t="array" ref="O93">INDEX(66:66,$B$5* 5+1 + 14)</f>
        <v>5</v>
      </c>
      <c r="P93" s="431" t="str">
        <f t="array" ref="P93">_xlfn._xlws.FILTER('[1]ALFABETICO SEM'!$M$1:$M$196, ('[1]ALFABETICO SEM'!$L$1:$L$196 = O$91) * ('[1]ALFABETICO SEM'!$N$1:$N$196 = O93), " - ")</f>
        <v>RED TIME</v>
      </c>
      <c r="Q93" s="180"/>
      <c r="R93" s="180"/>
      <c r="S93" s="180"/>
      <c r="T93" s="180"/>
      <c r="U93" s="180"/>
      <c r="V93" s="180"/>
      <c r="W93" s="138">
        <f t="array" ref="W93">INDEX(66:66,$B$5* 5 + 19)</f>
        <v>0</v>
      </c>
      <c r="X93" s="179">
        <f t="array" ref="X93">INDEX(66:66,$B$5* 5+1 + 19)</f>
        <v>3</v>
      </c>
      <c r="Y93" s="431" t="str">
        <f t="array" ref="Y93">_xlfn._xlws.FILTER('[1]ALFABETICO SEM'!$M$1:$M$196, ('[1]ALFABETICO SEM'!$L$1:$L$196 = X$91) * ('[1]ALFABETICO SEM'!$N$1:$N$196 = X93), " - ")</f>
        <v>STARSHIP GOLD</v>
      </c>
      <c r="Z93" s="180"/>
      <c r="AA93" s="180"/>
      <c r="AB93" s="180"/>
      <c r="AC93" s="180"/>
      <c r="AD93" s="180"/>
      <c r="AE93" s="180"/>
      <c r="AF93" s="138">
        <f t="array" ref="AF93">INDEX(66:66,$B$5* 5 + 24)</f>
        <v>0</v>
      </c>
      <c r="AG93" s="179">
        <f t="array" ref="AG93">INDEX(66:66,$B$5* 5+1 + 24)</f>
        <v>2</v>
      </c>
      <c r="AH93" s="431" t="str">
        <f t="array" ref="AH93">_xlfn._xlws.FILTER('[1]ALFABETICO SEM'!$M$1:$M$196, ('[1]ALFABETICO SEM'!$L$1:$L$196 = AG$91) * ('[1]ALFABETICO SEM'!$N$1:$N$196 = AG93), " - ")</f>
        <v>TOWER STAR</v>
      </c>
      <c r="AI93" s="180"/>
      <c r="AJ93" s="180"/>
      <c r="AK93" s="180"/>
      <c r="AL93" s="180"/>
      <c r="AM93" s="180"/>
      <c r="AN93" s="180"/>
      <c r="AO93" s="138">
        <f t="array" ref="AO93">INDEX(66:66,$B$5* 5 + 29)</f>
        <v>0</v>
      </c>
      <c r="AP93" s="179">
        <f t="array" ref="AP93">INDEX(66:66,$B$5* 5+1 + 29)</f>
        <v>5</v>
      </c>
      <c r="AQ93" s="431" t="str">
        <f t="array" ref="AQ93">_xlfn._xlws.FILTER('[1]ALFABETICO SEM'!$M$1:$M$196, ('[1]ALFABETICO SEM'!$L$1:$L$196 = AP$91) * ('[1]ALFABETICO SEM'!$N$1:$N$196 = AP93), " - ")</f>
        <v>MAJESTIC SHOT</v>
      </c>
      <c r="AR93" s="180"/>
      <c r="AS93" s="180"/>
      <c r="AT93" s="180"/>
      <c r="AU93" s="180"/>
      <c r="AV93" s="180"/>
      <c r="AW93" s="180"/>
      <c r="AX93" s="138">
        <f t="array" ref="AX93">INDEX(66:66,$B$5* 5 + 34)</f>
        <v>0</v>
      </c>
      <c r="AY93" s="179">
        <f t="array" ref="AY93">INDEX(66:66,$B$5* 5+1 + 34)</f>
        <v>7</v>
      </c>
      <c r="AZ93" s="431" t="str">
        <f t="array" ref="AZ93">_xlfn._xlws.FILTER('[1]ALFABETICO SEM'!$M$1:$M$196, ('[1]ALFABETICO SEM'!$L$1:$L$196 = AY$91) * ('[1]ALFABETICO SEM'!$N$1:$N$196 = AY93), " - ")</f>
        <v>SILK EYES</v>
      </c>
      <c r="BA93" s="180"/>
      <c r="BB93" s="180"/>
      <c r="BC93" s="180"/>
      <c r="BD93" s="180"/>
      <c r="BE93" s="180"/>
      <c r="BF93" s="180"/>
      <c r="BG93" s="138">
        <f t="array" ref="BG93">INDEX(66:66,B5* 5 + 39)</f>
        <v>0</v>
      </c>
      <c r="BH93" s="430">
        <f t="array" ref="BH93">INDEX(66:66,$B$5* 5+1 + 34)</f>
        <v>7</v>
      </c>
      <c r="BI93" s="431" t="str">
        <f t="array" ref="BI93">_xlfn._xlws.FILTER('[1]ALFABETICO SEM'!$M$1:$M$196, ('[1]ALFABETICO SEM'!$L$1:$L$196 = BH$91) * ('[1]ALFABETICO SEM'!$N$1:$N$196 = BH93), " - ")</f>
        <v>SIEMPRE</v>
      </c>
      <c r="BJ93" s="180"/>
      <c r="BK93" s="180"/>
      <c r="BL93" s="180"/>
      <c r="BM93" s="180"/>
      <c r="BN93" s="180"/>
      <c r="BO93" s="180"/>
      <c r="BP93" s="138">
        <f t="array" ref="BP93">INDEX(66:66,$B$5* 5 + 39)</f>
        <v>0</v>
      </c>
      <c r="EH93" s="388"/>
      <c r="EI93" s="388"/>
      <c r="EJ93" s="388"/>
    </row>
    <row r="94" spans="1:140" ht="27.75" customHeight="1" x14ac:dyDescent="0.4">
      <c r="A94" s="3"/>
      <c r="B94" s="179">
        <f t="array" ref="B94">INDEX(67:67,$B$5* 5 + 5)</f>
        <v>2</v>
      </c>
      <c r="C94" s="432" t="str">
        <f t="array" ref="C94">_xlfn._xlws.FILTER('[1]ALFABETICO SEM'!$M$1:$M$196, ('[1]ALFABETICO SEM'!$L$1:$L$196 = B$91) * ('[1]ALFABETICO SEM'!$N$1:$N$196 = B94), " - ")</f>
        <v>TALENTOSO</v>
      </c>
      <c r="D94" s="176"/>
      <c r="E94" s="176">
        <f t="array" ref="E94">INDEX(67:67,$B$5* 5 + 9)</f>
        <v>0</v>
      </c>
      <c r="F94" s="179">
        <f t="array" ref="F94">INDEX(67:67,$B$5* 5+1 + 9)</f>
        <v>7</v>
      </c>
      <c r="G94" s="432" t="str">
        <f t="array" ref="G94">_xlfn._xlws.FILTER('[1]ALFABETICO SEM'!$M$1:$M$196, ('[1]ALFABETICO SEM'!$L$1:$L$196 = F$91) * ('[1]ALFABETICO SEM'!$N$1:$N$196 = F94), " - ")</f>
        <v>SALOME</v>
      </c>
      <c r="H94" s="176"/>
      <c r="I94" s="176"/>
      <c r="J94" s="176"/>
      <c r="K94" s="176"/>
      <c r="L94" s="176"/>
      <c r="M94" s="176"/>
      <c r="N94" s="129">
        <f t="array" ref="N94">INDEX(67:67,$B$5* 5 + 14)</f>
        <v>0</v>
      </c>
      <c r="O94" s="179">
        <f t="array" ref="O94">INDEX(67:67,$B$5* 5+1 + 14)</f>
        <v>1</v>
      </c>
      <c r="P94" s="432" t="str">
        <f t="array" ref="P94">_xlfn._xlws.FILTER('[1]ALFABETICO SEM'!$M$1:$M$196, ('[1]ALFABETICO SEM'!$L$1:$L$196 = O$91) * ('[1]ALFABETICO SEM'!$N$1:$N$196 = O94), " - ")</f>
        <v>FURETTO</v>
      </c>
      <c r="Q94" s="176"/>
      <c r="R94" s="176"/>
      <c r="S94" s="176"/>
      <c r="T94" s="176"/>
      <c r="U94" s="176"/>
      <c r="V94" s="176"/>
      <c r="W94" s="129">
        <f t="array" ref="W94">INDEX(67:67,$B$5* 5 + 19)</f>
        <v>0</v>
      </c>
      <c r="X94" s="179">
        <f t="array" ref="X94">INDEX(67:67,$B$5* 5+1 + 19)</f>
        <v>5</v>
      </c>
      <c r="Y94" s="432" t="str">
        <f t="array" ref="Y94">_xlfn._xlws.FILTER('[1]ALFABETICO SEM'!$M$1:$M$196, ('[1]ALFABETICO SEM'!$L$1:$L$196 = X$91) * ('[1]ALFABETICO SEM'!$N$1:$N$196 = X94), " - ")</f>
        <v>OROLINDA</v>
      </c>
      <c r="Z94" s="176"/>
      <c r="AA94" s="176"/>
      <c r="AB94" s="176"/>
      <c r="AC94" s="176"/>
      <c r="AD94" s="176"/>
      <c r="AE94" s="176"/>
      <c r="AF94" s="129">
        <f t="array" ref="AF94">INDEX(67:67,$B$5* 5 + 24)</f>
        <v>0</v>
      </c>
      <c r="AG94" s="179">
        <f t="array" ref="AG94">INDEX(67:67,$B$5* 5+1 + 24)</f>
        <v>1</v>
      </c>
      <c r="AH94" s="432" t="str">
        <f t="array" ref="AH94">_xlfn._xlws.FILTER('[1]ALFABETICO SEM'!$M$1:$M$196, ('[1]ALFABETICO SEM'!$L$1:$L$196 = AG$91) * ('[1]ALFABETICO SEM'!$N$1:$N$196 = AG94), " - ")</f>
        <v>TIME REPORT</v>
      </c>
      <c r="AI94" s="176"/>
      <c r="AJ94" s="176"/>
      <c r="AK94" s="176"/>
      <c r="AL94" s="176"/>
      <c r="AM94" s="176"/>
      <c r="AN94" s="176"/>
      <c r="AO94" s="129">
        <f t="array" ref="AO94">INDEX(67:67,$B$5* 5 + 29)</f>
        <v>0</v>
      </c>
      <c r="AP94" s="179">
        <f t="array" ref="AP94">INDEX(67:67,$B$5* 5+1 + 29)</f>
        <v>4</v>
      </c>
      <c r="AQ94" s="432" t="str">
        <f t="array" ref="AQ94">_xlfn._xlws.FILTER('[1]ALFABETICO SEM'!$M$1:$M$196, ('[1]ALFABETICO SEM'!$L$1:$L$196 = AP$91) * ('[1]ALFABETICO SEM'!$N$1:$N$196 = AP94), " - ")</f>
        <v>HONEY TIME</v>
      </c>
      <c r="AR94" s="176"/>
      <c r="AS94" s="176"/>
      <c r="AT94" s="176"/>
      <c r="AU94" s="176"/>
      <c r="AV94" s="176"/>
      <c r="AW94" s="176"/>
      <c r="AX94" s="129">
        <f t="array" ref="AX94">INDEX(67:67,$B$5* 5 + 34)</f>
        <v>0</v>
      </c>
      <c r="AY94" s="179">
        <f t="array" ref="AY94">INDEX(67:67,$B$5* 5+1 + 34)</f>
        <v>6</v>
      </c>
      <c r="AZ94" s="432" t="str">
        <f t="array" ref="AZ94">_xlfn._xlws.FILTER('[1]ALFABETICO SEM'!$M$1:$M$196, ('[1]ALFABETICO SEM'!$L$1:$L$196 = AY$91) * ('[1]ALFABETICO SEM'!$N$1:$N$196 = AY94), " - ")</f>
        <v>ZEPPELIN</v>
      </c>
      <c r="BA94" s="176"/>
      <c r="BB94" s="176"/>
      <c r="BC94" s="176"/>
      <c r="BD94" s="176"/>
      <c r="BE94" s="176"/>
      <c r="BF94" s="176"/>
      <c r="BG94" s="129">
        <f t="array" ref="BG94">INDEX(67:67,B6* 5 + 39)</f>
        <v>0</v>
      </c>
      <c r="BH94" s="430">
        <f t="array" ref="BH94">INDEX(67:67,$B$5* 5+1 + 34)</f>
        <v>6</v>
      </c>
      <c r="BI94" s="432" t="str">
        <f t="array" ref="BI94">_xlfn._xlws.FILTER('[1]ALFABETICO SEM'!$M$1:$M$196, ('[1]ALFABETICO SEM'!$L$1:$L$196 = BH$91) * ('[1]ALFABETICO SEM'!$N$1:$N$196 = BH94), " - ")</f>
        <v>BUCEFALO</v>
      </c>
      <c r="BJ94" s="176"/>
      <c r="BK94" s="176"/>
      <c r="BL94" s="176"/>
      <c r="BM94" s="176"/>
      <c r="BN94" s="176"/>
      <c r="BO94" s="176"/>
      <c r="BP94" s="129">
        <f t="array" ref="BP94">INDEX(67:67,$B$5* 5 + 39)</f>
        <v>0</v>
      </c>
      <c r="EH94" s="388"/>
      <c r="EI94" s="388"/>
      <c r="EJ94" s="388"/>
    </row>
    <row r="95" spans="1:140" ht="27.75" customHeight="1" x14ac:dyDescent="0.4">
      <c r="A95" s="3"/>
      <c r="B95" s="179">
        <f t="array" ref="B95">INDEX(68:68,$B$5* 5 + 5)</f>
        <v>6</v>
      </c>
      <c r="C95" s="432" t="str">
        <f t="array" ref="C95">_xlfn._xlws.FILTER('[1]ALFABETICO SEM'!$M$1:$M$196, ('[1]ALFABETICO SEM'!$L$1:$L$196 = B$91) * ('[1]ALFABETICO SEM'!$N$1:$N$196 = B95), " - ")</f>
        <v>DOCTOR ELY</v>
      </c>
      <c r="D95" s="176"/>
      <c r="E95" s="176">
        <f t="array" ref="E95">INDEX(68:68,$B$5* 5 + 9)</f>
        <v>0</v>
      </c>
      <c r="F95" s="179">
        <f t="array" ref="F95">INDEX(68:68,$B$5* 5+1 + 9)</f>
        <v>2</v>
      </c>
      <c r="G95" s="432" t="str">
        <f t="array" ref="G95">_xlfn._xlws.FILTER('[1]ALFABETICO SEM'!$M$1:$M$196, ('[1]ALFABETICO SEM'!$L$1:$L$196 = F$91) * ('[1]ALFABETICO SEM'!$N$1:$N$196 = F95), " - ")</f>
        <v>DECIDIDA</v>
      </c>
      <c r="H95" s="176"/>
      <c r="I95" s="176"/>
      <c r="J95" s="176"/>
      <c r="K95" s="176"/>
      <c r="L95" s="176"/>
      <c r="M95" s="176"/>
      <c r="N95" s="129">
        <f t="array" ref="N95">INDEX(68:68,$B$5* 5 + 14)</f>
        <v>0</v>
      </c>
      <c r="O95" s="179">
        <f t="array" ref="O95">INDEX(68:68,$B$5* 5+1 + 14)</f>
        <v>3</v>
      </c>
      <c r="P95" s="432" t="str">
        <f t="array" ref="P95">_xlfn._xlws.FILTER('[1]ALFABETICO SEM'!$M$1:$M$196, ('[1]ALFABETICO SEM'!$L$1:$L$196 = O$91) * ('[1]ALFABETICO SEM'!$N$1:$N$196 = O95), " - ")</f>
        <v>FORTY TIME</v>
      </c>
      <c r="Q95" s="176"/>
      <c r="R95" s="176"/>
      <c r="S95" s="176"/>
      <c r="T95" s="176"/>
      <c r="U95" s="176"/>
      <c r="V95" s="176"/>
      <c r="W95" s="129">
        <f t="array" ref="W95">INDEX(68:68,$B$5* 5 + 19)</f>
        <v>0</v>
      </c>
      <c r="X95" s="179">
        <f t="array" ref="X95">INDEX(68:68,$B$5* 5+1 + 19)</f>
        <v>7</v>
      </c>
      <c r="Y95" s="432" t="str">
        <f t="array" ref="Y95">_xlfn._xlws.FILTER('[1]ALFABETICO SEM'!$M$1:$M$196, ('[1]ALFABETICO SEM'!$L$1:$L$196 = X$91) * ('[1]ALFABETICO SEM'!$N$1:$N$196 = X95), " - ")</f>
        <v>GRAN FERONIA</v>
      </c>
      <c r="Z95" s="176"/>
      <c r="AA95" s="176"/>
      <c r="AB95" s="176"/>
      <c r="AC95" s="176"/>
      <c r="AD95" s="176"/>
      <c r="AE95" s="176"/>
      <c r="AF95" s="129">
        <f t="array" ref="AF95">INDEX(68:68,$B$5* 5 + 24)</f>
        <v>0</v>
      </c>
      <c r="AG95" s="179">
        <f t="array" ref="AG95">INDEX(68:68,$B$5* 5+1 + 24)</f>
        <v>7</v>
      </c>
      <c r="AH95" s="432" t="str">
        <f t="array" ref="AH95">_xlfn._xlws.FILTER('[1]ALFABETICO SEM'!$M$1:$M$196, ('[1]ALFABETICO SEM'!$L$1:$L$196 = AG$91) * ('[1]ALFABETICO SEM'!$N$1:$N$196 = AG95), " - ")</f>
        <v>BRAVUCON</v>
      </c>
      <c r="AI95" s="176"/>
      <c r="AJ95" s="176"/>
      <c r="AK95" s="176"/>
      <c r="AL95" s="176"/>
      <c r="AM95" s="176"/>
      <c r="AN95" s="176"/>
      <c r="AO95" s="129">
        <f t="array" ref="AO95">INDEX(68:68,$B$5* 5 + 29)</f>
        <v>0</v>
      </c>
      <c r="AP95" s="179">
        <f t="array" ref="AP95">INDEX(68:68,$B$5* 5+1 + 29)</f>
        <v>10</v>
      </c>
      <c r="AQ95" s="432" t="str">
        <f t="array" ref="AQ95">_xlfn._xlws.FILTER('[1]ALFABETICO SEM'!$M$1:$M$196, ('[1]ALFABETICO SEM'!$L$1:$L$196 = AP$91) * ('[1]ALFABETICO SEM'!$N$1:$N$196 = AP95), " - ")</f>
        <v>LELIZAMAR</v>
      </c>
      <c r="AR95" s="176"/>
      <c r="AS95" s="176"/>
      <c r="AT95" s="176"/>
      <c r="AU95" s="176"/>
      <c r="AV95" s="176"/>
      <c r="AW95" s="176"/>
      <c r="AX95" s="129">
        <f t="array" ref="AX95">INDEX(68:68,$B$5* 5 + 34)</f>
        <v>0</v>
      </c>
      <c r="AY95" s="179">
        <f t="array" ref="AY95">INDEX(68:68,$B$5* 5+1 + 34)</f>
        <v>8</v>
      </c>
      <c r="AZ95" s="432" t="str">
        <f t="array" ref="AZ95">_xlfn._xlws.FILTER('[1]ALFABETICO SEM'!$M$1:$M$196, ('[1]ALFABETICO SEM'!$L$1:$L$196 = AY$91) * ('[1]ALFABETICO SEM'!$N$1:$N$196 = AY95), " - ")</f>
        <v>LOOK AT DADDY</v>
      </c>
      <c r="BA95" s="176"/>
      <c r="BB95" s="176"/>
      <c r="BC95" s="176"/>
      <c r="BD95" s="176"/>
      <c r="BE95" s="176"/>
      <c r="BF95" s="176"/>
      <c r="BG95" s="129">
        <f t="array" ref="BG95">INDEX(68:68,B7* 5 + 39)</f>
        <v>0</v>
      </c>
      <c r="BH95" s="430">
        <f t="array" ref="BH95">INDEX(68:68,$B$5* 5+1 + 34)</f>
        <v>8</v>
      </c>
      <c r="BI95" s="432" t="str">
        <f t="array" ref="BI95">_xlfn._xlws.FILTER('[1]ALFABETICO SEM'!$M$1:$M$196, ('[1]ALFABETICO SEM'!$L$1:$L$196 = BH$91) * ('[1]ALFABETICO SEM'!$N$1:$N$196 = BH95), " - ")</f>
        <v>KING NYSOS</v>
      </c>
      <c r="BJ95" s="176"/>
      <c r="BK95" s="176"/>
      <c r="BL95" s="176"/>
      <c r="BM95" s="176"/>
      <c r="BN95" s="176"/>
      <c r="BO95" s="176"/>
      <c r="BP95" s="129">
        <f t="array" ref="BP95">INDEX(68:68,$B$5* 5 + 39)</f>
        <v>0</v>
      </c>
      <c r="EH95" s="388"/>
      <c r="EI95" s="388"/>
      <c r="EJ95" s="388"/>
    </row>
    <row r="96" spans="1:140" ht="27.75" customHeight="1" x14ac:dyDescent="0.4">
      <c r="A96" s="3"/>
      <c r="B96" s="179">
        <f t="array" ref="B96">INDEX(69:69,$B$5* 5 + 5)</f>
        <v>4</v>
      </c>
      <c r="C96" s="432" t="str">
        <f t="array" ref="C96">_xlfn._xlws.FILTER('[1]ALFABETICO SEM'!$M$1:$M$196, ('[1]ALFABETICO SEM'!$L$1:$L$196 = B$91) * ('[1]ALFABETICO SEM'!$N$1:$N$196 = B96), " - ")</f>
        <v>BELIEVE ANDREW</v>
      </c>
      <c r="D96" s="176"/>
      <c r="E96" s="176">
        <f t="array" ref="E96">INDEX(69:69,$B$5* 5 + 9)</f>
        <v>0</v>
      </c>
      <c r="F96" s="179">
        <f t="array" ref="F96">INDEX(69:69,$B$5* 5+1 + 9)</f>
        <v>4</v>
      </c>
      <c r="G96" s="432" t="str">
        <f t="array" ref="G96">_xlfn._xlws.FILTER('[1]ALFABETICO SEM'!$M$1:$M$196, ('[1]ALFABETICO SEM'!$L$1:$L$196 = F$91) * ('[1]ALFABETICO SEM'!$N$1:$N$196 = F96), " - ")</f>
        <v>PAINT WHITE</v>
      </c>
      <c r="H96" s="176"/>
      <c r="I96" s="176"/>
      <c r="J96" s="176"/>
      <c r="K96" s="176"/>
      <c r="L96" s="176"/>
      <c r="M96" s="176"/>
      <c r="N96" s="129">
        <f t="array" ref="N96">INDEX(69:69,$B$5* 5 + 14)</f>
        <v>0</v>
      </c>
      <c r="O96" s="179">
        <f t="array" ref="O96">INDEX(69:69,$B$5* 5+1 + 14)</f>
        <v>7</v>
      </c>
      <c r="P96" s="432" t="str">
        <f t="array" ref="P96">_xlfn._xlws.FILTER('[1]ALFABETICO SEM'!$M$1:$M$196, ('[1]ALFABETICO SEM'!$L$1:$L$196 = O$91) * ('[1]ALFABETICO SEM'!$N$1:$N$196 = O96), " - ")</f>
        <v>MAHOMES</v>
      </c>
      <c r="Q96" s="176"/>
      <c r="R96" s="176"/>
      <c r="S96" s="176"/>
      <c r="T96" s="176"/>
      <c r="U96" s="176"/>
      <c r="V96" s="176"/>
      <c r="W96" s="129">
        <f t="array" ref="W96">INDEX(69:69,$B$5* 5 + 19)</f>
        <v>0</v>
      </c>
      <c r="X96" s="179">
        <f t="array" ref="X96">INDEX(69:69,$B$5* 5+1 + 19)</f>
        <v>4</v>
      </c>
      <c r="Y96" s="432" t="str">
        <f t="array" ref="Y96">_xlfn._xlws.FILTER('[1]ALFABETICO SEM'!$M$1:$M$196, ('[1]ALFABETICO SEM'!$L$1:$L$196 = X$91) * ('[1]ALFABETICO SEM'!$N$1:$N$196 = X96), " - ")</f>
        <v>FRANCISS ROSE</v>
      </c>
      <c r="Z96" s="176"/>
      <c r="AA96" s="176"/>
      <c r="AB96" s="176"/>
      <c r="AC96" s="176"/>
      <c r="AD96" s="176"/>
      <c r="AE96" s="176"/>
      <c r="AF96" s="129">
        <f t="array" ref="AF96">INDEX(69:69,$B$5* 5 + 24)</f>
        <v>0</v>
      </c>
      <c r="AG96" s="179">
        <f t="array" ref="AG96">INDEX(69:69,$B$5* 5+1 + 24)</f>
        <v>4</v>
      </c>
      <c r="AH96" s="432" t="str">
        <f t="array" ref="AH96">_xlfn._xlws.FILTER('[1]ALFABETICO SEM'!$M$1:$M$196, ('[1]ALFABETICO SEM'!$L$1:$L$196 = AG$91) * ('[1]ALFABETICO SEM'!$N$1:$N$196 = AG96), " - ")</f>
        <v>MAXIMUS FORTUNE</v>
      </c>
      <c r="AI96" s="176"/>
      <c r="AJ96" s="176"/>
      <c r="AK96" s="176"/>
      <c r="AL96" s="176"/>
      <c r="AM96" s="176"/>
      <c r="AN96" s="176"/>
      <c r="AO96" s="129">
        <f t="array" ref="AO96">INDEX(69:69,$B$5* 5 + 29)</f>
        <v>0</v>
      </c>
      <c r="AP96" s="179">
        <f t="array" ref="AP96">INDEX(69:69,$B$5* 5+1 + 29)</f>
        <v>3</v>
      </c>
      <c r="AQ96" s="432" t="str">
        <f t="array" ref="AQ96">_xlfn._xlws.FILTER('[1]ALFABETICO SEM'!$M$1:$M$196, ('[1]ALFABETICO SEM'!$L$1:$L$196 = AP$91) * ('[1]ALFABETICO SEM'!$N$1:$N$196 = AP96), " - ")</f>
        <v>WAY TOO MUCH</v>
      </c>
      <c r="AR96" s="176"/>
      <c r="AS96" s="176"/>
      <c r="AT96" s="176"/>
      <c r="AU96" s="176"/>
      <c r="AV96" s="176"/>
      <c r="AW96" s="176"/>
      <c r="AX96" s="129">
        <f t="array" ref="AX96">INDEX(69:69,$B$5* 5 + 34)</f>
        <v>0</v>
      </c>
      <c r="AY96" s="179">
        <f t="array" ref="AY96">INDEX(69:69,$B$5* 5+1 + 34)</f>
        <v>2</v>
      </c>
      <c r="AZ96" s="432" t="str">
        <f t="array" ref="AZ96">_xlfn._xlws.FILTER('[1]ALFABETICO SEM'!$M$1:$M$196, ('[1]ALFABETICO SEM'!$L$1:$L$196 = AY$91) * ('[1]ALFABETICO SEM'!$N$1:$N$196 = AY96), " - ")</f>
        <v>ABUELO</v>
      </c>
      <c r="BA96" s="176"/>
      <c r="BB96" s="176"/>
      <c r="BC96" s="176"/>
      <c r="BD96" s="176"/>
      <c r="BE96" s="176"/>
      <c r="BF96" s="176"/>
      <c r="BG96" s="129">
        <f t="array" ref="BG96">INDEX(69:69,B8* 5 + 39)</f>
        <v>0</v>
      </c>
      <c r="BH96" s="430">
        <f t="array" ref="BH96">INDEX(69:69,$B$5* 5+1 + 34)</f>
        <v>2</v>
      </c>
      <c r="BI96" s="432" t="str">
        <f t="array" ref="BI96">_xlfn._xlws.FILTER('[1]ALFABETICO SEM'!$M$1:$M$196, ('[1]ALFABETICO SEM'!$L$1:$L$196 = BH$91) * ('[1]ALFABETICO SEM'!$N$1:$N$196 = BH96), " - ")</f>
        <v>BIG SENSATION</v>
      </c>
      <c r="BJ96" s="176"/>
      <c r="BK96" s="176"/>
      <c r="BL96" s="176"/>
      <c r="BM96" s="176"/>
      <c r="BN96" s="176"/>
      <c r="BO96" s="176"/>
      <c r="BP96" s="129">
        <f t="array" ref="BP96">INDEX(69:69,$B$5* 5 + 39)</f>
        <v>0</v>
      </c>
      <c r="EH96" s="388"/>
      <c r="EI96" s="388"/>
      <c r="EJ96" s="388"/>
    </row>
    <row r="97" spans="1:140" ht="27.75" customHeight="1" x14ac:dyDescent="0.4">
      <c r="A97" s="3"/>
      <c r="B97" s="179">
        <f t="array" ref="B97">INDEX(70:70,$B$5* 5 + 5)</f>
        <v>3</v>
      </c>
      <c r="C97" s="432" t="str">
        <f t="array" ref="C97">_xlfn._xlws.FILTER('[1]ALFABETICO SEM'!$M$1:$M$196, ('[1]ALFABETICO SEM'!$L$1:$L$196 = B$91) * ('[1]ALFABETICO SEM'!$N$1:$N$196 = B97), " - ")</f>
        <v>CEDSRUNNER</v>
      </c>
      <c r="D97" s="176"/>
      <c r="E97" s="176">
        <f t="array" ref="E97">INDEX(70:70,$B$5* 5 + 9)</f>
        <v>0</v>
      </c>
      <c r="F97" s="179">
        <f t="array" ref="F97">INDEX(70:70,$B$5* 5+1 + 9)</f>
        <v>6</v>
      </c>
      <c r="G97" s="432" t="str">
        <f t="array" ref="G97">_xlfn._xlws.FILTER('[1]ALFABETICO SEM'!$M$1:$M$196, ('[1]ALFABETICO SEM'!$L$1:$L$196 = F$91) * ('[1]ALFABETICO SEM'!$N$1:$N$196 = F97), " - ")</f>
        <v>IMPETUOSA</v>
      </c>
      <c r="H97" s="176"/>
      <c r="I97" s="176"/>
      <c r="J97" s="176"/>
      <c r="K97" s="176"/>
      <c r="L97" s="176"/>
      <c r="M97" s="176"/>
      <c r="N97" s="129">
        <f t="array" ref="N97">INDEX(70:70,$B$5* 5 + 14)</f>
        <v>0</v>
      </c>
      <c r="O97" s="179">
        <f t="array" ref="O97">INDEX(70:70,$B$5* 5+1 + 14)</f>
        <v>8</v>
      </c>
      <c r="P97" s="432" t="str">
        <f t="array" ref="P97">_xlfn._xlws.FILTER('[1]ALFABETICO SEM'!$M$1:$M$196, ('[1]ALFABETICO SEM'!$L$1:$L$196 = O$91) * ('[1]ALFABETICO SEM'!$N$1:$N$196 = O97), " - ")</f>
        <v>DEEP ATTACK</v>
      </c>
      <c r="Q97" s="176"/>
      <c r="R97" s="176"/>
      <c r="S97" s="176"/>
      <c r="T97" s="176"/>
      <c r="U97" s="176"/>
      <c r="V97" s="176"/>
      <c r="W97" s="129">
        <f t="array" ref="W97">INDEX(70:70,$B$5* 5 + 19)</f>
        <v>0</v>
      </c>
      <c r="X97" s="179">
        <f t="array" ref="X97">INDEX(70:70,$B$5* 5+1 + 19)</f>
        <v>1</v>
      </c>
      <c r="Y97" s="432" t="str">
        <f t="array" ref="Y97">_xlfn._xlws.FILTER('[1]ALFABETICO SEM'!$M$1:$M$196, ('[1]ALFABETICO SEM'!$L$1:$L$196 = X$91) * ('[1]ALFABETICO SEM'!$N$1:$N$196 = X97), " - ")</f>
        <v>RUE DU BAC</v>
      </c>
      <c r="Z97" s="176"/>
      <c r="AA97" s="176"/>
      <c r="AB97" s="176"/>
      <c r="AC97" s="176"/>
      <c r="AD97" s="176"/>
      <c r="AE97" s="176"/>
      <c r="AF97" s="129">
        <f t="array" ref="AF97">INDEX(70:70,$B$5* 5 + 24)</f>
        <v>0</v>
      </c>
      <c r="AG97" s="179">
        <f t="array" ref="AG97">INDEX(70:70,$B$5* 5+1 + 24)</f>
        <v>5</v>
      </c>
      <c r="AH97" s="432" t="str">
        <f t="array" ref="AH97">_xlfn._xlws.FILTER('[1]ALFABETICO SEM'!$M$1:$M$196, ('[1]ALFABETICO SEM'!$L$1:$L$196 = AG$91) * ('[1]ALFABETICO SEM'!$N$1:$N$196 = AG97), " - ")</f>
        <v>EL GRAN ELADIO</v>
      </c>
      <c r="AI97" s="176"/>
      <c r="AJ97" s="176"/>
      <c r="AK97" s="176"/>
      <c r="AL97" s="176"/>
      <c r="AM97" s="176"/>
      <c r="AN97" s="176"/>
      <c r="AO97" s="129">
        <f t="array" ref="AO97">INDEX(70:70,$B$5* 5 + 29)</f>
        <v>0</v>
      </c>
      <c r="AP97" s="179">
        <f t="array" ref="AP97">INDEX(70:70,$B$5* 5+1 + 29)</f>
        <v>7</v>
      </c>
      <c r="AQ97" s="432" t="str">
        <f t="array" ref="AQ97">_xlfn._xlws.FILTER('[1]ALFABETICO SEM'!$M$1:$M$196, ('[1]ALFABETICO SEM'!$L$1:$L$196 = AP$91) * ('[1]ALFABETICO SEM'!$N$1:$N$196 = AP97), " - ")</f>
        <v>ALANA</v>
      </c>
      <c r="AR97" s="176"/>
      <c r="AS97" s="176"/>
      <c r="AT97" s="176"/>
      <c r="AU97" s="176"/>
      <c r="AV97" s="176"/>
      <c r="AW97" s="176"/>
      <c r="AX97" s="129">
        <f t="array" ref="AX97">INDEX(70:70,$B$5* 5 + 34)</f>
        <v>0</v>
      </c>
      <c r="AY97" s="179">
        <f t="array" ref="AY97">INDEX(70:70,$B$5* 5+1 + 34)</f>
        <v>9</v>
      </c>
      <c r="AZ97" s="432">
        <f t="array" ref="AZ97">_xlfn._xlws.FILTER('[1]ALFABETICO SEM'!$M$1:$M$196, ('[1]ALFABETICO SEM'!$L$1:$L$196 = AY$91) * ('[1]ALFABETICO SEM'!$N$1:$N$196 = AY97), " - ")</f>
        <v>0</v>
      </c>
      <c r="BA97" s="176"/>
      <c r="BB97" s="176"/>
      <c r="BC97" s="176"/>
      <c r="BD97" s="176"/>
      <c r="BE97" s="176"/>
      <c r="BF97" s="176"/>
      <c r="BG97" s="129">
        <f t="array" ref="BG97">INDEX(70:70,B9* 5 + 39)</f>
        <v>0</v>
      </c>
      <c r="BH97" s="430">
        <f t="array" ref="BH97">INDEX(70:70,$B$5* 5+1 + 34)</f>
        <v>9</v>
      </c>
      <c r="BI97" s="432">
        <f t="array" ref="BI97">_xlfn._xlws.FILTER('[1]ALFABETICO SEM'!$M$1:$M$196, ('[1]ALFABETICO SEM'!$L$1:$L$196 = BH$91) * ('[1]ALFABETICO SEM'!$N$1:$N$196 = BH97), " - ")</f>
        <v>0</v>
      </c>
      <c r="BJ97" s="176"/>
      <c r="BK97" s="176"/>
      <c r="BL97" s="176"/>
      <c r="BM97" s="176"/>
      <c r="BN97" s="176"/>
      <c r="BO97" s="176"/>
      <c r="BP97" s="129">
        <f t="array" ref="BP97">INDEX(70:70,$B$5* 5 + 39)</f>
        <v>0</v>
      </c>
      <c r="EH97" s="388"/>
      <c r="EI97" s="388"/>
      <c r="EJ97" s="388"/>
    </row>
    <row r="98" spans="1:140" ht="27.75" customHeight="1" x14ac:dyDescent="0.4">
      <c r="A98" s="1"/>
      <c r="B98" s="139">
        <f t="array" ref="B98">INDEX(71:71,$B$5* 5 + 5)</f>
        <v>5</v>
      </c>
      <c r="C98" s="433" t="str">
        <f t="array" ref="C98">_xlfn._xlws.FILTER('[1]ALFABETICO SEM'!$M$1:$M$196, ('[1]ALFABETICO SEM'!$L$1:$L$196 = B$91) * ('[1]ALFABETICO SEM'!$N$1:$N$196 = B98), " - ")</f>
        <v>VISION</v>
      </c>
      <c r="D98" s="134"/>
      <c r="E98" s="134">
        <f t="array" ref="E98">INDEX(71:71,$B$5* 5 + 9)</f>
        <v>0</v>
      </c>
      <c r="F98" s="139">
        <f t="array" ref="F98">INDEX(71:71,$B$5* 5+1 + 9)</f>
        <v>10</v>
      </c>
      <c r="G98" s="433" t="str">
        <f t="array" ref="G98">_xlfn._xlws.FILTER('[1]ALFABETICO SEM'!$M$1:$M$196, ('[1]ALFABETICO SEM'!$L$1:$L$196 = F$91) * ('[1]ALFABETICO SEM'!$N$1:$N$196 = F98), " - ")</f>
        <v>SICARIGUA</v>
      </c>
      <c r="H98" s="134"/>
      <c r="I98" s="134"/>
      <c r="J98" s="134"/>
      <c r="K98" s="134"/>
      <c r="L98" s="134"/>
      <c r="M98" s="134"/>
      <c r="N98" s="133">
        <f t="array" ref="N98">INDEX(71:71,$B$5* 5 + 14)</f>
        <v>0</v>
      </c>
      <c r="O98" s="139">
        <f t="array" ref="O98">INDEX(71:71,$B$5* 5+1 + 14)</f>
        <v>4</v>
      </c>
      <c r="P98" s="433" t="str">
        <f t="array" ref="P98">_xlfn._xlws.FILTER('[1]ALFABETICO SEM'!$M$1:$M$196, ('[1]ALFABETICO SEM'!$L$1:$L$196 = O$91) * ('[1]ALFABETICO SEM'!$N$1:$N$196 = O98), " - ")</f>
        <v>ABU PEPE</v>
      </c>
      <c r="Q98" s="134"/>
      <c r="R98" s="134"/>
      <c r="S98" s="134"/>
      <c r="T98" s="134"/>
      <c r="U98" s="134"/>
      <c r="V98" s="134"/>
      <c r="W98" s="133">
        <f t="array" ref="W98">INDEX(71:71,$B$5* 5 + 19)</f>
        <v>0</v>
      </c>
      <c r="X98" s="139">
        <f t="array" ref="X98">INDEX(71:71,$B$5* 5+1 + 19)</f>
        <v>2</v>
      </c>
      <c r="Y98" s="433" t="str">
        <f t="array" ref="Y98">_xlfn._xlws.FILTER('[1]ALFABETICO SEM'!$M$1:$M$196, ('[1]ALFABETICO SEM'!$L$1:$L$196 = X$91) * ('[1]ALFABETICO SEM'!$N$1:$N$196 = X98), " - ")</f>
        <v>MIA SOPHIA</v>
      </c>
      <c r="Z98" s="134"/>
      <c r="AA98" s="134"/>
      <c r="AB98" s="134"/>
      <c r="AC98" s="134"/>
      <c r="AD98" s="134"/>
      <c r="AE98" s="134"/>
      <c r="AF98" s="133">
        <f t="array" ref="AF98">INDEX(71:71,$B$5* 5 + 24)</f>
        <v>0</v>
      </c>
      <c r="AG98" s="139">
        <f t="array" ref="AG98">INDEX(71:71,$B$5* 5+1 + 24)</f>
        <v>6</v>
      </c>
      <c r="AH98" s="433" t="str">
        <f t="array" ref="AH98">_xlfn._xlws.FILTER('[1]ALFABETICO SEM'!$M$1:$M$196, ('[1]ALFABETICO SEM'!$L$1:$L$196 = AG$91) * ('[1]ALFABETICO SEM'!$N$1:$N$196 = AG98), " - ")</f>
        <v>TUCO SALAMANCA</v>
      </c>
      <c r="AI98" s="134"/>
      <c r="AJ98" s="134"/>
      <c r="AK98" s="134"/>
      <c r="AL98" s="134"/>
      <c r="AM98" s="134"/>
      <c r="AN98" s="134"/>
      <c r="AO98" s="133">
        <f t="array" ref="AO98">INDEX(71:71,$B$5* 5 + 29)</f>
        <v>0</v>
      </c>
      <c r="AP98" s="139">
        <f t="array" ref="AP98">INDEX(71:71,$B$5* 5+1 + 29)</f>
        <v>2</v>
      </c>
      <c r="AQ98" s="433" t="str">
        <f t="array" ref="AQ98">_xlfn._xlws.FILTER('[1]ALFABETICO SEM'!$M$1:$M$196, ('[1]ALFABETICO SEM'!$L$1:$L$196 = AP$91) * ('[1]ALFABETICO SEM'!$N$1:$N$196 = AP98), " - ")</f>
        <v>YANKEE LAKE</v>
      </c>
      <c r="AR98" s="134"/>
      <c r="AS98" s="134"/>
      <c r="AT98" s="134"/>
      <c r="AU98" s="134"/>
      <c r="AV98" s="134"/>
      <c r="AW98" s="134"/>
      <c r="AX98" s="133">
        <f t="array" ref="AX98">INDEX(71:71,$B$5* 5 + 34)</f>
        <v>0</v>
      </c>
      <c r="AY98" s="139">
        <f t="array" ref="AY98">INDEX(71:71,$B$5* 5+1 + 34)</f>
        <v>3</v>
      </c>
      <c r="AZ98" s="433" t="str">
        <f t="array" ref="AZ98">_xlfn._xlws.FILTER('[1]ALFABETICO SEM'!$M$1:$M$196, ('[1]ALFABETICO SEM'!$L$1:$L$196 = AY$91) * ('[1]ALFABETICO SEM'!$N$1:$N$196 = AY98), " - ")</f>
        <v>GRANDIOSSUS</v>
      </c>
      <c r="BA98" s="134"/>
      <c r="BB98" s="134"/>
      <c r="BC98" s="134"/>
      <c r="BD98" s="134"/>
      <c r="BE98" s="134"/>
      <c r="BF98" s="134"/>
      <c r="BG98" s="133">
        <f t="array" ref="BG98">INDEX(71:71,B10* 5 + 39)</f>
        <v>0</v>
      </c>
      <c r="BH98" s="363">
        <f t="array" ref="BH98">INDEX(71:71,$B$5* 5+1 + 34)</f>
        <v>3</v>
      </c>
      <c r="BI98" s="433" t="str">
        <f t="array" ref="BI98">_xlfn._xlws.FILTER('[1]ALFABETICO SEM'!$M$1:$M$196, ('[1]ALFABETICO SEM'!$L$1:$L$196 = BH$91) * ('[1]ALFABETICO SEM'!$N$1:$N$196 = BH98), " - ")</f>
        <v>JIMMINY ROUGE</v>
      </c>
      <c r="BJ98" s="134"/>
      <c r="BK98" s="134"/>
      <c r="BL98" s="134"/>
      <c r="BM98" s="134"/>
      <c r="BN98" s="134"/>
      <c r="BO98" s="134"/>
      <c r="BP98" s="133">
        <f t="array" ref="BP98">INDEX(71:71,$B$5* 5 + 39)</f>
        <v>0</v>
      </c>
      <c r="EH98" s="388"/>
      <c r="EI98" s="388"/>
      <c r="EJ98" s="388"/>
    </row>
    <row r="99" spans="1:140" ht="27.75" customHeight="1" x14ac:dyDescent="0.35">
      <c r="A99" s="1"/>
      <c r="EH99" s="388"/>
      <c r="EI99" s="388"/>
      <c r="EJ99" s="388"/>
    </row>
    <row r="100" spans="1:140" ht="30" customHeight="1" x14ac:dyDescent="0.35">
      <c r="EH100" s="388"/>
      <c r="EI100" s="388"/>
      <c r="EJ100" s="388"/>
    </row>
    <row r="101" spans="1:140" ht="31.5" customHeight="1" x14ac:dyDescent="0.35">
      <c r="B101" s="159" t="s">
        <v>286</v>
      </c>
      <c r="C101" s="154" t="s">
        <v>253</v>
      </c>
      <c r="D101" s="172" t="s">
        <v>287</v>
      </c>
      <c r="F101" s="157" t="s">
        <v>288</v>
      </c>
      <c r="G101" s="158"/>
      <c r="H101" s="160">
        <v>100</v>
      </c>
      <c r="I101" s="161"/>
      <c r="BI101" s="351"/>
      <c r="BN101" s="351"/>
      <c r="EH101" s="388"/>
      <c r="EI101" s="388"/>
      <c r="EJ101" s="388"/>
    </row>
    <row r="102" spans="1:140" ht="30" customHeight="1" x14ac:dyDescent="0.35">
      <c r="B102" s="156">
        <f>1/5</f>
        <v>0.2</v>
      </c>
      <c r="C102" s="156">
        <f>1/5</f>
        <v>0.2</v>
      </c>
      <c r="D102" s="155">
        <f>(DIVIDENDO[[#This Row],[FACTOR]]*$H$101)+$H$101</f>
        <v>120</v>
      </c>
      <c r="BC102" s="351"/>
      <c r="BH102" s="351"/>
      <c r="EH102" s="388"/>
      <c r="EI102" s="388"/>
      <c r="EJ102" s="388"/>
    </row>
    <row r="103" spans="1:140" ht="30" customHeight="1" x14ac:dyDescent="0.35">
      <c r="B103" s="156">
        <f>2/5</f>
        <v>0.4</v>
      </c>
      <c r="C103" s="156">
        <f>2/5</f>
        <v>0.4</v>
      </c>
      <c r="D103" s="155">
        <f>(DIVIDENDO[[#This Row],[FACTOR]]*$H$101)+$H$101</f>
        <v>140</v>
      </c>
      <c r="BC103" s="351"/>
      <c r="BH103" s="351"/>
      <c r="EH103" s="388"/>
      <c r="EI103" s="388"/>
      <c r="EJ103" s="388"/>
    </row>
    <row r="104" spans="1:140" ht="30" customHeight="1" x14ac:dyDescent="0.35">
      <c r="B104" s="156">
        <f>1/2</f>
        <v>0.5</v>
      </c>
      <c r="C104" s="156">
        <f>1/2</f>
        <v>0.5</v>
      </c>
      <c r="D104" s="155">
        <f>(DIVIDENDO[[#This Row],[FACTOR]]*$H$101)+$H$101</f>
        <v>150</v>
      </c>
      <c r="BC104" s="351"/>
      <c r="BH104" s="351"/>
      <c r="EH104" s="388"/>
      <c r="EI104" s="388"/>
      <c r="EJ104" s="388"/>
    </row>
    <row r="105" spans="1:140" ht="30" customHeight="1" x14ac:dyDescent="0.35">
      <c r="B105" s="156">
        <f>3/5</f>
        <v>0.6</v>
      </c>
      <c r="C105" s="156">
        <f>3/5</f>
        <v>0.6</v>
      </c>
      <c r="D105" s="155">
        <f>(DIVIDENDO[[#This Row],[FACTOR]]*$H$101)+$H$101</f>
        <v>160</v>
      </c>
      <c r="BC105" s="351"/>
      <c r="BH105" s="351"/>
      <c r="EH105" s="388"/>
      <c r="EI105" s="388"/>
      <c r="EJ105" s="388"/>
    </row>
    <row r="106" spans="1:140" ht="30" customHeight="1" x14ac:dyDescent="0.35">
      <c r="B106" s="156">
        <f>4/5</f>
        <v>0.8</v>
      </c>
      <c r="C106" s="156">
        <f>4/5</f>
        <v>0.8</v>
      </c>
      <c r="D106" s="155">
        <f>(DIVIDENDO[[#This Row],[FACTOR]]*$H$101)+$H$101</f>
        <v>180</v>
      </c>
      <c r="BC106" s="351"/>
      <c r="BH106" s="351"/>
      <c r="EH106" s="388"/>
      <c r="EI106" s="388"/>
      <c r="EJ106" s="388"/>
    </row>
    <row r="107" spans="1:140" ht="30" customHeight="1" x14ac:dyDescent="0.35">
      <c r="B107" s="156">
        <v>1</v>
      </c>
      <c r="C107" s="156">
        <v>1</v>
      </c>
      <c r="D107" s="155">
        <f>(DIVIDENDO[[#This Row],[FACTOR]]*$H$101)+$H$101</f>
        <v>200</v>
      </c>
      <c r="BC107" s="351"/>
      <c r="BH107" s="351"/>
      <c r="EH107" s="388"/>
      <c r="EI107" s="388"/>
      <c r="EJ107" s="388"/>
    </row>
    <row r="108" spans="1:140" ht="30" customHeight="1" x14ac:dyDescent="0.35">
      <c r="B108" s="156">
        <f>7/5</f>
        <v>1.4</v>
      </c>
      <c r="C108" s="156" t="s">
        <v>289</v>
      </c>
      <c r="D108" s="155">
        <f>(DIVIDENDO[[#This Row],[FACTOR]]*$H$101)+$H$101</f>
        <v>240</v>
      </c>
      <c r="EH108" s="388"/>
      <c r="EI108" s="388"/>
      <c r="EJ108" s="388"/>
    </row>
    <row r="109" spans="1:140" ht="30" customHeight="1" x14ac:dyDescent="0.35">
      <c r="B109" s="156">
        <f>3/2</f>
        <v>1.5</v>
      </c>
      <c r="C109" s="156" t="s">
        <v>290</v>
      </c>
      <c r="D109" s="155">
        <f>(DIVIDENDO[[#This Row],[FACTOR]]*$H$101)+$H$101</f>
        <v>250</v>
      </c>
      <c r="EH109" s="388"/>
      <c r="EI109" s="388"/>
      <c r="EJ109" s="388"/>
    </row>
    <row r="110" spans="1:140" ht="30" customHeight="1" x14ac:dyDescent="0.35">
      <c r="B110" s="156">
        <f>8/5</f>
        <v>1.6</v>
      </c>
      <c r="C110" s="156" t="s">
        <v>291</v>
      </c>
      <c r="D110" s="155">
        <f>(DIVIDENDO[[#This Row],[FACTOR]]*$H$101)+$H$101</f>
        <v>260</v>
      </c>
      <c r="EH110" s="388"/>
      <c r="EI110" s="388"/>
      <c r="EJ110" s="388"/>
    </row>
    <row r="111" spans="1:140" ht="30" customHeight="1" x14ac:dyDescent="0.35">
      <c r="B111" s="156">
        <f>9/5</f>
        <v>1.8</v>
      </c>
      <c r="C111" s="156" t="s">
        <v>292</v>
      </c>
      <c r="D111" s="155">
        <f>(DIVIDENDO[[#This Row],[FACTOR]]*$H$101)+$H$101</f>
        <v>280</v>
      </c>
      <c r="EH111" s="388"/>
      <c r="EI111" s="388"/>
      <c r="EJ111" s="388"/>
    </row>
    <row r="112" spans="1:140" ht="30" customHeight="1" x14ac:dyDescent="0.35">
      <c r="B112" s="156">
        <v>2</v>
      </c>
      <c r="C112" s="156">
        <v>2</v>
      </c>
      <c r="D112" s="155">
        <f>(DIVIDENDO[[#This Row],[FACTOR]]*$H$101)+$H$101</f>
        <v>300</v>
      </c>
      <c r="EH112" s="388"/>
      <c r="EI112" s="388"/>
      <c r="EJ112" s="388"/>
    </row>
    <row r="113" spans="2:140" ht="30" customHeight="1" x14ac:dyDescent="0.35">
      <c r="B113" s="156">
        <f>5/2</f>
        <v>2.5</v>
      </c>
      <c r="C113" s="156" t="s">
        <v>293</v>
      </c>
      <c r="D113" s="155">
        <f>(DIVIDENDO[[#This Row],[FACTOR]]*$H$101)+$H$101</f>
        <v>350</v>
      </c>
      <c r="EH113" s="388"/>
      <c r="EI113" s="388"/>
      <c r="EJ113" s="388"/>
    </row>
    <row r="114" spans="2:140" ht="30" customHeight="1" x14ac:dyDescent="0.35">
      <c r="B114" s="156">
        <f>7/2</f>
        <v>3.5</v>
      </c>
      <c r="C114" s="156" t="s">
        <v>294</v>
      </c>
      <c r="D114" s="155">
        <f>(DIVIDENDO[[#This Row],[FACTOR]]*$H$101)+$H$101</f>
        <v>450</v>
      </c>
      <c r="BF114" s="351"/>
      <c r="BK114" s="351"/>
      <c r="EH114" s="388"/>
      <c r="EI114" s="388"/>
      <c r="EJ114" s="388"/>
    </row>
    <row r="115" spans="2:140" ht="30" customHeight="1" x14ac:dyDescent="0.35">
      <c r="B115" s="156">
        <v>4</v>
      </c>
      <c r="C115" s="156">
        <v>4</v>
      </c>
      <c r="D115" s="155">
        <f>(DIVIDENDO[[#This Row],[FACTOR]]*$H$101)+$H$101</f>
        <v>500</v>
      </c>
      <c r="BF115" s="351"/>
      <c r="BK115" s="351"/>
      <c r="EH115" s="388"/>
      <c r="EI115" s="388"/>
      <c r="EJ115" s="388"/>
    </row>
    <row r="116" spans="2:140" ht="30" customHeight="1" x14ac:dyDescent="0.35">
      <c r="B116" s="156">
        <f>9/2</f>
        <v>4.5</v>
      </c>
      <c r="C116" s="156" t="s">
        <v>295</v>
      </c>
      <c r="D116" s="155">
        <f>(DIVIDENDO[[#This Row],[FACTOR]]*$H$101)+$H$101</f>
        <v>550</v>
      </c>
      <c r="BF116" s="351"/>
      <c r="BK116" s="351"/>
      <c r="EH116" s="388"/>
      <c r="EI116" s="388"/>
      <c r="EJ116" s="388"/>
    </row>
    <row r="117" spans="2:140" ht="30" customHeight="1" x14ac:dyDescent="0.35">
      <c r="B117" s="156">
        <v>5</v>
      </c>
      <c r="C117" s="156">
        <v>5</v>
      </c>
      <c r="D117" s="155">
        <f>(DIVIDENDO[[#This Row],[FACTOR]]*$H$101)+$H$101</f>
        <v>600</v>
      </c>
      <c r="BF117" s="351"/>
      <c r="BK117" s="351"/>
      <c r="EH117" s="388"/>
      <c r="EI117" s="388"/>
      <c r="EJ117" s="388"/>
    </row>
    <row r="118" spans="2:140" ht="30" customHeight="1" x14ac:dyDescent="0.35">
      <c r="B118" s="156">
        <v>6</v>
      </c>
      <c r="C118" s="156">
        <v>6</v>
      </c>
      <c r="D118" s="155">
        <f>(DIVIDENDO[[#This Row],[FACTOR]]*$H$101)+$H$101</f>
        <v>700</v>
      </c>
      <c r="BF118" s="351"/>
      <c r="BK118" s="351"/>
      <c r="EH118" s="388"/>
      <c r="EI118" s="388"/>
      <c r="EJ118" s="388"/>
    </row>
    <row r="119" spans="2:140" ht="30" customHeight="1" x14ac:dyDescent="0.35">
      <c r="B119" s="156">
        <v>7</v>
      </c>
      <c r="C119" s="156">
        <v>7</v>
      </c>
      <c r="D119" s="155">
        <f>(DIVIDENDO[[#This Row],[FACTOR]]*$H$101)+$H$101</f>
        <v>800</v>
      </c>
      <c r="BF119" s="351"/>
      <c r="BK119" s="351"/>
      <c r="EH119" s="388"/>
      <c r="EI119" s="388"/>
      <c r="EJ119" s="388"/>
    </row>
    <row r="120" spans="2:140" ht="30" customHeight="1" x14ac:dyDescent="0.35">
      <c r="B120" s="156">
        <v>9</v>
      </c>
      <c r="C120" s="156">
        <v>9</v>
      </c>
      <c r="D120" s="155">
        <f>(DIVIDENDO[[#This Row],[FACTOR]]*$H$101)+$H$101</f>
        <v>1000</v>
      </c>
      <c r="EH120" s="388"/>
      <c r="EI120" s="388"/>
      <c r="EJ120" s="388"/>
    </row>
    <row r="121" spans="2:140" ht="30" customHeight="1" x14ac:dyDescent="0.35">
      <c r="B121" s="156">
        <v>10</v>
      </c>
      <c r="C121" s="156">
        <v>10</v>
      </c>
      <c r="D121" s="155">
        <f>(DIVIDENDO[[#This Row],[FACTOR]]*$H$101)+$H$101</f>
        <v>1100</v>
      </c>
      <c r="EH121" s="388"/>
      <c r="EI121" s="388"/>
      <c r="EJ121" s="388"/>
    </row>
    <row r="122" spans="2:140" ht="30" customHeight="1" x14ac:dyDescent="0.35">
      <c r="B122" s="156">
        <v>11</v>
      </c>
      <c r="C122" s="156">
        <v>11</v>
      </c>
      <c r="D122" s="155">
        <f>(DIVIDENDO[[#This Row],[FACTOR]]*$H$101)+$H$101</f>
        <v>1200</v>
      </c>
      <c r="EH122" s="388"/>
      <c r="EI122" s="388"/>
      <c r="EJ122" s="388"/>
    </row>
    <row r="123" spans="2:140" ht="30" customHeight="1" x14ac:dyDescent="0.35">
      <c r="B123" s="156">
        <v>12</v>
      </c>
      <c r="C123" s="156">
        <v>12</v>
      </c>
      <c r="D123" s="155">
        <f>(DIVIDENDO[[#This Row],[FACTOR]]*$H$101)+$H$101</f>
        <v>1300</v>
      </c>
      <c r="EH123" s="388"/>
      <c r="EI123" s="388"/>
      <c r="EJ123" s="388"/>
    </row>
    <row r="124" spans="2:140" ht="30" customHeight="1" x14ac:dyDescent="0.35">
      <c r="B124" s="156">
        <v>13</v>
      </c>
      <c r="C124" s="156">
        <v>13</v>
      </c>
      <c r="D124" s="155">
        <f>(DIVIDENDO[[#This Row],[FACTOR]]*$H$101)+$H$101</f>
        <v>1400</v>
      </c>
      <c r="EH124" s="388"/>
      <c r="EI124" s="388"/>
      <c r="EJ124" s="388"/>
    </row>
    <row r="125" spans="2:140" ht="30" customHeight="1" x14ac:dyDescent="0.35">
      <c r="B125" s="156">
        <v>14</v>
      </c>
      <c r="C125" s="156">
        <v>14</v>
      </c>
      <c r="D125" s="155">
        <f>(DIVIDENDO[[#This Row],[FACTOR]]*$H$101)+$H$101</f>
        <v>1500</v>
      </c>
      <c r="EH125" s="388"/>
      <c r="EI125" s="388"/>
      <c r="EJ125" s="388"/>
    </row>
    <row r="126" spans="2:140" ht="30" customHeight="1" x14ac:dyDescent="0.35">
      <c r="B126" s="156">
        <v>16</v>
      </c>
      <c r="C126" s="156">
        <v>16</v>
      </c>
      <c r="D126" s="155">
        <f>(DIVIDENDO[[#This Row],[FACTOR]]*$H$101)+$H$101</f>
        <v>1700</v>
      </c>
      <c r="EH126" s="388"/>
      <c r="EI126" s="388"/>
      <c r="EJ126" s="388"/>
    </row>
    <row r="127" spans="2:140" ht="30" customHeight="1" x14ac:dyDescent="0.35">
      <c r="B127" s="156">
        <v>17</v>
      </c>
      <c r="C127" s="156">
        <v>17</v>
      </c>
      <c r="D127" s="155">
        <f>(DIVIDENDO[[#This Row],[FACTOR]]*$H$101)+$H$101</f>
        <v>1800</v>
      </c>
      <c r="EH127" s="388"/>
      <c r="EI127" s="388"/>
      <c r="EJ127" s="388"/>
    </row>
    <row r="128" spans="2:140" ht="30" customHeight="1" x14ac:dyDescent="0.35">
      <c r="B128" s="156">
        <v>18</v>
      </c>
      <c r="C128" s="156">
        <v>18</v>
      </c>
      <c r="D128" s="155">
        <f>(DIVIDENDO[[#This Row],[FACTOR]]*$H$101)+$H$101</f>
        <v>1900</v>
      </c>
      <c r="EH128" s="388"/>
      <c r="EI128" s="388"/>
      <c r="EJ128" s="388"/>
    </row>
    <row r="129" spans="2:140" ht="30" customHeight="1" x14ac:dyDescent="0.35">
      <c r="B129" s="156">
        <v>19</v>
      </c>
      <c r="C129" s="156">
        <v>19</v>
      </c>
      <c r="D129" s="155">
        <f>(DIVIDENDO[[#This Row],[FACTOR]]*$H$101)+$H$101</f>
        <v>2000</v>
      </c>
      <c r="EH129" s="388"/>
      <c r="EI129" s="388"/>
      <c r="EJ129" s="388"/>
    </row>
    <row r="130" spans="2:140" ht="30" customHeight="1" x14ac:dyDescent="0.35">
      <c r="EH130" s="388"/>
      <c r="EI130" s="388"/>
      <c r="EJ130" s="388"/>
    </row>
    <row r="131" spans="2:140" ht="30" customHeight="1" x14ac:dyDescent="0.35">
      <c r="EH131" s="388"/>
      <c r="EI131" s="388"/>
      <c r="EJ131" s="388"/>
    </row>
    <row r="132" spans="2:140" ht="30" customHeight="1" x14ac:dyDescent="0.35">
      <c r="EH132" s="388"/>
      <c r="EI132" s="388"/>
      <c r="EJ132" s="388"/>
    </row>
    <row r="133" spans="2:140" ht="30" customHeight="1" x14ac:dyDescent="0.35">
      <c r="EH133" s="388"/>
      <c r="EI133" s="388"/>
      <c r="EJ133" s="388"/>
    </row>
    <row r="134" spans="2:140" ht="30" customHeight="1" x14ac:dyDescent="0.35">
      <c r="EH134" s="388"/>
      <c r="EI134" s="388"/>
      <c r="EJ134" s="388"/>
    </row>
    <row r="135" spans="2:140" ht="30" customHeight="1" x14ac:dyDescent="0.35">
      <c r="EH135" s="388"/>
      <c r="EI135" s="388"/>
      <c r="EJ135" s="388"/>
    </row>
    <row r="136" spans="2:140" ht="30" customHeight="1" x14ac:dyDescent="0.35">
      <c r="EH136" s="388"/>
      <c r="EI136" s="388"/>
      <c r="EJ136" s="388"/>
    </row>
    <row r="137" spans="2:140" ht="30" customHeight="1" x14ac:dyDescent="0.35">
      <c r="EH137" s="388"/>
      <c r="EI137" s="388"/>
      <c r="EJ137" s="388"/>
    </row>
    <row r="138" spans="2:140" ht="30" customHeight="1" x14ac:dyDescent="0.35">
      <c r="EH138" s="388"/>
      <c r="EI138" s="388"/>
      <c r="EJ138" s="388"/>
    </row>
    <row r="139" spans="2:140" ht="30" customHeight="1" x14ac:dyDescent="0.35">
      <c r="EH139" s="388"/>
      <c r="EI139" s="388"/>
      <c r="EJ139" s="388"/>
    </row>
    <row r="140" spans="2:140" ht="30" customHeight="1" x14ac:dyDescent="0.35">
      <c r="EH140" s="388"/>
      <c r="EI140" s="388"/>
      <c r="EJ140" s="388"/>
    </row>
    <row r="141" spans="2:140" ht="30" customHeight="1" x14ac:dyDescent="0.35">
      <c r="EH141" s="388"/>
      <c r="EI141" s="388"/>
      <c r="EJ141" s="388"/>
    </row>
    <row r="142" spans="2:140" ht="30" customHeight="1" x14ac:dyDescent="0.35">
      <c r="EH142" s="388"/>
      <c r="EI142" s="388"/>
      <c r="EJ142" s="388"/>
    </row>
    <row r="143" spans="2:140" ht="30" customHeight="1" x14ac:dyDescent="0.35">
      <c r="EH143" s="388"/>
      <c r="EI143" s="388"/>
      <c r="EJ143" s="388"/>
    </row>
    <row r="144" spans="2:140" ht="30" customHeight="1" x14ac:dyDescent="0.35">
      <c r="EH144" s="388"/>
      <c r="EI144" s="388"/>
      <c r="EJ144" s="388"/>
    </row>
    <row r="145" spans="138:140" ht="30" customHeight="1" x14ac:dyDescent="0.35">
      <c r="EH145" s="388"/>
      <c r="EI145" s="388"/>
      <c r="EJ145" s="388"/>
    </row>
    <row r="146" spans="138:140" ht="30" customHeight="1" x14ac:dyDescent="0.35">
      <c r="EH146" s="388"/>
      <c r="EI146" s="388"/>
      <c r="EJ146" s="388"/>
    </row>
    <row r="147" spans="138:140" ht="30" customHeight="1" x14ac:dyDescent="0.35">
      <c r="EH147" s="388"/>
      <c r="EI147" s="388"/>
      <c r="EJ147" s="388"/>
    </row>
    <row r="148" spans="138:140" ht="30" customHeight="1" x14ac:dyDescent="0.35">
      <c r="EH148" s="388"/>
      <c r="EI148" s="388"/>
      <c r="EJ148" s="388"/>
    </row>
    <row r="149" spans="138:140" ht="30" customHeight="1" x14ac:dyDescent="0.35">
      <c r="EH149" s="388"/>
      <c r="EI149" s="388"/>
      <c r="EJ149" s="388"/>
    </row>
    <row r="150" spans="138:140" ht="30" customHeight="1" x14ac:dyDescent="0.35">
      <c r="EH150" s="388"/>
      <c r="EI150" s="388"/>
      <c r="EJ150" s="388"/>
    </row>
    <row r="151" spans="138:140" ht="30" customHeight="1" x14ac:dyDescent="0.35">
      <c r="EH151" s="388"/>
      <c r="EI151" s="388"/>
      <c r="EJ151" s="388"/>
    </row>
    <row r="152" spans="138:140" ht="30" customHeight="1" x14ac:dyDescent="0.35">
      <c r="EH152" s="388"/>
      <c r="EI152" s="388"/>
      <c r="EJ152" s="388"/>
    </row>
    <row r="153" spans="138:140" ht="30" customHeight="1" x14ac:dyDescent="0.25"/>
    <row r="154" spans="138:140" ht="30" customHeight="1" x14ac:dyDescent="0.25"/>
    <row r="155" spans="138:140" ht="30" customHeight="1" x14ac:dyDescent="0.25"/>
    <row r="156" spans="138:140" ht="30" customHeight="1" x14ac:dyDescent="0.25"/>
    <row r="157" spans="138:140" ht="30" customHeight="1" x14ac:dyDescent="0.25"/>
    <row r="158" spans="138:140" ht="30" customHeight="1" x14ac:dyDescent="0.25"/>
    <row r="159" spans="138:140" ht="30" customHeight="1" x14ac:dyDescent="0.25"/>
    <row r="160" spans="138:14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</sheetData>
  <mergeCells count="8">
    <mergeCell ref="CT61:CU61"/>
    <mergeCell ref="AN61:AW61"/>
    <mergeCell ref="AN60:AW60"/>
    <mergeCell ref="T3:AB3"/>
    <mergeCell ref="CT59:CU59"/>
    <mergeCell ref="AH3:AM3"/>
    <mergeCell ref="CT58:CU58"/>
    <mergeCell ref="CT60:CU60"/>
  </mergeCells>
  <conditionalFormatting sqref="B85:B90 F85:F90 O85:O90 X85:X90 AG85:AG90 AP85:AP90 F93:F98 O93:O98 X93:X98 AG93:AG98">
    <cfRule type="cellIs" dxfId="152" priority="156" operator="equal">
      <formula>2</formula>
    </cfRule>
    <cfRule type="cellIs" dxfId="151" priority="155" operator="equal">
      <formula>3</formula>
    </cfRule>
    <cfRule type="cellIs" dxfId="150" priority="144" operator="equal">
      <formula>14</formula>
    </cfRule>
    <cfRule type="cellIs" dxfId="149" priority="154" operator="equal">
      <formula>4</formula>
    </cfRule>
    <cfRule type="cellIs" dxfId="148" priority="153" operator="equal">
      <formula>5</formula>
    </cfRule>
    <cfRule type="cellIs" dxfId="147" priority="152" operator="equal">
      <formula>6</formula>
    </cfRule>
    <cfRule type="cellIs" dxfId="146" priority="150" operator="equal">
      <formula>8</formula>
    </cfRule>
    <cfRule type="cellIs" dxfId="145" priority="149" operator="equal">
      <formula>9</formula>
    </cfRule>
    <cfRule type="cellIs" dxfId="144" priority="146" operator="equal">
      <formula>12</formula>
    </cfRule>
    <cfRule type="cellIs" dxfId="143" priority="147" operator="equal">
      <formula>11</formula>
    </cfRule>
    <cfRule type="cellIs" dxfId="142" priority="145" operator="equal">
      <formula>13</formula>
    </cfRule>
    <cfRule type="cellIs" dxfId="141" priority="148" operator="equal">
      <formula>10</formula>
    </cfRule>
    <cfRule type="cellIs" dxfId="140" priority="151" operator="equal">
      <formula>7</formula>
    </cfRule>
    <cfRule type="cellIs" dxfId="139" priority="157" operator="equal">
      <formula>1</formula>
    </cfRule>
  </conditionalFormatting>
  <conditionalFormatting sqref="B93:B98">
    <cfRule type="cellIs" dxfId="138" priority="133" operator="equal">
      <formula>11</formula>
    </cfRule>
    <cfRule type="cellIs" dxfId="137" priority="137" operator="equal">
      <formula>7</formula>
    </cfRule>
    <cfRule type="cellIs" dxfId="136" priority="136" operator="equal">
      <formula>8</formula>
    </cfRule>
    <cfRule type="cellIs" dxfId="135" priority="135" operator="equal">
      <formula>9</formula>
    </cfRule>
    <cfRule type="cellIs" dxfId="134" priority="134" operator="equal">
      <formula>10</formula>
    </cfRule>
    <cfRule type="cellIs" dxfId="133" priority="140" operator="equal">
      <formula>4</formula>
    </cfRule>
    <cfRule type="cellIs" dxfId="132" priority="132" operator="equal">
      <formula>12</formula>
    </cfRule>
    <cfRule type="cellIs" dxfId="131" priority="131" operator="equal">
      <formula>13</formula>
    </cfRule>
    <cfRule type="cellIs" dxfId="130" priority="130" operator="equal">
      <formula>14</formula>
    </cfRule>
    <cfRule type="cellIs" dxfId="129" priority="143" operator="equal">
      <formula>1</formula>
    </cfRule>
    <cfRule type="cellIs" dxfId="128" priority="142" operator="equal">
      <formula>2</formula>
    </cfRule>
    <cfRule type="cellIs" dxfId="127" priority="141" operator="equal">
      <formula>3</formula>
    </cfRule>
    <cfRule type="cellIs" dxfId="126" priority="139" operator="equal">
      <formula>5</formula>
    </cfRule>
    <cfRule type="cellIs" dxfId="125" priority="138" operator="equal">
      <formula>6</formula>
    </cfRule>
  </conditionalFormatting>
  <conditionalFormatting sqref="C8:C57">
    <cfRule type="expression" dxfId="124" priority="158">
      <formula>$CM8&gt;$CN8</formula>
    </cfRule>
  </conditionalFormatting>
  <conditionalFormatting sqref="D8:D57">
    <cfRule type="containsText" dxfId="123" priority="161" operator="containsText" text="PREMIO">
      <formula>NOT(ISERROR(SEARCH("PREMIO",D8)))</formula>
    </cfRule>
    <cfRule type="containsText" dxfId="122" priority="113" operator="containsText" text="PENDIENTE">
      <formula>NOT(ISERROR(SEARCH("PENDIENTE",D8)))</formula>
    </cfRule>
    <cfRule type="containsText" dxfId="121" priority="159" operator="containsText" text="NO ENVIÓ">
      <formula>NOT(ISERROR(SEARCH("NO ENVIÓ",D8)))</formula>
    </cfRule>
    <cfRule type="containsText" dxfId="120" priority="160" operator="containsText" text="MEETING">
      <formula>NOT(ISERROR(SEARCH("MEETING",D8)))</formula>
    </cfRule>
  </conditionalFormatting>
  <conditionalFormatting sqref="E8:E57">
    <cfRule type="expression" dxfId="119" priority="114">
      <formula>AND(H8="F")</formula>
    </cfRule>
    <cfRule type="expression" dxfId="118" priority="115">
      <formula>AND(H8="SF")</formula>
    </cfRule>
  </conditionalFormatting>
  <conditionalFormatting sqref="J8:J57">
    <cfRule type="expression" dxfId="117" priority="25">
      <formula>AND(M8="F")</formula>
    </cfRule>
    <cfRule type="expression" dxfId="116" priority="26">
      <formula>AND(M8="SF")</formula>
    </cfRule>
  </conditionalFormatting>
  <conditionalFormatting sqref="O8:O57">
    <cfRule type="expression" dxfId="115" priority="23">
      <formula>AND(R8="F")</formula>
    </cfRule>
    <cfRule type="expression" dxfId="114" priority="24">
      <formula>AND(R8="SF")</formula>
    </cfRule>
  </conditionalFormatting>
  <conditionalFormatting sqref="T8:T57">
    <cfRule type="expression" dxfId="113" priority="22">
      <formula>AND(W8="SF")</formula>
    </cfRule>
    <cfRule type="expression" dxfId="112" priority="21">
      <formula>AND(W8="F")</formula>
    </cfRule>
  </conditionalFormatting>
  <conditionalFormatting sqref="Y8:Y57">
    <cfRule type="expression" dxfId="111" priority="20">
      <formula>AND(AB8="SF")</formula>
    </cfRule>
    <cfRule type="expression" dxfId="110" priority="19">
      <formula>AND(AB8="F")</formula>
    </cfRule>
  </conditionalFormatting>
  <conditionalFormatting sqref="AD8:AD57">
    <cfRule type="expression" dxfId="109" priority="18">
      <formula>AND(AG8="SF")</formula>
    </cfRule>
    <cfRule type="expression" dxfId="108" priority="17">
      <formula>AND(AG8="F")</formula>
    </cfRule>
  </conditionalFormatting>
  <conditionalFormatting sqref="AI8:AI57">
    <cfRule type="expression" dxfId="107" priority="16">
      <formula>AND(AL8="SF")</formula>
    </cfRule>
    <cfRule type="expression" dxfId="106" priority="15">
      <formula>AND(AL8="F")</formula>
    </cfRule>
  </conditionalFormatting>
  <conditionalFormatting sqref="AN8:AN57">
    <cfRule type="expression" dxfId="105" priority="14">
      <formula>AND(AQ8="SF")</formula>
    </cfRule>
    <cfRule type="expression" dxfId="104" priority="13">
      <formula>AND(AQ8="F")</formula>
    </cfRule>
  </conditionalFormatting>
  <conditionalFormatting sqref="AP93:AP98">
    <cfRule type="cellIs" dxfId="103" priority="111" operator="equal">
      <formula>2</formula>
    </cfRule>
    <cfRule type="cellIs" dxfId="102" priority="109" operator="equal">
      <formula>4</formula>
    </cfRule>
    <cfRule type="cellIs" dxfId="101" priority="108" operator="equal">
      <formula>5</formula>
    </cfRule>
    <cfRule type="cellIs" dxfId="100" priority="107" operator="equal">
      <formula>6</formula>
    </cfRule>
    <cfRule type="cellIs" dxfId="99" priority="106" operator="equal">
      <formula>7</formula>
    </cfRule>
    <cfRule type="cellIs" dxfId="98" priority="99" operator="equal">
      <formula>14</formula>
    </cfRule>
    <cfRule type="cellIs" dxfId="97" priority="110" operator="equal">
      <formula>3</formula>
    </cfRule>
    <cfRule type="cellIs" dxfId="96" priority="104" operator="equal">
      <formula>9</formula>
    </cfRule>
    <cfRule type="cellIs" dxfId="95" priority="103" operator="equal">
      <formula>10</formula>
    </cfRule>
    <cfRule type="cellIs" dxfId="94" priority="102" operator="equal">
      <formula>11</formula>
    </cfRule>
    <cfRule type="cellIs" dxfId="93" priority="101" operator="equal">
      <formula>12</formula>
    </cfRule>
    <cfRule type="cellIs" dxfId="92" priority="100" operator="equal">
      <formula>13</formula>
    </cfRule>
    <cfRule type="cellIs" dxfId="91" priority="105" operator="equal">
      <formula>8</formula>
    </cfRule>
    <cfRule type="cellIs" dxfId="90" priority="112" operator="equal">
      <formula>1</formula>
    </cfRule>
  </conditionalFormatting>
  <conditionalFormatting sqref="AS8:AS57">
    <cfRule type="expression" dxfId="89" priority="11">
      <formula>AND(AV8="F")</formula>
    </cfRule>
    <cfRule type="expression" dxfId="88" priority="12">
      <formula>AND(AV8="SF")</formula>
    </cfRule>
  </conditionalFormatting>
  <conditionalFormatting sqref="AX8:AX57">
    <cfRule type="expression" dxfId="87" priority="10">
      <formula>AND(BA8="SF")</formula>
    </cfRule>
    <cfRule type="expression" dxfId="86" priority="9">
      <formula>AND(BA8="F")</formula>
    </cfRule>
  </conditionalFormatting>
  <conditionalFormatting sqref="AY85:AY90">
    <cfRule type="cellIs" dxfId="85" priority="120" operator="equal">
      <formula>10</formula>
    </cfRule>
    <cfRule type="cellIs" dxfId="84" priority="121" operator="equal">
      <formula>9</formula>
    </cfRule>
    <cfRule type="cellIs" dxfId="83" priority="122" operator="equal">
      <formula>8</formula>
    </cfRule>
    <cfRule type="cellIs" dxfId="82" priority="126" operator="equal">
      <formula>4</formula>
    </cfRule>
    <cfRule type="cellIs" dxfId="81" priority="123" operator="equal">
      <formula>7</formula>
    </cfRule>
    <cfRule type="cellIs" dxfId="80" priority="124" operator="equal">
      <formula>6</formula>
    </cfRule>
    <cfRule type="cellIs" dxfId="79" priority="125" operator="equal">
      <formula>5</formula>
    </cfRule>
    <cfRule type="cellIs" dxfId="78" priority="116" operator="equal">
      <formula>14</formula>
    </cfRule>
    <cfRule type="cellIs" dxfId="77" priority="127" operator="equal">
      <formula>3</formula>
    </cfRule>
    <cfRule type="cellIs" dxfId="76" priority="117" operator="equal">
      <formula>13</formula>
    </cfRule>
    <cfRule type="cellIs" dxfId="75" priority="118" operator="equal">
      <formula>12</formula>
    </cfRule>
    <cfRule type="cellIs" dxfId="74" priority="119" operator="equal">
      <formula>11</formula>
    </cfRule>
    <cfRule type="cellIs" dxfId="73" priority="128" operator="equal">
      <formula>2</formula>
    </cfRule>
    <cfRule type="cellIs" dxfId="72" priority="129" operator="equal">
      <formula>1</formula>
    </cfRule>
  </conditionalFormatting>
  <conditionalFormatting sqref="AY93:AY98">
    <cfRule type="cellIs" dxfId="71" priority="94" operator="equal">
      <formula>5</formula>
    </cfRule>
    <cfRule type="cellIs" dxfId="70" priority="95" operator="equal">
      <formula>4</formula>
    </cfRule>
    <cfRule type="cellIs" dxfId="69" priority="96" operator="equal">
      <formula>3</formula>
    </cfRule>
    <cfRule type="cellIs" dxfId="68" priority="97" operator="equal">
      <formula>2</formula>
    </cfRule>
    <cfRule type="cellIs" dxfId="67" priority="98" operator="equal">
      <formula>1</formula>
    </cfRule>
    <cfRule type="cellIs" dxfId="66" priority="85" operator="equal">
      <formula>14</formula>
    </cfRule>
    <cfRule type="cellIs" dxfId="65" priority="86" operator="equal">
      <formula>13</formula>
    </cfRule>
    <cfRule type="cellIs" dxfId="64" priority="87" operator="equal">
      <formula>12</formula>
    </cfRule>
    <cfRule type="cellIs" dxfId="63" priority="88" operator="equal">
      <formula>11</formula>
    </cfRule>
    <cfRule type="cellIs" dxfId="62" priority="89" operator="equal">
      <formula>10</formula>
    </cfRule>
    <cfRule type="cellIs" dxfId="61" priority="90" operator="equal">
      <formula>9</formula>
    </cfRule>
    <cfRule type="cellIs" dxfId="60" priority="91" operator="equal">
      <formula>8</formula>
    </cfRule>
    <cfRule type="cellIs" dxfId="59" priority="92" operator="equal">
      <formula>7</formula>
    </cfRule>
    <cfRule type="cellIs" dxfId="58" priority="93" operator="equal">
      <formula>6</formula>
    </cfRule>
  </conditionalFormatting>
  <conditionalFormatting sqref="BC8:BC57">
    <cfRule type="expression" dxfId="57" priority="8">
      <formula>AND(BF8="SF")</formula>
    </cfRule>
    <cfRule type="expression" dxfId="56" priority="7">
      <formula>AND(BF8="F")</formula>
    </cfRule>
  </conditionalFormatting>
  <conditionalFormatting sqref="BH8:BH57">
    <cfRule type="expression" dxfId="55" priority="6">
      <formula>AND(BK8="SF")</formula>
    </cfRule>
    <cfRule type="expression" dxfId="54" priority="5">
      <formula>AND(BK8="F")</formula>
    </cfRule>
  </conditionalFormatting>
  <conditionalFormatting sqref="BH85:BH90">
    <cfRule type="cellIs" dxfId="53" priority="80" operator="equal">
      <formula>5</formula>
    </cfRule>
    <cfRule type="cellIs" dxfId="52" priority="83" operator="equal">
      <formula>2</formula>
    </cfRule>
    <cfRule type="cellIs" dxfId="51" priority="72" operator="equal">
      <formula>13</formula>
    </cfRule>
    <cfRule type="cellIs" dxfId="50" priority="82" operator="equal">
      <formula>3</formula>
    </cfRule>
    <cfRule type="cellIs" dxfId="49" priority="81" operator="equal">
      <formula>4</formula>
    </cfRule>
    <cfRule type="cellIs" dxfId="48" priority="78" operator="equal">
      <formula>7</formula>
    </cfRule>
    <cfRule type="cellIs" dxfId="47" priority="73" operator="equal">
      <formula>12</formula>
    </cfRule>
    <cfRule type="cellIs" dxfId="46" priority="74" operator="equal">
      <formula>11</formula>
    </cfRule>
    <cfRule type="cellIs" dxfId="45" priority="75" operator="equal">
      <formula>10</formula>
    </cfRule>
    <cfRule type="cellIs" dxfId="44" priority="76" operator="equal">
      <formula>9</formula>
    </cfRule>
    <cfRule type="cellIs" dxfId="43" priority="77" operator="equal">
      <formula>8</formula>
    </cfRule>
    <cfRule type="cellIs" dxfId="42" priority="79" operator="equal">
      <formula>6</formula>
    </cfRule>
    <cfRule type="cellIs" dxfId="41" priority="84" operator="equal">
      <formula>1</formula>
    </cfRule>
    <cfRule type="cellIs" dxfId="40" priority="71" operator="equal">
      <formula>14</formula>
    </cfRule>
  </conditionalFormatting>
  <conditionalFormatting sqref="BH93:BH98">
    <cfRule type="cellIs" dxfId="39" priority="58" operator="equal">
      <formula>13</formula>
    </cfRule>
    <cfRule type="cellIs" dxfId="38" priority="57" operator="equal">
      <formula>14</formula>
    </cfRule>
    <cfRule type="cellIs" dxfId="37" priority="61" operator="equal">
      <formula>10</formula>
    </cfRule>
    <cfRule type="cellIs" dxfId="36" priority="59" operator="equal">
      <formula>12</formula>
    </cfRule>
    <cfRule type="cellIs" dxfId="35" priority="60" operator="equal">
      <formula>11</formula>
    </cfRule>
    <cfRule type="cellIs" dxfId="34" priority="70" operator="equal">
      <formula>1</formula>
    </cfRule>
    <cfRule type="cellIs" dxfId="33" priority="69" operator="equal">
      <formula>2</formula>
    </cfRule>
    <cfRule type="cellIs" dxfId="32" priority="68" operator="equal">
      <formula>3</formula>
    </cfRule>
    <cfRule type="cellIs" dxfId="31" priority="67" operator="equal">
      <formula>4</formula>
    </cfRule>
    <cfRule type="cellIs" dxfId="30" priority="66" operator="equal">
      <formula>5</formula>
    </cfRule>
    <cfRule type="cellIs" dxfId="29" priority="65" operator="equal">
      <formula>6</formula>
    </cfRule>
    <cfRule type="cellIs" dxfId="28" priority="64" operator="equal">
      <formula>7</formula>
    </cfRule>
    <cfRule type="cellIs" dxfId="27" priority="63" operator="equal">
      <formula>8</formula>
    </cfRule>
    <cfRule type="cellIs" dxfId="26" priority="62" operator="equal">
      <formula>9</formula>
    </cfRule>
  </conditionalFormatting>
  <conditionalFormatting sqref="BM8:BM57">
    <cfRule type="expression" dxfId="25" priority="4">
      <formula>AND(BP8="SF")</formula>
    </cfRule>
    <cfRule type="expression" dxfId="24" priority="3">
      <formula>AND(BP8="F")</formula>
    </cfRule>
  </conditionalFormatting>
  <conditionalFormatting sqref="BR8:BR57">
    <cfRule type="expression" dxfId="23" priority="1">
      <formula>AND(BU8="F")</formula>
    </cfRule>
    <cfRule type="expression" dxfId="22" priority="2">
      <formula>AND(BU8="SF")</formula>
    </cfRule>
  </conditionalFormatting>
  <conditionalFormatting sqref="BW8:BW57">
    <cfRule type="expression" dxfId="21" priority="29">
      <formula>AND(BZ8="F")</formula>
    </cfRule>
    <cfRule type="expression" dxfId="20" priority="30">
      <formula>AND(BZ8="SF")</formula>
    </cfRule>
  </conditionalFormatting>
  <conditionalFormatting sqref="CB8:CB57">
    <cfRule type="expression" dxfId="19" priority="27">
      <formula>AND(CE8="F")</formula>
    </cfRule>
    <cfRule type="expression" dxfId="18" priority="28">
      <formula>AND(CE8="SF")</formula>
    </cfRule>
  </conditionalFormatting>
  <pageMargins left="0.25" right="0.25" top="0.75" bottom="0.75" header="0.3" footer="0.3"/>
  <pageSetup paperSize="3" scale="27" fitToHeight="0" orientation="landscape"/>
  <drawing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T191"/>
  <sheetViews>
    <sheetView showGridLines="0" zoomScale="97" zoomScaleNormal="97" zoomScaleSheetLayoutView="96" workbookViewId="0">
      <selection activeCell="N151" sqref="N151"/>
    </sheetView>
  </sheetViews>
  <sheetFormatPr baseColWidth="10" defaultRowHeight="15" outlineLevelRow="2" x14ac:dyDescent="0.25"/>
  <cols>
    <col min="1" max="1" width="2.5703125" style="514" customWidth="1"/>
    <col min="2" max="2" width="5.140625" style="9" customWidth="1"/>
    <col min="3" max="3" width="10.7109375" style="514" customWidth="1"/>
    <col min="4" max="4" width="39.7109375" style="514" customWidth="1"/>
    <col min="5" max="6" width="7.7109375" style="514" customWidth="1"/>
    <col min="7" max="7" width="11.7109375" style="514" customWidth="1"/>
    <col min="8" max="9" width="6.7109375" style="514" customWidth="1"/>
    <col min="10" max="10" width="11.7109375" style="514" customWidth="1"/>
    <col min="11" max="12" width="7.7109375" style="514" customWidth="1"/>
    <col min="13" max="13" width="12.7109375" style="514" customWidth="1"/>
    <col min="14" max="15" width="7.7109375" style="514" customWidth="1"/>
    <col min="16" max="16" width="12.7109375" style="514" customWidth="1"/>
    <col min="17" max="17" width="15.7109375" style="514" customWidth="1"/>
    <col min="18" max="18" width="2.85546875" style="514" customWidth="1"/>
    <col min="41" max="41" width="13" style="514" bestFit="1" customWidth="1"/>
  </cols>
  <sheetData>
    <row r="1" spans="1:22" ht="3.75" customHeight="1" x14ac:dyDescent="0.25">
      <c r="R1" s="3"/>
    </row>
    <row r="2" spans="1:22" s="278" customFormat="1" ht="56.25" customHeight="1" x14ac:dyDescent="0.25">
      <c r="A2" s="277"/>
      <c r="B2" s="583" t="s">
        <v>326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84"/>
    </row>
    <row r="3" spans="1:22" ht="39" customHeight="1" x14ac:dyDescent="0.4">
      <c r="A3" s="1"/>
      <c r="B3" s="344" t="str">
        <f>CONTROL!D2</f>
        <v>3ER MEETING 2026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585" t="str">
        <f>'SEM 3'!D3</f>
        <v>20/09/2026</v>
      </c>
      <c r="O3" s="560"/>
      <c r="P3" s="560"/>
      <c r="Q3" s="584"/>
      <c r="R3" s="3"/>
    </row>
    <row r="4" spans="1:22" s="515" customFormat="1" ht="20.25" customHeight="1" x14ac:dyDescent="0.25">
      <c r="A4" s="280"/>
      <c r="B4" s="281">
        <v>0</v>
      </c>
      <c r="C4" s="282" t="s">
        <v>159</v>
      </c>
      <c r="D4" s="283" t="s">
        <v>10</v>
      </c>
      <c r="E4" s="284" t="s">
        <v>149</v>
      </c>
      <c r="F4" s="285"/>
      <c r="G4" s="285"/>
      <c r="H4" s="284" t="s">
        <v>150</v>
      </c>
      <c r="I4" s="285"/>
      <c r="J4" s="285"/>
      <c r="K4" s="284" t="s">
        <v>151</v>
      </c>
      <c r="L4" s="284"/>
      <c r="M4" s="284"/>
      <c r="N4" s="286" t="s">
        <v>147</v>
      </c>
      <c r="O4" s="287"/>
      <c r="P4" s="288"/>
      <c r="Q4" s="289" t="s">
        <v>297</v>
      </c>
      <c r="R4" s="3"/>
    </row>
    <row r="5" spans="1:22" s="388" customFormat="1" ht="23.1" customHeight="1" x14ac:dyDescent="0.35">
      <c r="A5" s="290"/>
      <c r="B5" s="291">
        <v>1</v>
      </c>
      <c r="C5" s="543" t="str">
        <f t="array" ref="C5:C54">_xlfn.SORTBY(SEMANA29[COD],SEMANA29[Columna33],-1)</f>
        <v>COD 02</v>
      </c>
      <c r="D5" s="464" t="str">
        <f>_xlfn.XLOOKUP(C5,CODIGOS_Y_PAGOS[CODIGO],CODIGOS_Y_PAGOS[NOMBRE PARTICIPANTE],"")</f>
        <v>JESUS QUERALES</v>
      </c>
      <c r="E5" s="293">
        <f>IF(D5="","",_xlfn.XLOOKUP($C5,BASE01[COD],BASE01[Columna14],"")+_xlfn.XLOOKUP($C5,SEMANA2[COD],SEMANA2[Columna14],"")+_xlfn.XLOOKUP($C5,SEMANA29[COD],SEMANA29[Columna14],""))</f>
        <v>27</v>
      </c>
      <c r="F5" s="293">
        <f>IF(D5="","",_xlfn.XLOOKUP($C5,BASE01[COD],BASE01[Columna19],"")+_xlfn.XLOOKUP($C5,SEMANA2[COD],SEMANA2[Columna19],"")+_xlfn.XLOOKUP($C5,SEMANA29[COD],SEMANA29[Columna19],""))</f>
        <v>11</v>
      </c>
      <c r="G5" s="294">
        <f t="shared" ref="G5:G36" si="0">IFERROR(+F5/E5,"")</f>
        <v>0.40740740740740738</v>
      </c>
      <c r="H5" s="295">
        <f>IF(D5="","",_xlfn.XLOOKUP($C5,BASE01[COD],BASE01[Columna29],"")+_xlfn.XLOOKUP($C5,SEMANA2[COD],SEMANA2[Columna29],"")+_xlfn.XLOOKUP($C5,SEMANA29[COD],SEMANA29[Columna29],""))</f>
        <v>27</v>
      </c>
      <c r="I5" s="295">
        <f>IF(D5="","",_xlfn.XLOOKUP($C5,BASE01[COD],BASE01[Columna30],"")+_xlfn.XLOOKUP($C5,SEMANA2[COD],SEMANA2[Columna30],"")+_xlfn.XLOOKUP($C5,SEMANA29[COD],SEMANA29[Columna30],""))</f>
        <v>16</v>
      </c>
      <c r="J5" s="296">
        <f t="shared" ref="J5:J36" si="1">IFERROR(+I5/H5,"")</f>
        <v>0.59259259259259256</v>
      </c>
      <c r="K5" s="297">
        <f>IF(D5="","",_xlfn.XLOOKUP($C5,BASE01[COD],BASE01[Columna32],"")+_xlfn.XLOOKUP($C5,SEMANA2[COD],SEMANA2[Columna32],"")+_xlfn.XLOOKUP($C5,SEMANA29[COD],SEMANA29[Columna32],""))</f>
        <v>27</v>
      </c>
      <c r="L5" s="297">
        <f>IF(D5="","",_xlfn.XLOOKUP($C5,BASE01[COD],BASE01[Columna34],"")+_xlfn.XLOOKUP($C5,SEMANA2[COD],SEMANA2[Columna34],"")+_xlfn.XLOOKUP($C5,SEMANA29[COD],SEMANA29[Columna34],""))</f>
        <v>19</v>
      </c>
      <c r="M5" s="298">
        <f t="shared" ref="M5:M36" si="2">IFERROR(+L5/K5,"")</f>
        <v>0.70370370370370372</v>
      </c>
      <c r="N5" s="299">
        <f>IF(D5="","",_xlfn.XLOOKUP($C5,BASE01[COD],BASE01[Columna36],"")+_xlfn.XLOOKUP($C5,SEMANA2[COD],SEMANA2[Columna36],"")+_xlfn.XLOOKUP($C5,SEMANA29[COD],SEMANA29[Columna36],""))</f>
        <v>6</v>
      </c>
      <c r="O5" s="299">
        <f>IF(D5="","",_xlfn.XLOOKUP($C5,BASE01[COD],BASE01[Columna37],"")+_xlfn.XLOOKUP($C5,SEMANA2[COD],SEMANA2[Columna37],"")+_xlfn.XLOOKUP($C5,SEMANA29[COD],SEMANA29[Columna37],""))</f>
        <v>4</v>
      </c>
      <c r="P5" s="300">
        <f t="shared" ref="P5:P36" si="3">IFERROR(+O5/N5,0)</f>
        <v>0.66666666666666663</v>
      </c>
      <c r="Q5" s="301">
        <f>_xlfn.XLOOKUP(C5,SEMANA29[COD],SEMANA29[Columna33],"")</f>
        <v>78.5</v>
      </c>
      <c r="R5" s="3"/>
      <c r="U5" s="388" t="str">
        <f t="array" ref="U5:U54">_xlfn.SORTBY(C5:C54,Q5:Q54,-1)</f>
        <v>COD 02</v>
      </c>
      <c r="V5" s="388" t="str">
        <f t="shared" ref="V5:V36" si="4">U5</f>
        <v>COD 02</v>
      </c>
    </row>
    <row r="6" spans="1:22" s="388" customFormat="1" ht="23.1" customHeight="1" x14ac:dyDescent="0.35">
      <c r="A6" s="290"/>
      <c r="B6" s="291">
        <f t="shared" ref="B6:B37" si="5">+B5+1</f>
        <v>2</v>
      </c>
      <c r="C6" s="543" t="str">
        <v>COD 21</v>
      </c>
      <c r="D6" s="464" t="str">
        <f>_xlfn.XLOOKUP(C6,CODIGOS_Y_PAGOS[CODIGO],CODIGOS_Y_PAGOS[NOMBRE PARTICIPANTE],"")</f>
        <v>WILMER</v>
      </c>
      <c r="E6" s="293">
        <f>IF(D6="","",_xlfn.XLOOKUP($C6,BASE01[COD],BASE01[Columna14],"")+_xlfn.XLOOKUP($C6,SEMANA2[COD],SEMANA2[Columna14],"")+_xlfn.XLOOKUP($C6,SEMANA29[COD],SEMANA29[Columna14],""))</f>
        <v>27</v>
      </c>
      <c r="F6" s="293">
        <f>IF(D6="","",_xlfn.XLOOKUP($C6,BASE01[COD],BASE01[Columna19],"")+_xlfn.XLOOKUP($C6,SEMANA2[COD],SEMANA2[Columna19],"")+_xlfn.XLOOKUP($C6,SEMANA29[COD],SEMANA29[Columna19],""))</f>
        <v>11</v>
      </c>
      <c r="G6" s="294">
        <f t="shared" si="0"/>
        <v>0.40740740740740738</v>
      </c>
      <c r="H6" s="295">
        <f>IF(D6="","",_xlfn.XLOOKUP($C6,BASE01[COD],BASE01[Columna29],"")+_xlfn.XLOOKUP($C6,SEMANA2[COD],SEMANA2[Columna29],"")+_xlfn.XLOOKUP($C6,SEMANA29[COD],SEMANA29[Columna29],""))</f>
        <v>27</v>
      </c>
      <c r="I6" s="295">
        <f>IF(D6="","",_xlfn.XLOOKUP($C6,BASE01[COD],BASE01[Columna30],"")+_xlfn.XLOOKUP($C6,SEMANA2[COD],SEMANA2[Columna30],"")+_xlfn.XLOOKUP($C6,SEMANA29[COD],SEMANA29[Columna30],""))</f>
        <v>16</v>
      </c>
      <c r="J6" s="296">
        <f t="shared" si="1"/>
        <v>0.59259259259259256</v>
      </c>
      <c r="K6" s="297">
        <f>IF(D6="","",_xlfn.XLOOKUP($C6,BASE01[COD],BASE01[Columna32],"")+_xlfn.XLOOKUP($C6,SEMANA2[COD],SEMANA2[Columna32],"")+_xlfn.XLOOKUP($C6,SEMANA29[COD],SEMANA29[Columna32],""))</f>
        <v>27</v>
      </c>
      <c r="L6" s="297">
        <f>IF(D6="","",_xlfn.XLOOKUP($C6,BASE01[COD],BASE01[Columna34],"")+_xlfn.XLOOKUP($C6,SEMANA2[COD],SEMANA2[Columna34],"")+_xlfn.XLOOKUP($C6,SEMANA29[COD],SEMANA29[Columna34],""))</f>
        <v>20</v>
      </c>
      <c r="M6" s="298">
        <f t="shared" si="2"/>
        <v>0.7407407407407407</v>
      </c>
      <c r="N6" s="299">
        <f>IF(D6="","",_xlfn.XLOOKUP($C6,BASE01[COD],BASE01[Columna36],"")+_xlfn.XLOOKUP($C6,SEMANA2[COD],SEMANA2[Columna36],"")+_xlfn.XLOOKUP($C6,SEMANA29[COD],SEMANA29[Columna36],""))</f>
        <v>6</v>
      </c>
      <c r="O6" s="299">
        <f>IF(D6="","",_xlfn.XLOOKUP($C6,BASE01[COD],BASE01[Columna37],"")+_xlfn.XLOOKUP($C6,SEMANA2[COD],SEMANA2[Columna37],"")+_xlfn.XLOOKUP($C6,SEMANA29[COD],SEMANA29[Columna37],""))</f>
        <v>4</v>
      </c>
      <c r="P6" s="300">
        <f t="shared" si="3"/>
        <v>0.66666666666666663</v>
      </c>
      <c r="Q6" s="301">
        <f>_xlfn.XLOOKUP(C6,SEMANA29[COD],SEMANA29[Columna33],"")</f>
        <v>75.5</v>
      </c>
      <c r="R6" s="3"/>
      <c r="U6" s="388" t="str">
        <v>COD 21</v>
      </c>
      <c r="V6" s="388" t="str">
        <f t="shared" si="4"/>
        <v>COD 21</v>
      </c>
    </row>
    <row r="7" spans="1:22" s="388" customFormat="1" ht="23.1" customHeight="1" x14ac:dyDescent="0.35">
      <c r="A7" s="290"/>
      <c r="B7" s="291">
        <f t="shared" si="5"/>
        <v>3</v>
      </c>
      <c r="C7" s="543" t="str">
        <v>COD 10</v>
      </c>
      <c r="D7" s="464" t="str">
        <f>_xlfn.XLOOKUP(C7,CODIGOS_Y_PAGOS[CODIGO],CODIGOS_Y_PAGOS[NOMBRE PARTICIPANTE],"")</f>
        <v>JESUS CARAYACA</v>
      </c>
      <c r="E7" s="293">
        <f>IF(D7="","",_xlfn.XLOOKUP($C7,BASE01[COD],BASE01[Columna14],"")+_xlfn.XLOOKUP($C7,SEMANA2[COD],SEMANA2[Columna14],"")+_xlfn.XLOOKUP($C7,SEMANA29[COD],SEMANA29[Columna14],""))</f>
        <v>27</v>
      </c>
      <c r="F7" s="293">
        <f>IF(D7="","",_xlfn.XLOOKUP($C7,BASE01[COD],BASE01[Columna19],"")+_xlfn.XLOOKUP($C7,SEMANA2[COD],SEMANA2[Columna19],"")+_xlfn.XLOOKUP($C7,SEMANA29[COD],SEMANA29[Columna19],""))</f>
        <v>10</v>
      </c>
      <c r="G7" s="294">
        <f t="shared" si="0"/>
        <v>0.37037037037037035</v>
      </c>
      <c r="H7" s="295">
        <f>IF(D7="","",_xlfn.XLOOKUP($C7,BASE01[COD],BASE01[Columna29],"")+_xlfn.XLOOKUP($C7,SEMANA2[COD],SEMANA2[Columna29],"")+_xlfn.XLOOKUP($C7,SEMANA29[COD],SEMANA29[Columna29],""))</f>
        <v>27</v>
      </c>
      <c r="I7" s="295">
        <f>IF(D7="","",_xlfn.XLOOKUP($C7,BASE01[COD],BASE01[Columna30],"")+_xlfn.XLOOKUP($C7,SEMANA2[COD],SEMANA2[Columna30],"")+_xlfn.XLOOKUP($C7,SEMANA29[COD],SEMANA29[Columna30],""))</f>
        <v>18</v>
      </c>
      <c r="J7" s="296">
        <f t="shared" si="1"/>
        <v>0.66666666666666663</v>
      </c>
      <c r="K7" s="297">
        <f>IF(D7="","",_xlfn.XLOOKUP($C7,BASE01[COD],BASE01[Columna32],"")+_xlfn.XLOOKUP($C7,SEMANA2[COD],SEMANA2[Columna32],"")+_xlfn.XLOOKUP($C7,SEMANA29[COD],SEMANA29[Columna32],""))</f>
        <v>27</v>
      </c>
      <c r="L7" s="297">
        <f>IF(D7="","",_xlfn.XLOOKUP($C7,BASE01[COD],BASE01[Columna34],"")+_xlfn.XLOOKUP($C7,SEMANA2[COD],SEMANA2[Columna34],"")+_xlfn.XLOOKUP($C7,SEMANA29[COD],SEMANA29[Columna34],""))</f>
        <v>19</v>
      </c>
      <c r="M7" s="298">
        <f t="shared" si="2"/>
        <v>0.70370370370370372</v>
      </c>
      <c r="N7" s="299">
        <f>IF(D7="","",_xlfn.XLOOKUP($C7,BASE01[COD],BASE01[Columna36],"")+_xlfn.XLOOKUP($C7,SEMANA2[COD],SEMANA2[Columna36],"")+_xlfn.XLOOKUP($C7,SEMANA29[COD],SEMANA29[Columna36],""))</f>
        <v>6</v>
      </c>
      <c r="O7" s="299">
        <f>IF(D7="","",_xlfn.XLOOKUP($C7,BASE01[COD],BASE01[Columna37],"")+_xlfn.XLOOKUP($C7,SEMANA2[COD],SEMANA2[Columna37],"")+_xlfn.XLOOKUP($C7,SEMANA29[COD],SEMANA29[Columna37],""))</f>
        <v>4</v>
      </c>
      <c r="P7" s="300">
        <f t="shared" si="3"/>
        <v>0.66666666666666663</v>
      </c>
      <c r="Q7" s="301">
        <f>_xlfn.XLOOKUP(C7,SEMANA29[COD],SEMANA29[Columna33],"")</f>
        <v>74.5</v>
      </c>
      <c r="R7" s="3"/>
      <c r="U7" s="388" t="str">
        <v>COD 10</v>
      </c>
      <c r="V7" s="388" t="str">
        <f t="shared" si="4"/>
        <v>COD 10</v>
      </c>
    </row>
    <row r="8" spans="1:22" s="388" customFormat="1" ht="23.1" customHeight="1" x14ac:dyDescent="0.35">
      <c r="A8" s="290"/>
      <c r="B8" s="291">
        <f t="shared" si="5"/>
        <v>4</v>
      </c>
      <c r="C8" s="543" t="str">
        <v>COD 25</v>
      </c>
      <c r="D8" s="464" t="str">
        <f>_xlfn.XLOOKUP(C8,CODIGOS_Y_PAGOS[CODIGO],CODIGOS_Y_PAGOS[NOMBRE PARTICIPANTE],"")</f>
        <v>GLEY GARCIA</v>
      </c>
      <c r="E8" s="293">
        <f>IF(D8="","",_xlfn.XLOOKUP($C8,BASE01[COD],BASE01[Columna14],"")+_xlfn.XLOOKUP($C8,SEMANA2[COD],SEMANA2[Columna14],"")+_xlfn.XLOOKUP($C8,SEMANA29[COD],SEMANA29[Columna14],""))</f>
        <v>27</v>
      </c>
      <c r="F8" s="293">
        <f>IF(D8="","",_xlfn.XLOOKUP($C8,BASE01[COD],BASE01[Columna19],"")+_xlfn.XLOOKUP($C8,SEMANA2[COD],SEMANA2[Columna19],"")+_xlfn.XLOOKUP($C8,SEMANA29[COD],SEMANA29[Columna19],""))</f>
        <v>10</v>
      </c>
      <c r="G8" s="294">
        <f t="shared" si="0"/>
        <v>0.37037037037037035</v>
      </c>
      <c r="H8" s="295">
        <f>IF(D8="","",_xlfn.XLOOKUP($C8,BASE01[COD],BASE01[Columna29],"")+_xlfn.XLOOKUP($C8,SEMANA2[COD],SEMANA2[Columna29],"")+_xlfn.XLOOKUP($C8,SEMANA29[COD],SEMANA29[Columna29],""))</f>
        <v>27</v>
      </c>
      <c r="I8" s="295">
        <f>IF(D8="","",_xlfn.XLOOKUP($C8,BASE01[COD],BASE01[Columna30],"")+_xlfn.XLOOKUP($C8,SEMANA2[COD],SEMANA2[Columna30],"")+_xlfn.XLOOKUP($C8,SEMANA29[COD],SEMANA29[Columna30],""))</f>
        <v>17</v>
      </c>
      <c r="J8" s="296">
        <f t="shared" si="1"/>
        <v>0.62962962962962965</v>
      </c>
      <c r="K8" s="297">
        <f>IF(D8="","",_xlfn.XLOOKUP($C8,BASE01[COD],BASE01[Columna32],"")+_xlfn.XLOOKUP($C8,SEMANA2[COD],SEMANA2[Columna32],"")+_xlfn.XLOOKUP($C8,SEMANA29[COD],SEMANA29[Columna32],""))</f>
        <v>27</v>
      </c>
      <c r="L8" s="297">
        <f>IF(D8="","",_xlfn.XLOOKUP($C8,BASE01[COD],BASE01[Columna34],"")+_xlfn.XLOOKUP($C8,SEMANA2[COD],SEMANA2[Columna34],"")+_xlfn.XLOOKUP($C8,SEMANA29[COD],SEMANA29[Columna34],""))</f>
        <v>20</v>
      </c>
      <c r="M8" s="298">
        <f t="shared" si="2"/>
        <v>0.7407407407407407</v>
      </c>
      <c r="N8" s="299">
        <f>IF(D8="","",_xlfn.XLOOKUP($C8,BASE01[COD],BASE01[Columna36],"")+_xlfn.XLOOKUP($C8,SEMANA2[COD],SEMANA2[Columna36],"")+_xlfn.XLOOKUP($C8,SEMANA29[COD],SEMANA29[Columna36],""))</f>
        <v>6</v>
      </c>
      <c r="O8" s="299">
        <f>IF(D8="","",_xlfn.XLOOKUP($C8,BASE01[COD],BASE01[Columna37],"")+_xlfn.XLOOKUP($C8,SEMANA2[COD],SEMANA2[Columna37],"")+_xlfn.XLOOKUP($C8,SEMANA29[COD],SEMANA29[Columna37],""))</f>
        <v>4</v>
      </c>
      <c r="P8" s="300">
        <f t="shared" si="3"/>
        <v>0.66666666666666663</v>
      </c>
      <c r="Q8" s="301">
        <f>_xlfn.XLOOKUP(C8,SEMANA29[COD],SEMANA29[Columna33],"")</f>
        <v>73.5</v>
      </c>
      <c r="R8" s="3"/>
      <c r="U8" s="388" t="str">
        <v>COD 25</v>
      </c>
      <c r="V8" s="388" t="str">
        <f t="shared" si="4"/>
        <v>COD 25</v>
      </c>
    </row>
    <row r="9" spans="1:22" s="388" customFormat="1" ht="23.1" customHeight="1" x14ac:dyDescent="0.35">
      <c r="A9" s="290"/>
      <c r="B9" s="291">
        <f t="shared" si="5"/>
        <v>5</v>
      </c>
      <c r="C9" s="543" t="str">
        <v>COD 05</v>
      </c>
      <c r="D9" s="464" t="str">
        <f>_xlfn.XLOOKUP(C9,CODIGOS_Y_PAGOS[CODIGO],CODIGOS_Y_PAGOS[NOMBRE PARTICIPANTE],"")</f>
        <v>MARCOS HIDALGO</v>
      </c>
      <c r="E9" s="293">
        <f>IF(D9="","",_xlfn.XLOOKUP($C9,BASE01[COD],BASE01[Columna14],"")+_xlfn.XLOOKUP($C9,SEMANA2[COD],SEMANA2[Columna14],"")+_xlfn.XLOOKUP($C9,SEMANA29[COD],SEMANA29[Columna14],""))</f>
        <v>27</v>
      </c>
      <c r="F9" s="293">
        <f>IF(D9="","",_xlfn.XLOOKUP($C9,BASE01[COD],BASE01[Columna19],"")+_xlfn.XLOOKUP($C9,SEMANA2[COD],SEMANA2[Columna19],"")+_xlfn.XLOOKUP($C9,SEMANA29[COD],SEMANA29[Columna19],""))</f>
        <v>9</v>
      </c>
      <c r="G9" s="294">
        <f t="shared" si="0"/>
        <v>0.33333333333333331</v>
      </c>
      <c r="H9" s="295">
        <f>IF(D9="","",_xlfn.XLOOKUP($C9,BASE01[COD],BASE01[Columna29],"")+_xlfn.XLOOKUP($C9,SEMANA2[COD],SEMANA2[Columna29],"")+_xlfn.XLOOKUP($C9,SEMANA29[COD],SEMANA29[Columna29],""))</f>
        <v>27</v>
      </c>
      <c r="I9" s="295">
        <f>IF(D9="","",_xlfn.XLOOKUP($C9,BASE01[COD],BASE01[Columna30],"")+_xlfn.XLOOKUP($C9,SEMANA2[COD],SEMANA2[Columna30],"")+_xlfn.XLOOKUP($C9,SEMANA29[COD],SEMANA29[Columna30],""))</f>
        <v>14</v>
      </c>
      <c r="J9" s="296">
        <f t="shared" si="1"/>
        <v>0.51851851851851849</v>
      </c>
      <c r="K9" s="297">
        <f>IF(D9="","",_xlfn.XLOOKUP($C9,BASE01[COD],BASE01[Columna32],"")+_xlfn.XLOOKUP($C9,SEMANA2[COD],SEMANA2[Columna32],"")+_xlfn.XLOOKUP($C9,SEMANA29[COD],SEMANA29[Columna32],""))</f>
        <v>27</v>
      </c>
      <c r="L9" s="297">
        <f>IF(D9="","",_xlfn.XLOOKUP($C9,BASE01[COD],BASE01[Columna34],"")+_xlfn.XLOOKUP($C9,SEMANA2[COD],SEMANA2[Columna34],"")+_xlfn.XLOOKUP($C9,SEMANA29[COD],SEMANA29[Columna34],""))</f>
        <v>21</v>
      </c>
      <c r="M9" s="298">
        <f t="shared" si="2"/>
        <v>0.77777777777777779</v>
      </c>
      <c r="N9" s="299">
        <f>IF(D9="","",_xlfn.XLOOKUP($C9,BASE01[COD],BASE01[Columna36],"")+_xlfn.XLOOKUP($C9,SEMANA2[COD],SEMANA2[Columna36],"")+_xlfn.XLOOKUP($C9,SEMANA29[COD],SEMANA29[Columna36],""))</f>
        <v>6</v>
      </c>
      <c r="O9" s="299">
        <f>IF(D9="","",_xlfn.XLOOKUP($C9,BASE01[COD],BASE01[Columna37],"")+_xlfn.XLOOKUP($C9,SEMANA2[COD],SEMANA2[Columna37],"")+_xlfn.XLOOKUP($C9,SEMANA29[COD],SEMANA29[Columna37],""))</f>
        <v>4</v>
      </c>
      <c r="P9" s="300">
        <f t="shared" si="3"/>
        <v>0.66666666666666663</v>
      </c>
      <c r="Q9" s="301">
        <f>_xlfn.XLOOKUP(C9,SEMANA29[COD],SEMANA29[Columna33],"")</f>
        <v>71.5</v>
      </c>
      <c r="R9" s="3"/>
      <c r="U9" s="388" t="str">
        <v>COD 05</v>
      </c>
      <c r="V9" s="388" t="str">
        <f t="shared" si="4"/>
        <v>COD 05</v>
      </c>
    </row>
    <row r="10" spans="1:22" s="388" customFormat="1" ht="23.1" customHeight="1" x14ac:dyDescent="0.35">
      <c r="A10" s="290"/>
      <c r="B10" s="291">
        <f t="shared" si="5"/>
        <v>6</v>
      </c>
      <c r="C10" s="543" t="str">
        <v>COD 09</v>
      </c>
      <c r="D10" s="464" t="str">
        <f>_xlfn.XLOOKUP(C10,CODIGOS_Y_PAGOS[CODIGO],CODIGOS_Y_PAGOS[NOMBRE PARTICIPANTE],"")</f>
        <v>JESUS ARASME</v>
      </c>
      <c r="E10" s="293">
        <f>IF(D10="","",_xlfn.XLOOKUP($C10,BASE01[COD],BASE01[Columna14],"")+_xlfn.XLOOKUP($C10,SEMANA2[COD],SEMANA2[Columna14],"")+_xlfn.XLOOKUP($C10,SEMANA29[COD],SEMANA29[Columna14],""))</f>
        <v>27</v>
      </c>
      <c r="F10" s="293">
        <f>IF(D10="","",_xlfn.XLOOKUP($C10,BASE01[COD],BASE01[Columna19],"")+_xlfn.XLOOKUP($C10,SEMANA2[COD],SEMANA2[Columna19],"")+_xlfn.XLOOKUP($C10,SEMANA29[COD],SEMANA29[Columna19],""))</f>
        <v>11</v>
      </c>
      <c r="G10" s="294">
        <f t="shared" si="0"/>
        <v>0.40740740740740738</v>
      </c>
      <c r="H10" s="295">
        <f>IF(D10="","",_xlfn.XLOOKUP($C10,BASE01[COD],BASE01[Columna29],"")+_xlfn.XLOOKUP($C10,SEMANA2[COD],SEMANA2[Columna29],"")+_xlfn.XLOOKUP($C10,SEMANA29[COD],SEMANA29[Columna29],""))</f>
        <v>27</v>
      </c>
      <c r="I10" s="295">
        <f>IF(D10="","",_xlfn.XLOOKUP($C10,BASE01[COD],BASE01[Columna30],"")+_xlfn.XLOOKUP($C10,SEMANA2[COD],SEMANA2[Columna30],"")+_xlfn.XLOOKUP($C10,SEMANA29[COD],SEMANA29[Columna30],""))</f>
        <v>15</v>
      </c>
      <c r="J10" s="296">
        <f t="shared" si="1"/>
        <v>0.55555555555555558</v>
      </c>
      <c r="K10" s="297">
        <f>IF(D10="","",_xlfn.XLOOKUP($C10,BASE01[COD],BASE01[Columna32],"")+_xlfn.XLOOKUP($C10,SEMANA2[COD],SEMANA2[Columna32],"")+_xlfn.XLOOKUP($C10,SEMANA29[COD],SEMANA29[Columna32],""))</f>
        <v>27</v>
      </c>
      <c r="L10" s="297">
        <f>IF(D10="","",_xlfn.XLOOKUP($C10,BASE01[COD],BASE01[Columna34],"")+_xlfn.XLOOKUP($C10,SEMANA2[COD],SEMANA2[Columna34],"")+_xlfn.XLOOKUP($C10,SEMANA29[COD],SEMANA29[Columna34],""))</f>
        <v>20</v>
      </c>
      <c r="M10" s="298">
        <f t="shared" si="2"/>
        <v>0.7407407407407407</v>
      </c>
      <c r="N10" s="299">
        <f>IF(D10="","",_xlfn.XLOOKUP($C10,BASE01[COD],BASE01[Columna36],"")+_xlfn.XLOOKUP($C10,SEMANA2[COD],SEMANA2[Columna36],"")+_xlfn.XLOOKUP($C10,SEMANA29[COD],SEMANA29[Columna36],""))</f>
        <v>6</v>
      </c>
      <c r="O10" s="299">
        <f>IF(D10="","",_xlfn.XLOOKUP($C10,BASE01[COD],BASE01[Columna37],"")+_xlfn.XLOOKUP($C10,SEMANA2[COD],SEMANA2[Columna37],"")+_xlfn.XLOOKUP($C10,SEMANA29[COD],SEMANA29[Columna37],""))</f>
        <v>3</v>
      </c>
      <c r="P10" s="300">
        <f t="shared" si="3"/>
        <v>0.5</v>
      </c>
      <c r="Q10" s="301">
        <f>_xlfn.XLOOKUP(C10,SEMANA29[COD],SEMANA29[Columna33],"")</f>
        <v>70.5</v>
      </c>
      <c r="R10" s="3"/>
      <c r="U10" s="388" t="str">
        <v>COD 09</v>
      </c>
      <c r="V10" s="388" t="str">
        <f t="shared" si="4"/>
        <v>COD 09</v>
      </c>
    </row>
    <row r="11" spans="1:22" s="388" customFormat="1" ht="23.1" customHeight="1" x14ac:dyDescent="0.35">
      <c r="A11" s="290"/>
      <c r="B11" s="302">
        <f t="shared" si="5"/>
        <v>7</v>
      </c>
      <c r="C11" s="543" t="str">
        <v>COD 27</v>
      </c>
      <c r="D11" s="464" t="str">
        <f>_xlfn.XLOOKUP(C11,CODIGOS_Y_PAGOS[CODIGO],CODIGOS_Y_PAGOS[NOMBRE PARTICIPANTE],"")</f>
        <v>ANDERSON HERNANDEZ</v>
      </c>
      <c r="E11" s="293">
        <f>IF(D11="","",_xlfn.XLOOKUP($C11,BASE01[COD],BASE01[Columna14],"")+_xlfn.XLOOKUP($C11,SEMANA2[COD],SEMANA2[Columna14],"")+_xlfn.XLOOKUP($C11,SEMANA29[COD],SEMANA29[Columna14],""))</f>
        <v>27</v>
      </c>
      <c r="F11" s="293">
        <f>IF(D11="","",_xlfn.XLOOKUP($C11,BASE01[COD],BASE01[Columna19],"")+_xlfn.XLOOKUP($C11,SEMANA2[COD],SEMANA2[Columna19],"")+_xlfn.XLOOKUP($C11,SEMANA29[COD],SEMANA29[Columna19],""))</f>
        <v>12</v>
      </c>
      <c r="G11" s="294">
        <f t="shared" si="0"/>
        <v>0.44444444444444442</v>
      </c>
      <c r="H11" s="295">
        <f>IF(D11="","",_xlfn.XLOOKUP($C11,BASE01[COD],BASE01[Columna29],"")+_xlfn.XLOOKUP($C11,SEMANA2[COD],SEMANA2[Columna29],"")+_xlfn.XLOOKUP($C11,SEMANA29[COD],SEMANA29[Columna29],""))</f>
        <v>27</v>
      </c>
      <c r="I11" s="295">
        <f>IF(D11="","",_xlfn.XLOOKUP($C11,BASE01[COD],BASE01[Columna30],"")+_xlfn.XLOOKUP($C11,SEMANA2[COD],SEMANA2[Columna30],"")+_xlfn.XLOOKUP($C11,SEMANA29[COD],SEMANA29[Columna30],""))</f>
        <v>17</v>
      </c>
      <c r="J11" s="296">
        <f t="shared" si="1"/>
        <v>0.62962962962962965</v>
      </c>
      <c r="K11" s="297">
        <f>IF(D11="","",_xlfn.XLOOKUP($C11,BASE01[COD],BASE01[Columna32],"")+_xlfn.XLOOKUP($C11,SEMANA2[COD],SEMANA2[Columna32],"")+_xlfn.XLOOKUP($C11,SEMANA29[COD],SEMANA29[Columna32],""))</f>
        <v>27</v>
      </c>
      <c r="L11" s="297">
        <f>IF(D11="","",_xlfn.XLOOKUP($C11,BASE01[COD],BASE01[Columna34],"")+_xlfn.XLOOKUP($C11,SEMANA2[COD],SEMANA2[Columna34],"")+_xlfn.XLOOKUP($C11,SEMANA29[COD],SEMANA29[Columna34],""))</f>
        <v>17</v>
      </c>
      <c r="M11" s="298">
        <f t="shared" si="2"/>
        <v>0.62962962962962965</v>
      </c>
      <c r="N11" s="299">
        <f>IF(D11="","",_xlfn.XLOOKUP($C11,BASE01[COD],BASE01[Columna36],"")+_xlfn.XLOOKUP($C11,SEMANA2[COD],SEMANA2[Columna36],"")+_xlfn.XLOOKUP($C11,SEMANA29[COD],SEMANA29[Columna36],""))</f>
        <v>6</v>
      </c>
      <c r="O11" s="299">
        <f>IF(D11="","",_xlfn.XLOOKUP($C11,BASE01[COD],BASE01[Columna37],"")+_xlfn.XLOOKUP($C11,SEMANA2[COD],SEMANA2[Columna37],"")+_xlfn.XLOOKUP($C11,SEMANA29[COD],SEMANA29[Columna37],""))</f>
        <v>4</v>
      </c>
      <c r="P11" s="300">
        <f t="shared" si="3"/>
        <v>0.66666666666666663</v>
      </c>
      <c r="Q11" s="301">
        <f>_xlfn.XLOOKUP(C11,SEMANA29[COD],SEMANA29[Columna33],"")</f>
        <v>70.5</v>
      </c>
      <c r="R11" s="3"/>
      <c r="U11" s="388" t="str">
        <v>COD 27</v>
      </c>
      <c r="V11" s="388" t="str">
        <f t="shared" si="4"/>
        <v>COD 27</v>
      </c>
    </row>
    <row r="12" spans="1:22" s="388" customFormat="1" ht="23.1" customHeight="1" x14ac:dyDescent="0.35">
      <c r="A12" s="290"/>
      <c r="B12" s="291">
        <f t="shared" si="5"/>
        <v>8</v>
      </c>
      <c r="C12" s="543" t="str">
        <v>COD 22</v>
      </c>
      <c r="D12" s="464" t="str">
        <f>_xlfn.XLOOKUP(C12,CODIGOS_Y_PAGOS[CODIGO],CODIGOS_Y_PAGOS[NOMBRE PARTICIPANTE],"")</f>
        <v>ROGER PIÑA</v>
      </c>
      <c r="E12" s="293">
        <f>IF(D12="","",_xlfn.XLOOKUP($C12,BASE01[COD],BASE01[Columna14],"")+_xlfn.XLOOKUP($C12,SEMANA2[COD],SEMANA2[Columna14],"")+_xlfn.XLOOKUP($C12,SEMANA29[COD],SEMANA29[Columna14],""))</f>
        <v>27</v>
      </c>
      <c r="F12" s="293">
        <f>IF(D12="","",_xlfn.XLOOKUP($C12,BASE01[COD],BASE01[Columna19],"")+_xlfn.XLOOKUP($C12,SEMANA2[COD],SEMANA2[Columna19],"")+_xlfn.XLOOKUP($C12,SEMANA29[COD],SEMANA29[Columna19],""))</f>
        <v>11</v>
      </c>
      <c r="G12" s="294">
        <f t="shared" si="0"/>
        <v>0.40740740740740738</v>
      </c>
      <c r="H12" s="295">
        <f>IF(D12="","",_xlfn.XLOOKUP($C12,BASE01[COD],BASE01[Columna29],"")+_xlfn.XLOOKUP($C12,SEMANA2[COD],SEMANA2[Columna29],"")+_xlfn.XLOOKUP($C12,SEMANA29[COD],SEMANA29[Columna29],""))</f>
        <v>27</v>
      </c>
      <c r="I12" s="295">
        <f>IF(D12="","",_xlfn.XLOOKUP($C12,BASE01[COD],BASE01[Columna30],"")+_xlfn.XLOOKUP($C12,SEMANA2[COD],SEMANA2[Columna30],"")+_xlfn.XLOOKUP($C12,SEMANA29[COD],SEMANA29[Columna30],""))</f>
        <v>14</v>
      </c>
      <c r="J12" s="296">
        <f t="shared" si="1"/>
        <v>0.51851851851851849</v>
      </c>
      <c r="K12" s="297">
        <f>IF(D12="","",_xlfn.XLOOKUP($C12,BASE01[COD],BASE01[Columna32],"")+_xlfn.XLOOKUP($C12,SEMANA2[COD],SEMANA2[Columna32],"")+_xlfn.XLOOKUP($C12,SEMANA29[COD],SEMANA29[Columna32],""))</f>
        <v>27</v>
      </c>
      <c r="L12" s="297">
        <f>IF(D12="","",_xlfn.XLOOKUP($C12,BASE01[COD],BASE01[Columna34],"")+_xlfn.XLOOKUP($C12,SEMANA2[COD],SEMANA2[Columna34],"")+_xlfn.XLOOKUP($C12,SEMANA29[COD],SEMANA29[Columna34],""))</f>
        <v>18</v>
      </c>
      <c r="M12" s="298">
        <f t="shared" si="2"/>
        <v>0.66666666666666663</v>
      </c>
      <c r="N12" s="299">
        <f>IF(D12="","",_xlfn.XLOOKUP($C12,BASE01[COD],BASE01[Columna36],"")+_xlfn.XLOOKUP($C12,SEMANA2[COD],SEMANA2[Columna36],"")+_xlfn.XLOOKUP($C12,SEMANA29[COD],SEMANA29[Columna36],""))</f>
        <v>5</v>
      </c>
      <c r="O12" s="299">
        <f>IF(D12="","",_xlfn.XLOOKUP($C12,BASE01[COD],BASE01[Columna37],"")+_xlfn.XLOOKUP($C12,SEMANA2[COD],SEMANA2[Columna37],"")+_xlfn.XLOOKUP($C12,SEMANA29[COD],SEMANA29[Columna37],""))</f>
        <v>3</v>
      </c>
      <c r="P12" s="300">
        <f t="shared" si="3"/>
        <v>0.6</v>
      </c>
      <c r="Q12" s="301">
        <f>_xlfn.XLOOKUP(C12,SEMANA29[COD],SEMANA29[Columna33],"")</f>
        <v>69.5</v>
      </c>
      <c r="R12" s="3"/>
      <c r="U12" s="388" t="str">
        <v>COD 22</v>
      </c>
      <c r="V12" s="388" t="str">
        <f t="shared" si="4"/>
        <v>COD 22</v>
      </c>
    </row>
    <row r="13" spans="1:22" s="388" customFormat="1" ht="23.1" customHeight="1" x14ac:dyDescent="0.35">
      <c r="A13" s="290"/>
      <c r="B13" s="291">
        <f t="shared" si="5"/>
        <v>9</v>
      </c>
      <c r="C13" s="543" t="str">
        <v>COD 01</v>
      </c>
      <c r="D13" s="464" t="str">
        <f>_xlfn.XLOOKUP(C13,CODIGOS_Y_PAGOS[CODIGO],CODIGOS_Y_PAGOS[NOMBRE PARTICIPANTE],"")</f>
        <v>GANADORES Y PULSO</v>
      </c>
      <c r="E13" s="293">
        <f>IF(D13="","",_xlfn.XLOOKUP($C13,BASE01[COD],BASE01[Columna14],"")+_xlfn.XLOOKUP($C13,SEMANA2[COD],SEMANA2[Columna14],"")+_xlfn.XLOOKUP($C13,SEMANA29[COD],SEMANA29[Columna14],""))</f>
        <v>27</v>
      </c>
      <c r="F13" s="293">
        <f>IF(D13="","",_xlfn.XLOOKUP($C13,BASE01[COD],BASE01[Columna19],"")+_xlfn.XLOOKUP($C13,SEMANA2[COD],SEMANA2[Columna19],"")+_xlfn.XLOOKUP($C13,SEMANA29[COD],SEMANA29[Columna19],""))</f>
        <v>9</v>
      </c>
      <c r="G13" s="294">
        <f t="shared" si="0"/>
        <v>0.33333333333333331</v>
      </c>
      <c r="H13" s="295">
        <f>IF(D13="","",_xlfn.XLOOKUP($C13,BASE01[COD],BASE01[Columna29],"")+_xlfn.XLOOKUP($C13,SEMANA2[COD],SEMANA2[Columna29],"")+_xlfn.XLOOKUP($C13,SEMANA29[COD],SEMANA29[Columna29],""))</f>
        <v>27</v>
      </c>
      <c r="I13" s="295">
        <f>IF(D13="","",_xlfn.XLOOKUP($C13,BASE01[COD],BASE01[Columna30],"")+_xlfn.XLOOKUP($C13,SEMANA2[COD],SEMANA2[Columna30],"")+_xlfn.XLOOKUP($C13,SEMANA29[COD],SEMANA29[Columna30],""))</f>
        <v>14</v>
      </c>
      <c r="J13" s="296">
        <f t="shared" si="1"/>
        <v>0.51851851851851849</v>
      </c>
      <c r="K13" s="297">
        <f>IF(D13="","",_xlfn.XLOOKUP($C13,BASE01[COD],BASE01[Columna32],"")+_xlfn.XLOOKUP($C13,SEMANA2[COD],SEMANA2[Columna32],"")+_xlfn.XLOOKUP($C13,SEMANA29[COD],SEMANA29[Columna32],""))</f>
        <v>27</v>
      </c>
      <c r="L13" s="297">
        <f>IF(D13="","",_xlfn.XLOOKUP($C13,BASE01[COD],BASE01[Columna34],"")+_xlfn.XLOOKUP($C13,SEMANA2[COD],SEMANA2[Columna34],"")+_xlfn.XLOOKUP($C13,SEMANA29[COD],SEMANA29[Columna34],""))</f>
        <v>22</v>
      </c>
      <c r="M13" s="298">
        <f t="shared" si="2"/>
        <v>0.81481481481481477</v>
      </c>
      <c r="N13" s="299">
        <f>IF(D13="","",_xlfn.XLOOKUP($C13,BASE01[COD],BASE01[Columna36],"")+_xlfn.XLOOKUP($C13,SEMANA2[COD],SEMANA2[Columna36],"")+_xlfn.XLOOKUP($C13,SEMANA29[COD],SEMANA29[Columna36],""))</f>
        <v>6</v>
      </c>
      <c r="O13" s="299">
        <f>IF(D13="","",_xlfn.XLOOKUP($C13,BASE01[COD],BASE01[Columna37],"")+_xlfn.XLOOKUP($C13,SEMANA2[COD],SEMANA2[Columna37],"")+_xlfn.XLOOKUP($C13,SEMANA29[COD],SEMANA29[Columna37],""))</f>
        <v>3</v>
      </c>
      <c r="P13" s="300">
        <f t="shared" si="3"/>
        <v>0.5</v>
      </c>
      <c r="Q13" s="301">
        <f>_xlfn.XLOOKUP(C13,SEMANA29[COD],SEMANA29[Columna33],"")</f>
        <v>68.5</v>
      </c>
      <c r="R13" s="3"/>
      <c r="U13" s="388" t="str">
        <v>COD 01</v>
      </c>
      <c r="V13" s="388" t="str">
        <f t="shared" si="4"/>
        <v>COD 01</v>
      </c>
    </row>
    <row r="14" spans="1:22" s="388" customFormat="1" ht="23.1" customHeight="1" x14ac:dyDescent="0.35">
      <c r="A14" s="290"/>
      <c r="B14" s="291">
        <f t="shared" si="5"/>
        <v>10</v>
      </c>
      <c r="C14" s="543" t="str">
        <v>COD 11</v>
      </c>
      <c r="D14" s="464" t="str">
        <f>_xlfn.XLOOKUP(C14,CODIGOS_Y_PAGOS[CODIGO],CODIGOS_Y_PAGOS[NOMBRE PARTICIPANTE],"")</f>
        <v>ANDERSON ZERPA</v>
      </c>
      <c r="E14" s="293">
        <f>IF(D14="","",_xlfn.XLOOKUP($C14,BASE01[COD],BASE01[Columna14],"")+_xlfn.XLOOKUP($C14,SEMANA2[COD],SEMANA2[Columna14],"")+_xlfn.XLOOKUP($C14,SEMANA29[COD],SEMANA29[Columna14],""))</f>
        <v>27</v>
      </c>
      <c r="F14" s="293">
        <f>IF(D14="","",_xlfn.XLOOKUP($C14,BASE01[COD],BASE01[Columna19],"")+_xlfn.XLOOKUP($C14,SEMANA2[COD],SEMANA2[Columna19],"")+_xlfn.XLOOKUP($C14,SEMANA29[COD],SEMANA29[Columna19],""))</f>
        <v>9</v>
      </c>
      <c r="G14" s="294">
        <f t="shared" si="0"/>
        <v>0.33333333333333331</v>
      </c>
      <c r="H14" s="295">
        <f>IF(D14="","",_xlfn.XLOOKUP($C14,BASE01[COD],BASE01[Columna29],"")+_xlfn.XLOOKUP($C14,SEMANA2[COD],SEMANA2[Columna29],"")+_xlfn.XLOOKUP($C14,SEMANA29[COD],SEMANA29[Columna29],""))</f>
        <v>27</v>
      </c>
      <c r="I14" s="295">
        <f>IF(D14="","",_xlfn.XLOOKUP($C14,BASE01[COD],BASE01[Columna30],"")+_xlfn.XLOOKUP($C14,SEMANA2[COD],SEMANA2[Columna30],"")+_xlfn.XLOOKUP($C14,SEMANA29[COD],SEMANA29[Columna30],""))</f>
        <v>15</v>
      </c>
      <c r="J14" s="296">
        <f t="shared" si="1"/>
        <v>0.55555555555555558</v>
      </c>
      <c r="K14" s="297">
        <f>IF(D14="","",_xlfn.XLOOKUP($C14,BASE01[COD],BASE01[Columna32],"")+_xlfn.XLOOKUP($C14,SEMANA2[COD],SEMANA2[Columna32],"")+_xlfn.XLOOKUP($C14,SEMANA29[COD],SEMANA29[Columna32],""))</f>
        <v>27</v>
      </c>
      <c r="L14" s="297">
        <f>IF(D14="","",_xlfn.XLOOKUP($C14,BASE01[COD],BASE01[Columna34],"")+_xlfn.XLOOKUP($C14,SEMANA2[COD],SEMANA2[Columna34],"")+_xlfn.XLOOKUP($C14,SEMANA29[COD],SEMANA29[Columna34],""))</f>
        <v>19</v>
      </c>
      <c r="M14" s="298">
        <f t="shared" si="2"/>
        <v>0.70370370370370372</v>
      </c>
      <c r="N14" s="299">
        <f>IF(D14="","",_xlfn.XLOOKUP($C14,BASE01[COD],BASE01[Columna36],"")+_xlfn.XLOOKUP($C14,SEMANA2[COD],SEMANA2[Columna36],"")+_xlfn.XLOOKUP($C14,SEMANA29[COD],SEMANA29[Columna36],""))</f>
        <v>6</v>
      </c>
      <c r="O14" s="299">
        <f>IF(D14="","",_xlfn.XLOOKUP($C14,BASE01[COD],BASE01[Columna37],"")+_xlfn.XLOOKUP($C14,SEMANA2[COD],SEMANA2[Columna37],"")+_xlfn.XLOOKUP($C14,SEMANA29[COD],SEMANA29[Columna37],""))</f>
        <v>3</v>
      </c>
      <c r="P14" s="300">
        <f t="shared" si="3"/>
        <v>0.5</v>
      </c>
      <c r="Q14" s="301">
        <f>_xlfn.XLOOKUP(C14,SEMANA29[COD],SEMANA29[Columna33],"")</f>
        <v>68.5</v>
      </c>
      <c r="R14" s="3"/>
      <c r="U14" s="388" t="str">
        <v>COD 11</v>
      </c>
      <c r="V14" s="388" t="str">
        <f t="shared" si="4"/>
        <v>COD 11</v>
      </c>
    </row>
    <row r="15" spans="1:22" s="388" customFormat="1" ht="23.1" customHeight="1" x14ac:dyDescent="0.35">
      <c r="A15" s="290"/>
      <c r="B15" s="291">
        <f t="shared" si="5"/>
        <v>11</v>
      </c>
      <c r="C15" s="543" t="str">
        <v>COD 23</v>
      </c>
      <c r="D15" s="464" t="str">
        <f>_xlfn.XLOOKUP(C15,CODIGOS_Y_PAGOS[CODIGO],CODIGOS_Y_PAGOS[NOMBRE PARTICIPANTE],"")</f>
        <v>GILBERT</v>
      </c>
      <c r="E15" s="293">
        <f>IF(D15="","",_xlfn.XLOOKUP($C15,BASE01[COD],BASE01[Columna14],"")+_xlfn.XLOOKUP($C15,SEMANA2[COD],SEMANA2[Columna14],"")+_xlfn.XLOOKUP($C15,SEMANA29[COD],SEMANA29[Columna14],""))</f>
        <v>27</v>
      </c>
      <c r="F15" s="293">
        <f>IF(D15="","",_xlfn.XLOOKUP($C15,BASE01[COD],BASE01[Columna19],"")+_xlfn.XLOOKUP($C15,SEMANA2[COD],SEMANA2[Columna19],"")+_xlfn.XLOOKUP($C15,SEMANA29[COD],SEMANA29[Columna19],""))</f>
        <v>10</v>
      </c>
      <c r="G15" s="294">
        <f t="shared" si="0"/>
        <v>0.37037037037037035</v>
      </c>
      <c r="H15" s="295">
        <f>IF(D15="","",_xlfn.XLOOKUP($C15,BASE01[COD],BASE01[Columna29],"")+_xlfn.XLOOKUP($C15,SEMANA2[COD],SEMANA2[Columna29],"")+_xlfn.XLOOKUP($C15,SEMANA29[COD],SEMANA29[Columna29],""))</f>
        <v>27</v>
      </c>
      <c r="I15" s="295">
        <f>IF(D15="","",_xlfn.XLOOKUP($C15,BASE01[COD],BASE01[Columna30],"")+_xlfn.XLOOKUP($C15,SEMANA2[COD],SEMANA2[Columna30],"")+_xlfn.XLOOKUP($C15,SEMANA29[COD],SEMANA29[Columna30],""))</f>
        <v>13</v>
      </c>
      <c r="J15" s="296">
        <f t="shared" si="1"/>
        <v>0.48148148148148145</v>
      </c>
      <c r="K15" s="297">
        <f>IF(D15="","",_xlfn.XLOOKUP($C15,BASE01[COD],BASE01[Columna32],"")+_xlfn.XLOOKUP($C15,SEMANA2[COD],SEMANA2[Columna32],"")+_xlfn.XLOOKUP($C15,SEMANA29[COD],SEMANA29[Columna32],""))</f>
        <v>27</v>
      </c>
      <c r="L15" s="297">
        <f>IF(D15="","",_xlfn.XLOOKUP($C15,BASE01[COD],BASE01[Columna34],"")+_xlfn.XLOOKUP($C15,SEMANA2[COD],SEMANA2[Columna34],"")+_xlfn.XLOOKUP($C15,SEMANA29[COD],SEMANA29[Columna34],""))</f>
        <v>18</v>
      </c>
      <c r="M15" s="298">
        <f t="shared" si="2"/>
        <v>0.66666666666666663</v>
      </c>
      <c r="N15" s="299">
        <f>IF(D15="","",_xlfn.XLOOKUP($C15,BASE01[COD],BASE01[Columna36],"")+_xlfn.XLOOKUP($C15,SEMANA2[COD],SEMANA2[Columna36],"")+_xlfn.XLOOKUP($C15,SEMANA29[COD],SEMANA29[Columna36],""))</f>
        <v>6</v>
      </c>
      <c r="O15" s="299">
        <f>IF(D15="","",_xlfn.XLOOKUP($C15,BASE01[COD],BASE01[Columna37],"")+_xlfn.XLOOKUP($C15,SEMANA2[COD],SEMANA2[Columna37],"")+_xlfn.XLOOKUP($C15,SEMANA29[COD],SEMANA29[Columna37],""))</f>
        <v>5</v>
      </c>
      <c r="P15" s="300">
        <f t="shared" si="3"/>
        <v>0.83333333333333337</v>
      </c>
      <c r="Q15" s="301">
        <f>_xlfn.XLOOKUP(C15,SEMANA29[COD],SEMANA29[Columna33],"")</f>
        <v>68.5</v>
      </c>
      <c r="R15" s="3"/>
      <c r="U15" s="388" t="str">
        <v>COD 23</v>
      </c>
      <c r="V15" s="388" t="str">
        <f t="shared" si="4"/>
        <v>COD 23</v>
      </c>
    </row>
    <row r="16" spans="1:22" s="388" customFormat="1" ht="23.1" customHeight="1" x14ac:dyDescent="0.35">
      <c r="A16" s="290"/>
      <c r="B16" s="291">
        <f t="shared" si="5"/>
        <v>12</v>
      </c>
      <c r="C16" s="543" t="str">
        <v>COD 08</v>
      </c>
      <c r="D16" s="464" t="str">
        <f>_xlfn.XLOOKUP(C16,CODIGOS_Y_PAGOS[CODIGO],CODIGOS_Y_PAGOS[NOMBRE PARTICIPANTE],"")</f>
        <v>RUBEN DARIO CARDENAS</v>
      </c>
      <c r="E16" s="293">
        <f>IF(D16="","",_xlfn.XLOOKUP($C16,BASE01[COD],BASE01[Columna14],"")+_xlfn.XLOOKUP($C16,SEMANA2[COD],SEMANA2[Columna14],"")+_xlfn.XLOOKUP($C16,SEMANA29[COD],SEMANA29[Columna14],""))</f>
        <v>27</v>
      </c>
      <c r="F16" s="293">
        <f>IF(D16="","",_xlfn.XLOOKUP($C16,BASE01[COD],BASE01[Columna19],"")+_xlfn.XLOOKUP($C16,SEMANA2[COD],SEMANA2[Columna19],"")+_xlfn.XLOOKUP($C16,SEMANA29[COD],SEMANA29[Columna19],""))</f>
        <v>13</v>
      </c>
      <c r="G16" s="294">
        <f t="shared" si="0"/>
        <v>0.48148148148148145</v>
      </c>
      <c r="H16" s="295">
        <f>IF(D16="","",_xlfn.XLOOKUP($C16,BASE01[COD],BASE01[Columna29],"")+_xlfn.XLOOKUP($C16,SEMANA2[COD],SEMANA2[Columna29],"")+_xlfn.XLOOKUP($C16,SEMANA29[COD],SEMANA29[Columna29],""))</f>
        <v>27</v>
      </c>
      <c r="I16" s="295">
        <f>IF(D16="","",_xlfn.XLOOKUP($C16,BASE01[COD],BASE01[Columna30],"")+_xlfn.XLOOKUP($C16,SEMANA2[COD],SEMANA2[Columna30],"")+_xlfn.XLOOKUP($C16,SEMANA29[COD],SEMANA29[Columna30],""))</f>
        <v>14</v>
      </c>
      <c r="J16" s="296">
        <f t="shared" si="1"/>
        <v>0.51851851851851849</v>
      </c>
      <c r="K16" s="297">
        <f>IF(D16="","",_xlfn.XLOOKUP($C16,BASE01[COD],BASE01[Columna32],"")+_xlfn.XLOOKUP($C16,SEMANA2[COD],SEMANA2[Columna32],"")+_xlfn.XLOOKUP($C16,SEMANA29[COD],SEMANA29[Columna32],""))</f>
        <v>27</v>
      </c>
      <c r="L16" s="297">
        <f>IF(D16="","",_xlfn.XLOOKUP($C16,BASE01[COD],BASE01[Columna34],"")+_xlfn.XLOOKUP($C16,SEMANA2[COD],SEMANA2[Columna34],"")+_xlfn.XLOOKUP($C16,SEMANA29[COD],SEMANA29[Columna34],""))</f>
        <v>16</v>
      </c>
      <c r="M16" s="298">
        <f t="shared" si="2"/>
        <v>0.59259259259259256</v>
      </c>
      <c r="N16" s="299">
        <f>IF(D16="","",_xlfn.XLOOKUP($C16,BASE01[COD],BASE01[Columna36],"")+_xlfn.XLOOKUP($C16,SEMANA2[COD],SEMANA2[Columna36],"")+_xlfn.XLOOKUP($C16,SEMANA29[COD],SEMANA29[Columna36],""))</f>
        <v>6</v>
      </c>
      <c r="O16" s="299">
        <f>IF(D16="","",_xlfn.XLOOKUP($C16,BASE01[COD],BASE01[Columna37],"")+_xlfn.XLOOKUP($C16,SEMANA2[COD],SEMANA2[Columna37],"")+_xlfn.XLOOKUP($C16,SEMANA29[COD],SEMANA29[Columna37],""))</f>
        <v>4</v>
      </c>
      <c r="P16" s="300">
        <f t="shared" si="3"/>
        <v>0.66666666666666663</v>
      </c>
      <c r="Q16" s="301">
        <f>_xlfn.XLOOKUP(C16,SEMANA29[COD],SEMANA29[Columna33],"")</f>
        <v>66</v>
      </c>
      <c r="R16" s="3"/>
      <c r="U16" s="388" t="str">
        <v>COD 08</v>
      </c>
      <c r="V16" s="388" t="str">
        <f t="shared" si="4"/>
        <v>COD 08</v>
      </c>
    </row>
    <row r="17" spans="1:22" s="388" customFormat="1" ht="23.1" customHeight="1" x14ac:dyDescent="0.35">
      <c r="A17" s="290"/>
      <c r="B17" s="291">
        <f t="shared" si="5"/>
        <v>13</v>
      </c>
      <c r="C17" s="543" t="str">
        <v>COD 03</v>
      </c>
      <c r="D17" s="464" t="str">
        <f>_xlfn.XLOOKUP(C17,CODIGOS_Y_PAGOS[CODIGO],CODIGOS_Y_PAGOS[NOMBRE PARTICIPANTE],"")</f>
        <v>MUÑECA DEL HIPISMO</v>
      </c>
      <c r="E17" s="293">
        <f>IF(D17="","",_xlfn.XLOOKUP($C17,BASE01[COD],BASE01[Columna14],"")+_xlfn.XLOOKUP($C17,SEMANA2[COD],SEMANA2[Columna14],"")+_xlfn.XLOOKUP($C17,SEMANA29[COD],SEMANA29[Columna14],""))</f>
        <v>27</v>
      </c>
      <c r="F17" s="293">
        <f>IF(D17="","",_xlfn.XLOOKUP($C17,BASE01[COD],BASE01[Columna19],"")+_xlfn.XLOOKUP($C17,SEMANA2[COD],SEMANA2[Columna19],"")+_xlfn.XLOOKUP($C17,SEMANA29[COD],SEMANA29[Columna19],""))</f>
        <v>10</v>
      </c>
      <c r="G17" s="294">
        <f t="shared" si="0"/>
        <v>0.37037037037037035</v>
      </c>
      <c r="H17" s="295">
        <f>IF(D17="","",_xlfn.XLOOKUP($C17,BASE01[COD],BASE01[Columna29],"")+_xlfn.XLOOKUP($C17,SEMANA2[COD],SEMANA2[Columna29],"")+_xlfn.XLOOKUP($C17,SEMANA29[COD],SEMANA29[Columna29],""))</f>
        <v>27</v>
      </c>
      <c r="I17" s="295">
        <f>IF(D17="","",_xlfn.XLOOKUP($C17,BASE01[COD],BASE01[Columna30],"")+_xlfn.XLOOKUP($C17,SEMANA2[COD],SEMANA2[Columna30],"")+_xlfn.XLOOKUP($C17,SEMANA29[COD],SEMANA29[Columna30],""))</f>
        <v>14</v>
      </c>
      <c r="J17" s="296">
        <f t="shared" si="1"/>
        <v>0.51851851851851849</v>
      </c>
      <c r="K17" s="297">
        <f>IF(D17="","",_xlfn.XLOOKUP($C17,BASE01[COD],BASE01[Columna32],"")+_xlfn.XLOOKUP($C17,SEMANA2[COD],SEMANA2[Columna32],"")+_xlfn.XLOOKUP($C17,SEMANA29[COD],SEMANA29[Columna32],""))</f>
        <v>27</v>
      </c>
      <c r="L17" s="297">
        <f>IF(D17="","",_xlfn.XLOOKUP($C17,BASE01[COD],BASE01[Columna34],"")+_xlfn.XLOOKUP($C17,SEMANA2[COD],SEMANA2[Columna34],"")+_xlfn.XLOOKUP($C17,SEMANA29[COD],SEMANA29[Columna34],""))</f>
        <v>18</v>
      </c>
      <c r="M17" s="298">
        <f t="shared" si="2"/>
        <v>0.66666666666666663</v>
      </c>
      <c r="N17" s="299">
        <f>IF(D17="","",_xlfn.XLOOKUP($C17,BASE01[COD],BASE01[Columna36],"")+_xlfn.XLOOKUP($C17,SEMANA2[COD],SEMANA2[Columna36],"")+_xlfn.XLOOKUP($C17,SEMANA29[COD],SEMANA29[Columna36],""))</f>
        <v>6</v>
      </c>
      <c r="O17" s="299">
        <f>IF(D17="","",_xlfn.XLOOKUP($C17,BASE01[COD],BASE01[Columna37],"")+_xlfn.XLOOKUP($C17,SEMANA2[COD],SEMANA2[Columna37],"")+_xlfn.XLOOKUP($C17,SEMANA29[COD],SEMANA29[Columna37],""))</f>
        <v>3</v>
      </c>
      <c r="P17" s="300">
        <f t="shared" si="3"/>
        <v>0.5</v>
      </c>
      <c r="Q17" s="301">
        <f>_xlfn.XLOOKUP(C17,SEMANA29[COD],SEMANA29[Columna33],"")</f>
        <v>65.5</v>
      </c>
      <c r="R17" s="3"/>
      <c r="U17" s="388" t="str">
        <v>COD 03</v>
      </c>
      <c r="V17" s="388" t="str">
        <f t="shared" si="4"/>
        <v>COD 03</v>
      </c>
    </row>
    <row r="18" spans="1:22" s="388" customFormat="1" ht="23.1" customHeight="1" x14ac:dyDescent="0.35">
      <c r="A18" s="290"/>
      <c r="B18" s="291">
        <f t="shared" si="5"/>
        <v>14</v>
      </c>
      <c r="C18" s="543" t="str">
        <v>COD 16</v>
      </c>
      <c r="D18" s="464" t="str">
        <f>_xlfn.XLOOKUP(C18,CODIGOS_Y_PAGOS[CODIGO],CODIGOS_Y_PAGOS[NOMBRE PARTICIPANTE],"")</f>
        <v>PODER HIPICO</v>
      </c>
      <c r="E18" s="293">
        <f>IF(D18="","",_xlfn.XLOOKUP($C18,BASE01[COD],BASE01[Columna14],"")+_xlfn.XLOOKUP($C18,SEMANA2[COD],SEMANA2[Columna14],"")+_xlfn.XLOOKUP($C18,SEMANA29[COD],SEMANA29[Columna14],""))</f>
        <v>27</v>
      </c>
      <c r="F18" s="293">
        <f>IF(D18="","",_xlfn.XLOOKUP($C18,BASE01[COD],BASE01[Columna19],"")+_xlfn.XLOOKUP($C18,SEMANA2[COD],SEMANA2[Columna19],"")+_xlfn.XLOOKUP($C18,SEMANA29[COD],SEMANA29[Columna19],""))</f>
        <v>8</v>
      </c>
      <c r="G18" s="294">
        <f t="shared" si="0"/>
        <v>0.29629629629629628</v>
      </c>
      <c r="H18" s="295">
        <f>IF(D18="","",_xlfn.XLOOKUP($C18,BASE01[COD],BASE01[Columna29],"")+_xlfn.XLOOKUP($C18,SEMANA2[COD],SEMANA2[Columna29],"")+_xlfn.XLOOKUP($C18,SEMANA29[COD],SEMANA29[Columna29],""))</f>
        <v>27</v>
      </c>
      <c r="I18" s="295">
        <f>IF(D18="","",_xlfn.XLOOKUP($C18,BASE01[COD],BASE01[Columna30],"")+_xlfn.XLOOKUP($C18,SEMANA2[COD],SEMANA2[Columna30],"")+_xlfn.XLOOKUP($C18,SEMANA29[COD],SEMANA29[Columna30],""))</f>
        <v>14</v>
      </c>
      <c r="J18" s="296">
        <f t="shared" si="1"/>
        <v>0.51851851851851849</v>
      </c>
      <c r="K18" s="297">
        <f>IF(D18="","",_xlfn.XLOOKUP($C18,BASE01[COD],BASE01[Columna32],"")+_xlfn.XLOOKUP($C18,SEMANA2[COD],SEMANA2[Columna32],"")+_xlfn.XLOOKUP($C18,SEMANA29[COD],SEMANA29[Columna32],""))</f>
        <v>27</v>
      </c>
      <c r="L18" s="297">
        <f>IF(D18="","",_xlfn.XLOOKUP($C18,BASE01[COD],BASE01[Columna34],"")+_xlfn.XLOOKUP($C18,SEMANA2[COD],SEMANA2[Columna34],"")+_xlfn.XLOOKUP($C18,SEMANA29[COD],SEMANA29[Columna34],""))</f>
        <v>20</v>
      </c>
      <c r="M18" s="298">
        <f t="shared" si="2"/>
        <v>0.7407407407407407</v>
      </c>
      <c r="N18" s="299">
        <f>IF(D18="","",_xlfn.XLOOKUP($C18,BASE01[COD],BASE01[Columna36],"")+_xlfn.XLOOKUP($C18,SEMANA2[COD],SEMANA2[Columna36],"")+_xlfn.XLOOKUP($C18,SEMANA29[COD],SEMANA29[Columna36],""))</f>
        <v>6</v>
      </c>
      <c r="O18" s="299">
        <f>IF(D18="","",_xlfn.XLOOKUP($C18,BASE01[COD],BASE01[Columna37],"")+_xlfn.XLOOKUP($C18,SEMANA2[COD],SEMANA2[Columna37],"")+_xlfn.XLOOKUP($C18,SEMANA29[COD],SEMANA29[Columna37],""))</f>
        <v>4</v>
      </c>
      <c r="P18" s="300">
        <f t="shared" si="3"/>
        <v>0.66666666666666663</v>
      </c>
      <c r="Q18" s="301">
        <f>_xlfn.XLOOKUP(C18,SEMANA29[COD],SEMANA29[Columna33],"")</f>
        <v>65.5</v>
      </c>
      <c r="R18" s="3"/>
      <c r="U18" s="388" t="str">
        <v>COD 16</v>
      </c>
      <c r="V18" s="388" t="str">
        <f t="shared" si="4"/>
        <v>COD 16</v>
      </c>
    </row>
    <row r="19" spans="1:22" s="388" customFormat="1" ht="23.1" customHeight="1" x14ac:dyDescent="0.35">
      <c r="A19" s="290"/>
      <c r="B19" s="291">
        <f t="shared" si="5"/>
        <v>15</v>
      </c>
      <c r="C19" s="543" t="str">
        <v>COD 15</v>
      </c>
      <c r="D19" s="464" t="str">
        <f>_xlfn.XLOOKUP(C19,CODIGOS_Y_PAGOS[CODIGO],CODIGOS_Y_PAGOS[NOMBRE PARTICIPANTE],"")</f>
        <v>CARLOS SUAREZ</v>
      </c>
      <c r="E19" s="293">
        <f>IF(D19="","",_xlfn.XLOOKUP($C19,BASE01[COD],BASE01[Columna14],"")+_xlfn.XLOOKUP($C19,SEMANA2[COD],SEMANA2[Columna14],"")+_xlfn.XLOOKUP($C19,SEMANA29[COD],SEMANA29[Columna14],""))</f>
        <v>27</v>
      </c>
      <c r="F19" s="293">
        <f>IF(D19="","",_xlfn.XLOOKUP($C19,BASE01[COD],BASE01[Columna19],"")+_xlfn.XLOOKUP($C19,SEMANA2[COD],SEMANA2[Columna19],"")+_xlfn.XLOOKUP($C19,SEMANA29[COD],SEMANA29[Columna19],""))</f>
        <v>8</v>
      </c>
      <c r="G19" s="294">
        <f t="shared" si="0"/>
        <v>0.29629629629629628</v>
      </c>
      <c r="H19" s="295">
        <f>IF(D19="","",_xlfn.XLOOKUP($C19,BASE01[COD],BASE01[Columna29],"")+_xlfn.XLOOKUP($C19,SEMANA2[COD],SEMANA2[Columna29],"")+_xlfn.XLOOKUP($C19,SEMANA29[COD],SEMANA29[Columna29],""))</f>
        <v>27</v>
      </c>
      <c r="I19" s="295">
        <f>IF(D19="","",_xlfn.XLOOKUP($C19,BASE01[COD],BASE01[Columna30],"")+_xlfn.XLOOKUP($C19,SEMANA2[COD],SEMANA2[Columna30],"")+_xlfn.XLOOKUP($C19,SEMANA29[COD],SEMANA29[Columna30],""))</f>
        <v>10</v>
      </c>
      <c r="J19" s="296">
        <f t="shared" si="1"/>
        <v>0.37037037037037035</v>
      </c>
      <c r="K19" s="297">
        <f>IF(D19="","",_xlfn.XLOOKUP($C19,BASE01[COD],BASE01[Columna32],"")+_xlfn.XLOOKUP($C19,SEMANA2[COD],SEMANA2[Columna32],"")+_xlfn.XLOOKUP($C19,SEMANA29[COD],SEMANA29[Columna32],""))</f>
        <v>27</v>
      </c>
      <c r="L19" s="297">
        <f>IF(D19="","",_xlfn.XLOOKUP($C19,BASE01[COD],BASE01[Columna34],"")+_xlfn.XLOOKUP($C19,SEMANA2[COD],SEMANA2[Columna34],"")+_xlfn.XLOOKUP($C19,SEMANA29[COD],SEMANA29[Columna34],""))</f>
        <v>18</v>
      </c>
      <c r="M19" s="298">
        <f t="shared" si="2"/>
        <v>0.66666666666666663</v>
      </c>
      <c r="N19" s="299">
        <f>IF(D19="","",_xlfn.XLOOKUP($C19,BASE01[COD],BASE01[Columna36],"")+_xlfn.XLOOKUP($C19,SEMANA2[COD],SEMANA2[Columna36],"")+_xlfn.XLOOKUP($C19,SEMANA29[COD],SEMANA29[Columna36],""))</f>
        <v>6</v>
      </c>
      <c r="O19" s="299">
        <f>IF(D19="","",_xlfn.XLOOKUP($C19,BASE01[COD],BASE01[Columna37],"")+_xlfn.XLOOKUP($C19,SEMANA2[COD],SEMANA2[Columna37],"")+_xlfn.XLOOKUP($C19,SEMANA29[COD],SEMANA29[Columna37],""))</f>
        <v>5</v>
      </c>
      <c r="P19" s="300">
        <f t="shared" si="3"/>
        <v>0.83333333333333337</v>
      </c>
      <c r="Q19" s="301">
        <f>_xlfn.XLOOKUP(C19,SEMANA29[COD],SEMANA29[Columna33],"")</f>
        <v>64.5</v>
      </c>
      <c r="R19" s="3"/>
      <c r="U19" s="388" t="str">
        <v>COD 15</v>
      </c>
      <c r="V19" s="388" t="str">
        <f t="shared" si="4"/>
        <v>COD 15</v>
      </c>
    </row>
    <row r="20" spans="1:22" s="388" customFormat="1" ht="23.1" customHeight="1" x14ac:dyDescent="0.35">
      <c r="A20" s="290"/>
      <c r="B20" s="291">
        <f t="shared" si="5"/>
        <v>16</v>
      </c>
      <c r="C20" s="543" t="str">
        <v>COD 28</v>
      </c>
      <c r="D20" s="464" t="str">
        <f>_xlfn.XLOOKUP(C20,CODIGOS_Y_PAGOS[CODIGO],CODIGOS_Y_PAGOS[NOMBRE PARTICIPANTE],"")</f>
        <v>FRANKLIN DELGADO</v>
      </c>
      <c r="E20" s="293">
        <f>IF(D20="","",_xlfn.XLOOKUP($C20,BASE01[COD],BASE01[Columna14],"")+_xlfn.XLOOKUP($C20,SEMANA2[COD],SEMANA2[Columna14],"")+_xlfn.XLOOKUP($C20,SEMANA29[COD],SEMANA29[Columna14],""))</f>
        <v>27</v>
      </c>
      <c r="F20" s="293">
        <f>IF(D20="","",_xlfn.XLOOKUP($C20,BASE01[COD],BASE01[Columna19],"")+_xlfn.XLOOKUP($C20,SEMANA2[COD],SEMANA2[Columna19],"")+_xlfn.XLOOKUP($C20,SEMANA29[COD],SEMANA29[Columna19],""))</f>
        <v>8</v>
      </c>
      <c r="G20" s="294">
        <f t="shared" si="0"/>
        <v>0.29629629629629628</v>
      </c>
      <c r="H20" s="295">
        <f>IF(D20="","",_xlfn.XLOOKUP($C20,BASE01[COD],BASE01[Columna29],"")+_xlfn.XLOOKUP($C20,SEMANA2[COD],SEMANA2[Columna29],"")+_xlfn.XLOOKUP($C20,SEMANA29[COD],SEMANA29[Columna29],""))</f>
        <v>27</v>
      </c>
      <c r="I20" s="295">
        <f>IF(D20="","",_xlfn.XLOOKUP($C20,BASE01[COD],BASE01[Columna30],"")+_xlfn.XLOOKUP($C20,SEMANA2[COD],SEMANA2[Columna30],"")+_xlfn.XLOOKUP($C20,SEMANA29[COD],SEMANA29[Columna30],""))</f>
        <v>15</v>
      </c>
      <c r="J20" s="296">
        <f t="shared" si="1"/>
        <v>0.55555555555555558</v>
      </c>
      <c r="K20" s="297">
        <f>IF(D20="","",_xlfn.XLOOKUP($C20,BASE01[COD],BASE01[Columna32],"")+_xlfn.XLOOKUP($C20,SEMANA2[COD],SEMANA2[Columna32],"")+_xlfn.XLOOKUP($C20,SEMANA29[COD],SEMANA29[Columna32],""))</f>
        <v>27</v>
      </c>
      <c r="L20" s="297">
        <f>IF(D20="","",_xlfn.XLOOKUP($C20,BASE01[COD],BASE01[Columna34],"")+_xlfn.XLOOKUP($C20,SEMANA2[COD],SEMANA2[Columna34],"")+_xlfn.XLOOKUP($C20,SEMANA29[COD],SEMANA29[Columna34],""))</f>
        <v>20</v>
      </c>
      <c r="M20" s="298">
        <f t="shared" si="2"/>
        <v>0.7407407407407407</v>
      </c>
      <c r="N20" s="299">
        <f>IF(D20="","",_xlfn.XLOOKUP($C20,BASE01[COD],BASE01[Columna36],"")+_xlfn.XLOOKUP($C20,SEMANA2[COD],SEMANA2[Columna36],"")+_xlfn.XLOOKUP($C20,SEMANA29[COD],SEMANA29[Columna36],""))</f>
        <v>6</v>
      </c>
      <c r="O20" s="299">
        <f>IF(D20="","",_xlfn.XLOOKUP($C20,BASE01[COD],BASE01[Columna37],"")+_xlfn.XLOOKUP($C20,SEMANA2[COD],SEMANA2[Columna37],"")+_xlfn.XLOOKUP($C20,SEMANA29[COD],SEMANA29[Columna37],""))</f>
        <v>3</v>
      </c>
      <c r="P20" s="300">
        <f t="shared" si="3"/>
        <v>0.5</v>
      </c>
      <c r="Q20" s="301">
        <f>_xlfn.XLOOKUP(C20,SEMANA29[COD],SEMANA29[Columna33],"")</f>
        <v>64.5</v>
      </c>
      <c r="R20" s="3"/>
      <c r="U20" s="388" t="str">
        <v>COD 28</v>
      </c>
      <c r="V20" s="388" t="str">
        <f t="shared" si="4"/>
        <v>COD 28</v>
      </c>
    </row>
    <row r="21" spans="1:22" s="388" customFormat="1" ht="23.1" customHeight="1" x14ac:dyDescent="0.35">
      <c r="A21" s="290"/>
      <c r="B21" s="291">
        <f t="shared" si="5"/>
        <v>17</v>
      </c>
      <c r="C21" s="543" t="str">
        <v>COD 29</v>
      </c>
      <c r="D21" s="464" t="str">
        <f>_xlfn.XLOOKUP(C21,CODIGOS_Y_PAGOS[CODIGO],CODIGOS_Y_PAGOS[NOMBRE PARTICIPANTE],"")</f>
        <v>JEAN MARCO</v>
      </c>
      <c r="E21" s="293">
        <f>IF(D21="","",_xlfn.XLOOKUP($C21,BASE01[COD],BASE01[Columna14],"")+_xlfn.XLOOKUP($C21,SEMANA2[COD],SEMANA2[Columna14],"")+_xlfn.XLOOKUP($C21,SEMANA29[COD],SEMANA29[Columna14],""))</f>
        <v>27</v>
      </c>
      <c r="F21" s="293">
        <f>IF(D21="","",_xlfn.XLOOKUP($C21,BASE01[COD],BASE01[Columna19],"")+_xlfn.XLOOKUP($C21,SEMANA2[COD],SEMANA2[Columna19],"")+_xlfn.XLOOKUP($C21,SEMANA29[COD],SEMANA29[Columna19],""))</f>
        <v>8</v>
      </c>
      <c r="G21" s="294">
        <f t="shared" si="0"/>
        <v>0.29629629629629628</v>
      </c>
      <c r="H21" s="295">
        <f>IF(D21="","",_xlfn.XLOOKUP($C21,BASE01[COD],BASE01[Columna29],"")+_xlfn.XLOOKUP($C21,SEMANA2[COD],SEMANA2[Columna29],"")+_xlfn.XLOOKUP($C21,SEMANA29[COD],SEMANA29[Columna29],""))</f>
        <v>27</v>
      </c>
      <c r="I21" s="295">
        <f>IF(D21="","",_xlfn.XLOOKUP($C21,BASE01[COD],BASE01[Columna30],"")+_xlfn.XLOOKUP($C21,SEMANA2[COD],SEMANA2[Columna30],"")+_xlfn.XLOOKUP($C21,SEMANA29[COD],SEMANA29[Columna30],""))</f>
        <v>15</v>
      </c>
      <c r="J21" s="296">
        <f t="shared" si="1"/>
        <v>0.55555555555555558</v>
      </c>
      <c r="K21" s="297">
        <f>IF(D21="","",_xlfn.XLOOKUP($C21,BASE01[COD],BASE01[Columna32],"")+_xlfn.XLOOKUP($C21,SEMANA2[COD],SEMANA2[Columna32],"")+_xlfn.XLOOKUP($C21,SEMANA29[COD],SEMANA29[Columna32],""))</f>
        <v>27</v>
      </c>
      <c r="L21" s="297">
        <f>IF(D21="","",_xlfn.XLOOKUP($C21,BASE01[COD],BASE01[Columna34],"")+_xlfn.XLOOKUP($C21,SEMANA2[COD],SEMANA2[Columna34],"")+_xlfn.XLOOKUP($C21,SEMANA29[COD],SEMANA29[Columna34],""))</f>
        <v>20</v>
      </c>
      <c r="M21" s="298">
        <f t="shared" si="2"/>
        <v>0.7407407407407407</v>
      </c>
      <c r="N21" s="299">
        <f>IF(D21="","",_xlfn.XLOOKUP($C21,BASE01[COD],BASE01[Columna36],"")+_xlfn.XLOOKUP($C21,SEMANA2[COD],SEMANA2[Columna36],"")+_xlfn.XLOOKUP($C21,SEMANA29[COD],SEMANA29[Columna36],""))</f>
        <v>6</v>
      </c>
      <c r="O21" s="299">
        <f>IF(D21="","",_xlfn.XLOOKUP($C21,BASE01[COD],BASE01[Columna37],"")+_xlfn.XLOOKUP($C21,SEMANA2[COD],SEMANA2[Columna37],"")+_xlfn.XLOOKUP($C21,SEMANA29[COD],SEMANA29[Columna37],""))</f>
        <v>3</v>
      </c>
      <c r="P21" s="300">
        <f t="shared" si="3"/>
        <v>0.5</v>
      </c>
      <c r="Q21" s="301">
        <f>_xlfn.XLOOKUP(C21,SEMANA29[COD],SEMANA29[Columna33],"")</f>
        <v>64.5</v>
      </c>
      <c r="R21" s="3"/>
      <c r="U21" s="388" t="str">
        <v>COD 29</v>
      </c>
      <c r="V21" s="388" t="str">
        <f t="shared" si="4"/>
        <v>COD 29</v>
      </c>
    </row>
    <row r="22" spans="1:22" s="388" customFormat="1" ht="23.1" customHeight="1" x14ac:dyDescent="0.35">
      <c r="A22" s="290"/>
      <c r="B22" s="291">
        <f t="shared" si="5"/>
        <v>18</v>
      </c>
      <c r="C22" s="543" t="str">
        <v>COD 34</v>
      </c>
      <c r="D22" s="464" t="str">
        <f>_xlfn.XLOOKUP(C22,CODIGOS_Y_PAGOS[CODIGO],CODIGOS_Y_PAGOS[NOMBRE PARTICIPANTE],"")</f>
        <v>ROBERTO CARLOS</v>
      </c>
      <c r="E22" s="293">
        <f>IF(D22="","",_xlfn.XLOOKUP($C22,BASE01[COD],BASE01[Columna14],"")+_xlfn.XLOOKUP($C22,SEMANA2[COD],SEMANA2[Columna14],"")+_xlfn.XLOOKUP($C22,SEMANA29[COD],SEMANA29[Columna14],""))</f>
        <v>27</v>
      </c>
      <c r="F22" s="293">
        <f>IF(D22="","",_xlfn.XLOOKUP($C22,BASE01[COD],BASE01[Columna19],"")+_xlfn.XLOOKUP($C22,SEMANA2[COD],SEMANA2[Columna19],"")+_xlfn.XLOOKUP($C22,SEMANA29[COD],SEMANA29[Columna19],""))</f>
        <v>7</v>
      </c>
      <c r="G22" s="294">
        <f t="shared" si="0"/>
        <v>0.25925925925925924</v>
      </c>
      <c r="H22" s="295">
        <f>IF(D22="","",_xlfn.XLOOKUP($C22,BASE01[COD],BASE01[Columna29],"")+_xlfn.XLOOKUP($C22,SEMANA2[COD],SEMANA2[Columna29],"")+_xlfn.XLOOKUP($C22,SEMANA29[COD],SEMANA29[Columna29],""))</f>
        <v>27</v>
      </c>
      <c r="I22" s="295">
        <f>IF(D22="","",_xlfn.XLOOKUP($C22,BASE01[COD],BASE01[Columna30],"")+_xlfn.XLOOKUP($C22,SEMANA2[COD],SEMANA2[Columna30],"")+_xlfn.XLOOKUP($C22,SEMANA29[COD],SEMANA29[Columna30],""))</f>
        <v>14</v>
      </c>
      <c r="J22" s="296">
        <f t="shared" si="1"/>
        <v>0.51851851851851849</v>
      </c>
      <c r="K22" s="297">
        <f>IF(D22="","",_xlfn.XLOOKUP($C22,BASE01[COD],BASE01[Columna32],"")+_xlfn.XLOOKUP($C22,SEMANA2[COD],SEMANA2[Columna32],"")+_xlfn.XLOOKUP($C22,SEMANA29[COD],SEMANA29[Columna32],""))</f>
        <v>27</v>
      </c>
      <c r="L22" s="297">
        <f>IF(D22="","",_xlfn.XLOOKUP($C22,BASE01[COD],BASE01[Columna34],"")+_xlfn.XLOOKUP($C22,SEMANA2[COD],SEMANA2[Columna34],"")+_xlfn.XLOOKUP($C22,SEMANA29[COD],SEMANA29[Columna34],""))</f>
        <v>18</v>
      </c>
      <c r="M22" s="298">
        <f t="shared" si="2"/>
        <v>0.66666666666666663</v>
      </c>
      <c r="N22" s="299">
        <f>IF(D22="","",_xlfn.XLOOKUP($C22,BASE01[COD],BASE01[Columna36],"")+_xlfn.XLOOKUP($C22,SEMANA2[COD],SEMANA2[Columna36],"")+_xlfn.XLOOKUP($C22,SEMANA29[COD],SEMANA29[Columna36],""))</f>
        <v>6</v>
      </c>
      <c r="O22" s="299">
        <f>IF(D22="","",_xlfn.XLOOKUP($C22,BASE01[COD],BASE01[Columna37],"")+_xlfn.XLOOKUP($C22,SEMANA2[COD],SEMANA2[Columna37],"")+_xlfn.XLOOKUP($C22,SEMANA29[COD],SEMANA29[Columna37],""))</f>
        <v>4</v>
      </c>
      <c r="P22" s="300">
        <f t="shared" si="3"/>
        <v>0.66666666666666663</v>
      </c>
      <c r="Q22" s="301">
        <f>_xlfn.XLOOKUP(C22,SEMANA29[COD],SEMANA29[Columna33],"")</f>
        <v>64.5</v>
      </c>
      <c r="R22" s="3"/>
      <c r="U22" s="388" t="str">
        <v>COD 34</v>
      </c>
      <c r="V22" s="388" t="str">
        <f t="shared" si="4"/>
        <v>COD 34</v>
      </c>
    </row>
    <row r="23" spans="1:22" s="388" customFormat="1" ht="23.1" customHeight="1" x14ac:dyDescent="0.35">
      <c r="A23" s="290"/>
      <c r="B23" s="291">
        <f t="shared" si="5"/>
        <v>19</v>
      </c>
      <c r="C23" s="543" t="str">
        <v>COD 19</v>
      </c>
      <c r="D23" s="464" t="str">
        <f>_xlfn.XLOOKUP(C23,CODIGOS_Y_PAGOS[CODIGO],CODIGOS_Y_PAGOS[NOMBRE PARTICIPANTE],"")</f>
        <v>EL SAMURAI HIPICO</v>
      </c>
      <c r="E23" s="293">
        <f>IF(D23="","",_xlfn.XLOOKUP($C23,BASE01[COD],BASE01[Columna14],"")+_xlfn.XLOOKUP($C23,SEMANA2[COD],SEMANA2[Columna14],"")+_xlfn.XLOOKUP($C23,SEMANA29[COD],SEMANA29[Columna14],""))</f>
        <v>27</v>
      </c>
      <c r="F23" s="293">
        <f>IF(D23="","",_xlfn.XLOOKUP($C23,BASE01[COD],BASE01[Columna19],"")+_xlfn.XLOOKUP($C23,SEMANA2[COD],SEMANA2[Columna19],"")+_xlfn.XLOOKUP($C23,SEMANA29[COD],SEMANA29[Columna19],""))</f>
        <v>8</v>
      </c>
      <c r="G23" s="294">
        <f t="shared" si="0"/>
        <v>0.29629629629629628</v>
      </c>
      <c r="H23" s="295">
        <f>IF(D23="","",_xlfn.XLOOKUP($C23,BASE01[COD],BASE01[Columna29],"")+_xlfn.XLOOKUP($C23,SEMANA2[COD],SEMANA2[Columna29],"")+_xlfn.XLOOKUP($C23,SEMANA29[COD],SEMANA29[Columna29],""))</f>
        <v>27</v>
      </c>
      <c r="I23" s="295">
        <f>IF(D23="","",_xlfn.XLOOKUP($C23,BASE01[COD],BASE01[Columna30],"")+_xlfn.XLOOKUP($C23,SEMANA2[COD],SEMANA2[Columna30],"")+_xlfn.XLOOKUP($C23,SEMANA29[COD],SEMANA29[Columna30],""))</f>
        <v>12</v>
      </c>
      <c r="J23" s="296">
        <f t="shared" si="1"/>
        <v>0.44444444444444442</v>
      </c>
      <c r="K23" s="297">
        <f>IF(D23="","",_xlfn.XLOOKUP($C23,BASE01[COD],BASE01[Columna32],"")+_xlfn.XLOOKUP($C23,SEMANA2[COD],SEMANA2[Columna32],"")+_xlfn.XLOOKUP($C23,SEMANA29[COD],SEMANA29[Columna32],""))</f>
        <v>27</v>
      </c>
      <c r="L23" s="297">
        <f>IF(D23="","",_xlfn.XLOOKUP($C23,BASE01[COD],BASE01[Columna34],"")+_xlfn.XLOOKUP($C23,SEMANA2[COD],SEMANA2[Columna34],"")+_xlfn.XLOOKUP($C23,SEMANA29[COD],SEMANA29[Columna34],""))</f>
        <v>17</v>
      </c>
      <c r="M23" s="298">
        <f t="shared" si="2"/>
        <v>0.62962962962962965</v>
      </c>
      <c r="N23" s="299">
        <f>IF(D23="","",_xlfn.XLOOKUP($C23,BASE01[COD],BASE01[Columna36],"")+_xlfn.XLOOKUP($C23,SEMANA2[COD],SEMANA2[Columna36],"")+_xlfn.XLOOKUP($C23,SEMANA29[COD],SEMANA29[Columna36],""))</f>
        <v>6</v>
      </c>
      <c r="O23" s="299">
        <f>IF(D23="","",_xlfn.XLOOKUP($C23,BASE01[COD],BASE01[Columna37],"")+_xlfn.XLOOKUP($C23,SEMANA2[COD],SEMANA2[Columna37],"")+_xlfn.XLOOKUP($C23,SEMANA29[COD],SEMANA29[Columna37],""))</f>
        <v>2</v>
      </c>
      <c r="P23" s="300">
        <f t="shared" si="3"/>
        <v>0.33333333333333331</v>
      </c>
      <c r="Q23" s="301">
        <f>_xlfn.XLOOKUP(C23,SEMANA29[COD],SEMANA29[Columna33],"")</f>
        <v>63.5</v>
      </c>
      <c r="R23" s="3"/>
      <c r="U23" s="388" t="str">
        <v>COD 19</v>
      </c>
      <c r="V23" s="388" t="str">
        <f t="shared" si="4"/>
        <v>COD 19</v>
      </c>
    </row>
    <row r="24" spans="1:22" s="388" customFormat="1" ht="23.1" customHeight="1" x14ac:dyDescent="0.35">
      <c r="A24" s="290"/>
      <c r="B24" s="291">
        <f t="shared" si="5"/>
        <v>20</v>
      </c>
      <c r="C24" s="543" t="str">
        <v>COD 32</v>
      </c>
      <c r="D24" s="464" t="str">
        <f>_xlfn.XLOOKUP(C24,CODIGOS_Y_PAGOS[CODIGO],CODIGOS_Y_PAGOS[NOMBRE PARTICIPANTE],"")</f>
        <v>TONY CURTIS</v>
      </c>
      <c r="E24" s="293">
        <f>IF(D24="","",_xlfn.XLOOKUP($C24,BASE01[COD],BASE01[Columna14],"")+_xlfn.XLOOKUP($C24,SEMANA2[COD],SEMANA2[Columna14],"")+_xlfn.XLOOKUP($C24,SEMANA29[COD],SEMANA29[Columna14],""))</f>
        <v>27</v>
      </c>
      <c r="F24" s="293">
        <f>IF(D24="","",_xlfn.XLOOKUP($C24,BASE01[COD],BASE01[Columna19],"")+_xlfn.XLOOKUP($C24,SEMANA2[COD],SEMANA2[Columna19],"")+_xlfn.XLOOKUP($C24,SEMANA29[COD],SEMANA29[Columna19],""))</f>
        <v>10</v>
      </c>
      <c r="G24" s="294">
        <f t="shared" si="0"/>
        <v>0.37037037037037035</v>
      </c>
      <c r="H24" s="295">
        <f>IF(D24="","",_xlfn.XLOOKUP($C24,BASE01[COD],BASE01[Columna29],"")+_xlfn.XLOOKUP($C24,SEMANA2[COD],SEMANA2[Columna29],"")+_xlfn.XLOOKUP($C24,SEMANA29[COD],SEMANA29[Columna29],""))</f>
        <v>27</v>
      </c>
      <c r="I24" s="295">
        <f>IF(D24="","",_xlfn.XLOOKUP($C24,BASE01[COD],BASE01[Columna30],"")+_xlfn.XLOOKUP($C24,SEMANA2[COD],SEMANA2[Columna30],"")+_xlfn.XLOOKUP($C24,SEMANA29[COD],SEMANA29[Columna30],""))</f>
        <v>14</v>
      </c>
      <c r="J24" s="296">
        <f t="shared" si="1"/>
        <v>0.51851851851851849</v>
      </c>
      <c r="K24" s="297">
        <f>IF(D24="","",_xlfn.XLOOKUP($C24,BASE01[COD],BASE01[Columna32],"")+_xlfn.XLOOKUP($C24,SEMANA2[COD],SEMANA2[Columna32],"")+_xlfn.XLOOKUP($C24,SEMANA29[COD],SEMANA29[Columna32],""))</f>
        <v>27</v>
      </c>
      <c r="L24" s="297">
        <f>IF(D24="","",_xlfn.XLOOKUP($C24,BASE01[COD],BASE01[Columna34],"")+_xlfn.XLOOKUP($C24,SEMANA2[COD],SEMANA2[Columna34],"")+_xlfn.XLOOKUP($C24,SEMANA29[COD],SEMANA29[Columna34],""))</f>
        <v>17</v>
      </c>
      <c r="M24" s="298">
        <f t="shared" si="2"/>
        <v>0.62962962962962965</v>
      </c>
      <c r="N24" s="299">
        <f>IF(D24="","",_xlfn.XLOOKUP($C24,BASE01[COD],BASE01[Columna36],"")+_xlfn.XLOOKUP($C24,SEMANA2[COD],SEMANA2[Columna36],"")+_xlfn.XLOOKUP($C24,SEMANA29[COD],SEMANA29[Columna36],""))</f>
        <v>6</v>
      </c>
      <c r="O24" s="299">
        <f>IF(D24="","",_xlfn.XLOOKUP($C24,BASE01[COD],BASE01[Columna37],"")+_xlfn.XLOOKUP($C24,SEMANA2[COD],SEMANA2[Columna37],"")+_xlfn.XLOOKUP($C24,SEMANA29[COD],SEMANA29[Columna37],""))</f>
        <v>3</v>
      </c>
      <c r="P24" s="300">
        <f t="shared" si="3"/>
        <v>0.5</v>
      </c>
      <c r="Q24" s="301">
        <f>_xlfn.XLOOKUP(C24,SEMANA29[COD],SEMANA29[Columna33],"")</f>
        <v>62.5</v>
      </c>
      <c r="R24" s="3"/>
      <c r="U24" s="388" t="str">
        <v>COD 32</v>
      </c>
      <c r="V24" s="388" t="str">
        <f t="shared" si="4"/>
        <v>COD 32</v>
      </c>
    </row>
    <row r="25" spans="1:22" s="388" customFormat="1" ht="23.1" customHeight="1" x14ac:dyDescent="0.35">
      <c r="A25" s="290"/>
      <c r="B25" s="302">
        <f t="shared" si="5"/>
        <v>21</v>
      </c>
      <c r="C25" s="543" t="str">
        <v>COD 04</v>
      </c>
      <c r="D25" s="464" t="str">
        <f>_xlfn.XLOOKUP(C25,CODIGOS_Y_PAGOS[CODIGO],CODIGOS_Y_PAGOS[NOMBRE PARTICIPANTE],"")</f>
        <v>EL HIPICO 701</v>
      </c>
      <c r="E25" s="293">
        <f>IF(D25="","",_xlfn.XLOOKUP($C25,BASE01[COD],BASE01[Columna14],"")+_xlfn.XLOOKUP($C25,SEMANA2[COD],SEMANA2[Columna14],"")+_xlfn.XLOOKUP($C25,SEMANA29[COD],SEMANA29[Columna14],""))</f>
        <v>27</v>
      </c>
      <c r="F25" s="293">
        <f>IF(D25="","",_xlfn.XLOOKUP($C25,BASE01[COD],BASE01[Columna19],"")+_xlfn.XLOOKUP($C25,SEMANA2[COD],SEMANA2[Columna19],"")+_xlfn.XLOOKUP($C25,SEMANA29[COD],SEMANA29[Columna19],""))</f>
        <v>10</v>
      </c>
      <c r="G25" s="294">
        <f t="shared" si="0"/>
        <v>0.37037037037037035</v>
      </c>
      <c r="H25" s="295">
        <f>IF(D25="","",_xlfn.XLOOKUP($C25,BASE01[COD],BASE01[Columna29],"")+_xlfn.XLOOKUP($C25,SEMANA2[COD],SEMANA2[Columna29],"")+_xlfn.XLOOKUP($C25,SEMANA29[COD],SEMANA29[Columna29],""))</f>
        <v>27</v>
      </c>
      <c r="I25" s="295">
        <f>IF(D25="","",_xlfn.XLOOKUP($C25,BASE01[COD],BASE01[Columna30],"")+_xlfn.XLOOKUP($C25,SEMANA2[COD],SEMANA2[Columna30],"")+_xlfn.XLOOKUP($C25,SEMANA29[COD],SEMANA29[Columna30],""))</f>
        <v>11</v>
      </c>
      <c r="J25" s="296">
        <f t="shared" si="1"/>
        <v>0.40740740740740738</v>
      </c>
      <c r="K25" s="297">
        <f>IF(D25="","",_xlfn.XLOOKUP($C25,BASE01[COD],BASE01[Columna32],"")+_xlfn.XLOOKUP($C25,SEMANA2[COD],SEMANA2[Columna32],"")+_xlfn.XLOOKUP($C25,SEMANA29[COD],SEMANA29[Columna32],""))</f>
        <v>27</v>
      </c>
      <c r="L25" s="297">
        <f>IF(D25="","",_xlfn.XLOOKUP($C25,BASE01[COD],BASE01[Columna34],"")+_xlfn.XLOOKUP($C25,SEMANA2[COD],SEMANA2[Columna34],"")+_xlfn.XLOOKUP($C25,SEMANA29[COD],SEMANA29[Columna34],""))</f>
        <v>16</v>
      </c>
      <c r="M25" s="298">
        <f t="shared" si="2"/>
        <v>0.59259259259259256</v>
      </c>
      <c r="N25" s="299">
        <f>IF(D25="","",_xlfn.XLOOKUP($C25,BASE01[COD],BASE01[Columna36],"")+_xlfn.XLOOKUP($C25,SEMANA2[COD],SEMANA2[Columna36],"")+_xlfn.XLOOKUP($C25,SEMANA29[COD],SEMANA29[Columna36],""))</f>
        <v>6</v>
      </c>
      <c r="O25" s="299">
        <f>IF(D25="","",_xlfn.XLOOKUP($C25,BASE01[COD],BASE01[Columna37],"")+_xlfn.XLOOKUP($C25,SEMANA2[COD],SEMANA2[Columna37],"")+_xlfn.XLOOKUP($C25,SEMANA29[COD],SEMANA29[Columna37],""))</f>
        <v>3</v>
      </c>
      <c r="P25" s="300">
        <f t="shared" si="3"/>
        <v>0.5</v>
      </c>
      <c r="Q25" s="301">
        <f>_xlfn.XLOOKUP(C25,SEMANA29[COD],SEMANA29[Columna33],"")</f>
        <v>61.5</v>
      </c>
      <c r="R25" s="3"/>
      <c r="U25" s="388" t="str">
        <v>COD 04</v>
      </c>
      <c r="V25" s="388" t="str">
        <f t="shared" si="4"/>
        <v>COD 04</v>
      </c>
    </row>
    <row r="26" spans="1:22" s="388" customFormat="1" ht="23.1" customHeight="1" x14ac:dyDescent="0.35">
      <c r="A26" s="290"/>
      <c r="B26" s="303">
        <f t="shared" si="5"/>
        <v>22</v>
      </c>
      <c r="C26" s="543" t="str">
        <v>COD 06</v>
      </c>
      <c r="D26" s="464" t="str">
        <f>_xlfn.XLOOKUP(C26,CODIGOS_Y_PAGOS[CODIGO],CODIGOS_Y_PAGOS[NOMBRE PARTICIPANTE],"")</f>
        <v>JESUS ROJAS</v>
      </c>
      <c r="E26" s="293">
        <f>IF(D26="","",_xlfn.XLOOKUP($C26,BASE01[COD],BASE01[Columna14],"")+_xlfn.XLOOKUP($C26,SEMANA2[COD],SEMANA2[Columna14],"")+_xlfn.XLOOKUP($C26,SEMANA29[COD],SEMANA29[Columna14],""))</f>
        <v>27</v>
      </c>
      <c r="F26" s="293">
        <f>IF(D26="","",_xlfn.XLOOKUP($C26,BASE01[COD],BASE01[Columna19],"")+_xlfn.XLOOKUP($C26,SEMANA2[COD],SEMANA2[Columna19],"")+_xlfn.XLOOKUP($C26,SEMANA29[COD],SEMANA29[Columna19],""))</f>
        <v>11</v>
      </c>
      <c r="G26" s="294">
        <f t="shared" si="0"/>
        <v>0.40740740740740738</v>
      </c>
      <c r="H26" s="295">
        <f>IF(D26="","",_xlfn.XLOOKUP($C26,BASE01[COD],BASE01[Columna29],"")+_xlfn.XLOOKUP($C26,SEMANA2[COD],SEMANA2[Columna29],"")+_xlfn.XLOOKUP($C26,SEMANA29[COD],SEMANA29[Columna29],""))</f>
        <v>27</v>
      </c>
      <c r="I26" s="295">
        <f>IF(D26="","",_xlfn.XLOOKUP($C26,BASE01[COD],BASE01[Columna30],"")+_xlfn.XLOOKUP($C26,SEMANA2[COD],SEMANA2[Columna30],"")+_xlfn.XLOOKUP($C26,SEMANA29[COD],SEMANA29[Columna30],""))</f>
        <v>13</v>
      </c>
      <c r="J26" s="296">
        <f t="shared" si="1"/>
        <v>0.48148148148148145</v>
      </c>
      <c r="K26" s="297">
        <f>IF(D26="","",_xlfn.XLOOKUP($C26,BASE01[COD],BASE01[Columna32],"")+_xlfn.XLOOKUP($C26,SEMANA2[COD],SEMANA2[Columna32],"")+_xlfn.XLOOKUP($C26,SEMANA29[COD],SEMANA29[Columna32],""))</f>
        <v>27</v>
      </c>
      <c r="L26" s="297">
        <f>IF(D26="","",_xlfn.XLOOKUP($C26,BASE01[COD],BASE01[Columna34],"")+_xlfn.XLOOKUP($C26,SEMANA2[COD],SEMANA2[Columna34],"")+_xlfn.XLOOKUP($C26,SEMANA29[COD],SEMANA29[Columna34],""))</f>
        <v>16</v>
      </c>
      <c r="M26" s="298">
        <f t="shared" si="2"/>
        <v>0.59259259259259256</v>
      </c>
      <c r="N26" s="299">
        <f>IF(D26="","",_xlfn.XLOOKUP($C26,BASE01[COD],BASE01[Columna36],"")+_xlfn.XLOOKUP($C26,SEMANA2[COD],SEMANA2[Columna36],"")+_xlfn.XLOOKUP($C26,SEMANA29[COD],SEMANA29[Columna36],""))</f>
        <v>5</v>
      </c>
      <c r="O26" s="299">
        <f>IF(D26="","",_xlfn.XLOOKUP($C26,BASE01[COD],BASE01[Columna37],"")+_xlfn.XLOOKUP($C26,SEMANA2[COD],SEMANA2[Columna37],"")+_xlfn.XLOOKUP($C26,SEMANA29[COD],SEMANA29[Columna37],""))</f>
        <v>3</v>
      </c>
      <c r="P26" s="300">
        <f t="shared" si="3"/>
        <v>0.6</v>
      </c>
      <c r="Q26" s="301">
        <f>_xlfn.XLOOKUP(C26,SEMANA29[COD],SEMANA29[Columna33],"")</f>
        <v>61.5</v>
      </c>
      <c r="R26" s="3"/>
      <c r="U26" s="388" t="str">
        <v>COD 06</v>
      </c>
      <c r="V26" s="388" t="str">
        <f t="shared" si="4"/>
        <v>COD 06</v>
      </c>
    </row>
    <row r="27" spans="1:22" s="388" customFormat="1" ht="23.1" customHeight="1" x14ac:dyDescent="0.35">
      <c r="A27" s="290"/>
      <c r="B27" s="302">
        <f t="shared" si="5"/>
        <v>23</v>
      </c>
      <c r="C27" s="543" t="str">
        <v>COD 36</v>
      </c>
      <c r="D27" s="464" t="str">
        <f>_xlfn.XLOOKUP(C27,CODIGOS_Y_PAGOS[CODIGO],CODIGOS_Y_PAGOS[NOMBRE PARTICIPANTE],"")</f>
        <v>EDGAR ALEXANDER</v>
      </c>
      <c r="E27" s="293">
        <f>IF(D27="","",_xlfn.XLOOKUP($C27,BASE01[COD],BASE01[Columna14],"")+_xlfn.XLOOKUP($C27,SEMANA2[COD],SEMANA2[Columna14],"")+_xlfn.XLOOKUP($C27,SEMANA29[COD],SEMANA29[Columna14],""))</f>
        <v>27</v>
      </c>
      <c r="F27" s="293">
        <f>IF(D27="","",_xlfn.XLOOKUP($C27,BASE01[COD],BASE01[Columna19],"")+_xlfn.XLOOKUP($C27,SEMANA2[COD],SEMANA2[Columna19],"")+_xlfn.XLOOKUP($C27,SEMANA29[COD],SEMANA29[Columna19],""))</f>
        <v>8</v>
      </c>
      <c r="G27" s="294">
        <f t="shared" si="0"/>
        <v>0.29629629629629628</v>
      </c>
      <c r="H27" s="295">
        <f>IF(D27="","",_xlfn.XLOOKUP($C27,BASE01[COD],BASE01[Columna29],"")+_xlfn.XLOOKUP($C27,SEMANA2[COD],SEMANA2[Columna29],"")+_xlfn.XLOOKUP($C27,SEMANA29[COD],SEMANA29[Columna29],""))</f>
        <v>27</v>
      </c>
      <c r="I27" s="295">
        <f>IF(D27="","",_xlfn.XLOOKUP($C27,BASE01[COD],BASE01[Columna30],"")+_xlfn.XLOOKUP($C27,SEMANA2[COD],SEMANA2[Columna30],"")+_xlfn.XLOOKUP($C27,SEMANA29[COD],SEMANA29[Columna30],""))</f>
        <v>14</v>
      </c>
      <c r="J27" s="296">
        <f t="shared" si="1"/>
        <v>0.51851851851851849</v>
      </c>
      <c r="K27" s="297">
        <f>IF(D27="","",_xlfn.XLOOKUP($C27,BASE01[COD],BASE01[Columna32],"")+_xlfn.XLOOKUP($C27,SEMANA2[COD],SEMANA2[Columna32],"")+_xlfn.XLOOKUP($C27,SEMANA29[COD],SEMANA29[Columna32],""))</f>
        <v>27</v>
      </c>
      <c r="L27" s="297">
        <f>IF(D27="","",_xlfn.XLOOKUP($C27,BASE01[COD],BASE01[Columna34],"")+_xlfn.XLOOKUP($C27,SEMANA2[COD],SEMANA2[Columna34],"")+_xlfn.XLOOKUP($C27,SEMANA29[COD],SEMANA29[Columna34],""))</f>
        <v>16</v>
      </c>
      <c r="M27" s="298">
        <f t="shared" si="2"/>
        <v>0.59259259259259256</v>
      </c>
      <c r="N27" s="299">
        <f>IF(D27="","",_xlfn.XLOOKUP($C27,BASE01[COD],BASE01[Columna36],"")+_xlfn.XLOOKUP($C27,SEMANA2[COD],SEMANA2[Columna36],"")+_xlfn.XLOOKUP($C27,SEMANA29[COD],SEMANA29[Columna36],""))</f>
        <v>6</v>
      </c>
      <c r="O27" s="299">
        <f>IF(D27="","",_xlfn.XLOOKUP($C27,BASE01[COD],BASE01[Columna37],"")+_xlfn.XLOOKUP($C27,SEMANA2[COD],SEMANA2[Columna37],"")+_xlfn.XLOOKUP($C27,SEMANA29[COD],SEMANA29[Columna37],""))</f>
        <v>3</v>
      </c>
      <c r="P27" s="300">
        <f t="shared" si="3"/>
        <v>0.5</v>
      </c>
      <c r="Q27" s="301">
        <f>_xlfn.XLOOKUP(C27,SEMANA29[COD],SEMANA29[Columna33],"")</f>
        <v>61.5</v>
      </c>
      <c r="R27" s="3"/>
      <c r="U27" s="388" t="str">
        <v>COD 36</v>
      </c>
      <c r="V27" s="388" t="str">
        <f t="shared" si="4"/>
        <v>COD 36</v>
      </c>
    </row>
    <row r="28" spans="1:22" s="388" customFormat="1" ht="23.1" customHeight="1" x14ac:dyDescent="0.35">
      <c r="A28" s="290"/>
      <c r="B28" s="302">
        <f t="shared" si="5"/>
        <v>24</v>
      </c>
      <c r="C28" s="543" t="str">
        <v>COD 37</v>
      </c>
      <c r="D28" s="464" t="str">
        <f>_xlfn.XLOOKUP(C28,CODIGOS_Y_PAGOS[CODIGO],CODIGOS_Y_PAGOS[NOMBRE PARTICIPANTE],"")</f>
        <v>GLADIADOR HIPICO</v>
      </c>
      <c r="E28" s="293">
        <f>IF(D28="","",_xlfn.XLOOKUP($C28,BASE01[COD],BASE01[Columna14],"")+_xlfn.XLOOKUP($C28,SEMANA2[COD],SEMANA2[Columna14],"")+_xlfn.XLOOKUP($C28,SEMANA29[COD],SEMANA29[Columna14],""))</f>
        <v>27</v>
      </c>
      <c r="F28" s="293">
        <f>IF(D28="","",_xlfn.XLOOKUP($C28,BASE01[COD],BASE01[Columna19],"")+_xlfn.XLOOKUP($C28,SEMANA2[COD],SEMANA2[Columna19],"")+_xlfn.XLOOKUP($C28,SEMANA29[COD],SEMANA29[Columna19],""))</f>
        <v>6</v>
      </c>
      <c r="G28" s="294">
        <f t="shared" si="0"/>
        <v>0.22222222222222221</v>
      </c>
      <c r="H28" s="295">
        <f>IF(D28="","",_xlfn.XLOOKUP($C28,BASE01[COD],BASE01[Columna29],"")+_xlfn.XLOOKUP($C28,SEMANA2[COD],SEMANA2[Columna29],"")+_xlfn.XLOOKUP($C28,SEMANA29[COD],SEMANA29[Columna29],""))</f>
        <v>27</v>
      </c>
      <c r="I28" s="295">
        <f>IF(D28="","",_xlfn.XLOOKUP($C28,BASE01[COD],BASE01[Columna30],"")+_xlfn.XLOOKUP($C28,SEMANA2[COD],SEMANA2[Columna30],"")+_xlfn.XLOOKUP($C28,SEMANA29[COD],SEMANA29[Columna30],""))</f>
        <v>12</v>
      </c>
      <c r="J28" s="296">
        <f t="shared" si="1"/>
        <v>0.44444444444444442</v>
      </c>
      <c r="K28" s="297">
        <f>IF(D28="","",_xlfn.XLOOKUP($C28,BASE01[COD],BASE01[Columna32],"")+_xlfn.XLOOKUP($C28,SEMANA2[COD],SEMANA2[Columna32],"")+_xlfn.XLOOKUP($C28,SEMANA29[COD],SEMANA29[Columna32],""))</f>
        <v>27</v>
      </c>
      <c r="L28" s="297">
        <f>IF(D28="","",_xlfn.XLOOKUP($C28,BASE01[COD],BASE01[Columna34],"")+_xlfn.XLOOKUP($C28,SEMANA2[COD],SEMANA2[Columna34],"")+_xlfn.XLOOKUP($C28,SEMANA29[COD],SEMANA29[Columna34],""))</f>
        <v>19</v>
      </c>
      <c r="M28" s="298">
        <f t="shared" si="2"/>
        <v>0.70370370370370372</v>
      </c>
      <c r="N28" s="299">
        <f>IF(D28="","",_xlfn.XLOOKUP($C28,BASE01[COD],BASE01[Columna36],"")+_xlfn.XLOOKUP($C28,SEMANA2[COD],SEMANA2[Columna36],"")+_xlfn.XLOOKUP($C28,SEMANA29[COD],SEMANA29[Columna36],""))</f>
        <v>6</v>
      </c>
      <c r="O28" s="299">
        <f>IF(D28="","",_xlfn.XLOOKUP($C28,BASE01[COD],BASE01[Columna37],"")+_xlfn.XLOOKUP($C28,SEMANA2[COD],SEMANA2[Columna37],"")+_xlfn.XLOOKUP($C28,SEMANA29[COD],SEMANA29[Columna37],""))</f>
        <v>4</v>
      </c>
      <c r="P28" s="300">
        <f t="shared" si="3"/>
        <v>0.66666666666666663</v>
      </c>
      <c r="Q28" s="301">
        <f>_xlfn.XLOOKUP(C28,SEMANA29[COD],SEMANA29[Columna33],"")</f>
        <v>61.5</v>
      </c>
      <c r="R28" s="3"/>
      <c r="U28" s="388" t="str">
        <v>COD 37</v>
      </c>
      <c r="V28" s="388" t="str">
        <f t="shared" si="4"/>
        <v>COD 37</v>
      </c>
    </row>
    <row r="29" spans="1:22" s="388" customFormat="1" ht="23.1" customHeight="1" x14ac:dyDescent="0.35">
      <c r="A29" s="290"/>
      <c r="B29" s="302">
        <f t="shared" si="5"/>
        <v>25</v>
      </c>
      <c r="C29" s="543" t="str">
        <v>COD 33</v>
      </c>
      <c r="D29" s="464" t="str">
        <f>_xlfn.XLOOKUP(C29,CODIGOS_Y_PAGOS[CODIGO],CODIGOS_Y_PAGOS[NOMBRE PARTICIPANTE],"")</f>
        <v>JOSE LUIS ANTUNEZ</v>
      </c>
      <c r="E29" s="293">
        <f>IF(D29="","",_xlfn.XLOOKUP($C29,BASE01[COD],BASE01[Columna14],"")+_xlfn.XLOOKUP($C29,SEMANA2[COD],SEMANA2[Columna14],"")+_xlfn.XLOOKUP($C29,SEMANA29[COD],SEMANA29[Columna14],""))</f>
        <v>27</v>
      </c>
      <c r="F29" s="293">
        <f>IF(D29="","",_xlfn.XLOOKUP($C29,BASE01[COD],BASE01[Columna19],"")+_xlfn.XLOOKUP($C29,SEMANA2[COD],SEMANA2[Columna19],"")+_xlfn.XLOOKUP($C29,SEMANA29[COD],SEMANA29[Columna19],""))</f>
        <v>7</v>
      </c>
      <c r="G29" s="294">
        <f t="shared" si="0"/>
        <v>0.25925925925925924</v>
      </c>
      <c r="H29" s="295">
        <f>IF(D29="","",_xlfn.XLOOKUP($C29,BASE01[COD],BASE01[Columna29],"")+_xlfn.XLOOKUP($C29,SEMANA2[COD],SEMANA2[Columna29],"")+_xlfn.XLOOKUP($C29,SEMANA29[COD],SEMANA29[Columna29],""))</f>
        <v>27</v>
      </c>
      <c r="I29" s="295">
        <f>IF(D29="","",_xlfn.XLOOKUP($C29,BASE01[COD],BASE01[Columna30],"")+_xlfn.XLOOKUP($C29,SEMANA2[COD],SEMANA2[Columna30],"")+_xlfn.XLOOKUP($C29,SEMANA29[COD],SEMANA29[Columna30],""))</f>
        <v>15</v>
      </c>
      <c r="J29" s="296">
        <f t="shared" si="1"/>
        <v>0.55555555555555558</v>
      </c>
      <c r="K29" s="297">
        <f>IF(D29="","",_xlfn.XLOOKUP($C29,BASE01[COD],BASE01[Columna32],"")+_xlfn.XLOOKUP($C29,SEMANA2[COD],SEMANA2[Columna32],"")+_xlfn.XLOOKUP($C29,SEMANA29[COD],SEMANA29[Columna32],""))</f>
        <v>27</v>
      </c>
      <c r="L29" s="297">
        <f>IF(D29="","",_xlfn.XLOOKUP($C29,BASE01[COD],BASE01[Columna34],"")+_xlfn.XLOOKUP($C29,SEMANA2[COD],SEMANA2[Columna34],"")+_xlfn.XLOOKUP($C29,SEMANA29[COD],SEMANA29[Columna34],""))</f>
        <v>16</v>
      </c>
      <c r="M29" s="298">
        <f t="shared" si="2"/>
        <v>0.59259259259259256</v>
      </c>
      <c r="N29" s="299">
        <f>IF(D29="","",_xlfn.XLOOKUP($C29,BASE01[COD],BASE01[Columna36],"")+_xlfn.XLOOKUP($C29,SEMANA2[COD],SEMANA2[Columna36],"")+_xlfn.XLOOKUP($C29,SEMANA29[COD],SEMANA29[Columna36],""))</f>
        <v>6</v>
      </c>
      <c r="O29" s="299">
        <f>IF(D29="","",_xlfn.XLOOKUP($C29,BASE01[COD],BASE01[Columna37],"")+_xlfn.XLOOKUP($C29,SEMANA2[COD],SEMANA2[Columna37],"")+_xlfn.XLOOKUP($C29,SEMANA29[COD],SEMANA29[Columna37],""))</f>
        <v>3</v>
      </c>
      <c r="P29" s="300">
        <f t="shared" si="3"/>
        <v>0.5</v>
      </c>
      <c r="Q29" s="301">
        <f>_xlfn.XLOOKUP(C29,SEMANA29[COD],SEMANA29[Columna33],"")</f>
        <v>60.5</v>
      </c>
      <c r="R29" s="3"/>
      <c r="U29" s="388" t="str">
        <v>COD 33</v>
      </c>
      <c r="V29" s="388" t="str">
        <f t="shared" si="4"/>
        <v>COD 33</v>
      </c>
    </row>
    <row r="30" spans="1:22" s="388" customFormat="1" ht="23.1" customHeight="1" x14ac:dyDescent="0.35">
      <c r="A30" s="290"/>
      <c r="B30" s="302">
        <f t="shared" si="5"/>
        <v>26</v>
      </c>
      <c r="C30" s="543" t="str">
        <v>COD 07</v>
      </c>
      <c r="D30" s="464" t="str">
        <f>_xlfn.XLOOKUP(C30,CODIGOS_Y_PAGOS[CODIGO],CODIGOS_Y_PAGOS[NOMBRE PARTICIPANTE],"")</f>
        <v>NELSON OSORIO</v>
      </c>
      <c r="E30" s="293">
        <f>IF(D30="","",_xlfn.XLOOKUP($C30,BASE01[COD],BASE01[Columna14],"")+_xlfn.XLOOKUP($C30,SEMANA2[COD],SEMANA2[Columna14],"")+_xlfn.XLOOKUP($C30,SEMANA29[COD],SEMANA29[Columna14],""))</f>
        <v>27</v>
      </c>
      <c r="F30" s="293">
        <f>IF(D30="","",_xlfn.XLOOKUP($C30,BASE01[COD],BASE01[Columna19],"")+_xlfn.XLOOKUP($C30,SEMANA2[COD],SEMANA2[Columna19],"")+_xlfn.XLOOKUP($C30,SEMANA29[COD],SEMANA29[Columna19],""))</f>
        <v>9</v>
      </c>
      <c r="G30" s="294">
        <f t="shared" si="0"/>
        <v>0.33333333333333331</v>
      </c>
      <c r="H30" s="295">
        <f>IF(D30="","",_xlfn.XLOOKUP($C30,BASE01[COD],BASE01[Columna29],"")+_xlfn.XLOOKUP($C30,SEMANA2[COD],SEMANA2[Columna29],"")+_xlfn.XLOOKUP($C30,SEMANA29[COD],SEMANA29[Columna29],""))</f>
        <v>27</v>
      </c>
      <c r="I30" s="295">
        <f>IF(D30="","",_xlfn.XLOOKUP($C30,BASE01[COD],BASE01[Columna30],"")+_xlfn.XLOOKUP($C30,SEMANA2[COD],SEMANA2[Columna30],"")+_xlfn.XLOOKUP($C30,SEMANA29[COD],SEMANA29[Columna30],""))</f>
        <v>11</v>
      </c>
      <c r="J30" s="296">
        <f t="shared" si="1"/>
        <v>0.40740740740740738</v>
      </c>
      <c r="K30" s="297">
        <f>IF(D30="","",_xlfn.XLOOKUP($C30,BASE01[COD],BASE01[Columna32],"")+_xlfn.XLOOKUP($C30,SEMANA2[COD],SEMANA2[Columna32],"")+_xlfn.XLOOKUP($C30,SEMANA29[COD],SEMANA29[Columna32],""))</f>
        <v>27</v>
      </c>
      <c r="L30" s="297">
        <f>IF(D30="","",_xlfn.XLOOKUP($C30,BASE01[COD],BASE01[Columna34],"")+_xlfn.XLOOKUP($C30,SEMANA2[COD],SEMANA2[Columna34],"")+_xlfn.XLOOKUP($C30,SEMANA29[COD],SEMANA29[Columna34],""))</f>
        <v>17</v>
      </c>
      <c r="M30" s="298">
        <f t="shared" si="2"/>
        <v>0.62962962962962965</v>
      </c>
      <c r="N30" s="299">
        <f>IF(D30="","",_xlfn.XLOOKUP($C30,BASE01[COD],BASE01[Columna36],"")+_xlfn.XLOOKUP($C30,SEMANA2[COD],SEMANA2[Columna36],"")+_xlfn.XLOOKUP($C30,SEMANA29[COD],SEMANA29[Columna36],""))</f>
        <v>6</v>
      </c>
      <c r="O30" s="299">
        <f>IF(D30="","",_xlfn.XLOOKUP($C30,BASE01[COD],BASE01[Columna37],"")+_xlfn.XLOOKUP($C30,SEMANA2[COD],SEMANA2[Columna37],"")+_xlfn.XLOOKUP($C30,SEMANA29[COD],SEMANA29[Columna37],""))</f>
        <v>4</v>
      </c>
      <c r="P30" s="300">
        <f t="shared" si="3"/>
        <v>0.66666666666666663</v>
      </c>
      <c r="Q30" s="301">
        <f>_xlfn.XLOOKUP(C30,SEMANA29[COD],SEMANA29[Columna33],"")</f>
        <v>59.5</v>
      </c>
      <c r="R30" s="3"/>
      <c r="U30" s="388" t="str">
        <v>COD 07</v>
      </c>
      <c r="V30" s="388" t="str">
        <f t="shared" si="4"/>
        <v>COD 07</v>
      </c>
    </row>
    <row r="31" spans="1:22" s="388" customFormat="1" ht="23.1" customHeight="1" x14ac:dyDescent="0.35">
      <c r="A31" s="290"/>
      <c r="B31" s="302">
        <f t="shared" si="5"/>
        <v>27</v>
      </c>
      <c r="C31" s="543" t="str">
        <v>COD 31</v>
      </c>
      <c r="D31" s="464" t="str">
        <f>_xlfn.XLOOKUP(C31,CODIGOS_Y_PAGOS[CODIGO],CODIGOS_Y_PAGOS[NOMBRE PARTICIPANTE],"")</f>
        <v>ALBIN</v>
      </c>
      <c r="E31" s="293">
        <f>IF(D31="","",_xlfn.XLOOKUP($C31,BASE01[COD],BASE01[Columna14],"")+_xlfn.XLOOKUP($C31,SEMANA2[COD],SEMANA2[Columna14],"")+_xlfn.XLOOKUP($C31,SEMANA29[COD],SEMANA29[Columna14],""))</f>
        <v>27</v>
      </c>
      <c r="F31" s="293">
        <f>IF(D31="","",_xlfn.XLOOKUP($C31,BASE01[COD],BASE01[Columna19],"")+_xlfn.XLOOKUP($C31,SEMANA2[COD],SEMANA2[Columna19],"")+_xlfn.XLOOKUP($C31,SEMANA29[COD],SEMANA29[Columna19],""))</f>
        <v>9</v>
      </c>
      <c r="G31" s="294">
        <f t="shared" si="0"/>
        <v>0.33333333333333331</v>
      </c>
      <c r="H31" s="295">
        <f>IF(D31="","",_xlfn.XLOOKUP($C31,BASE01[COD],BASE01[Columna29],"")+_xlfn.XLOOKUP($C31,SEMANA2[COD],SEMANA2[Columna29],"")+_xlfn.XLOOKUP($C31,SEMANA29[COD],SEMANA29[Columna29],""))</f>
        <v>27</v>
      </c>
      <c r="I31" s="295">
        <f>IF(D31="","",_xlfn.XLOOKUP($C31,BASE01[COD],BASE01[Columna30],"")+_xlfn.XLOOKUP($C31,SEMANA2[COD],SEMANA2[Columna30],"")+_xlfn.XLOOKUP($C31,SEMANA29[COD],SEMANA29[Columna30],""))</f>
        <v>15</v>
      </c>
      <c r="J31" s="296">
        <f t="shared" si="1"/>
        <v>0.55555555555555558</v>
      </c>
      <c r="K31" s="297">
        <f>IF(D31="","",_xlfn.XLOOKUP($C31,BASE01[COD],BASE01[Columna32],"")+_xlfn.XLOOKUP($C31,SEMANA2[COD],SEMANA2[Columna32],"")+_xlfn.XLOOKUP($C31,SEMANA29[COD],SEMANA29[Columna32],""))</f>
        <v>27</v>
      </c>
      <c r="L31" s="297">
        <f>IF(D31="","",_xlfn.XLOOKUP($C31,BASE01[COD],BASE01[Columna34],"")+_xlfn.XLOOKUP($C31,SEMANA2[COD],SEMANA2[Columna34],"")+_xlfn.XLOOKUP($C31,SEMANA29[COD],SEMANA29[Columna34],""))</f>
        <v>17</v>
      </c>
      <c r="M31" s="298">
        <f t="shared" si="2"/>
        <v>0.62962962962962965</v>
      </c>
      <c r="N31" s="299">
        <f>IF(D31="","",_xlfn.XLOOKUP($C31,BASE01[COD],BASE01[Columna36],"")+_xlfn.XLOOKUP($C31,SEMANA2[COD],SEMANA2[Columna36],"")+_xlfn.XLOOKUP($C31,SEMANA29[COD],SEMANA29[Columna36],""))</f>
        <v>6</v>
      </c>
      <c r="O31" s="299">
        <f>IF(D31="","",_xlfn.XLOOKUP($C31,BASE01[COD],BASE01[Columna37],"")+_xlfn.XLOOKUP($C31,SEMANA2[COD],SEMANA2[Columna37],"")+_xlfn.XLOOKUP($C31,SEMANA29[COD],SEMANA29[Columna37],""))</f>
        <v>2</v>
      </c>
      <c r="P31" s="300">
        <f t="shared" si="3"/>
        <v>0.33333333333333331</v>
      </c>
      <c r="Q31" s="301">
        <f>_xlfn.XLOOKUP(C31,SEMANA29[COD],SEMANA29[Columna33],"")</f>
        <v>59.5</v>
      </c>
      <c r="R31" s="3"/>
      <c r="U31" s="388" t="str">
        <v>COD 31</v>
      </c>
      <c r="V31" s="388" t="str">
        <f t="shared" si="4"/>
        <v>COD 31</v>
      </c>
    </row>
    <row r="32" spans="1:22" s="388" customFormat="1" ht="23.1" customHeight="1" x14ac:dyDescent="0.35">
      <c r="A32" s="290"/>
      <c r="B32" s="302">
        <f t="shared" si="5"/>
        <v>28</v>
      </c>
      <c r="C32" s="543" t="str">
        <v>COD 35</v>
      </c>
      <c r="D32" s="464" t="str">
        <f>_xlfn.XLOOKUP(C32,CODIGOS_Y_PAGOS[CODIGO],CODIGOS_Y_PAGOS[NOMBRE PARTICIPANTE],"")</f>
        <v>YOVANNY</v>
      </c>
      <c r="E32" s="293">
        <f>IF(D32="","",_xlfn.XLOOKUP($C32,BASE01[COD],BASE01[Columna14],"")+_xlfn.XLOOKUP($C32,SEMANA2[COD],SEMANA2[Columna14],"")+_xlfn.XLOOKUP($C32,SEMANA29[COD],SEMANA29[Columna14],""))</f>
        <v>27</v>
      </c>
      <c r="F32" s="293">
        <f>IF(D32="","",_xlfn.XLOOKUP($C32,BASE01[COD],BASE01[Columna19],"")+_xlfn.XLOOKUP($C32,SEMANA2[COD],SEMANA2[Columna19],"")+_xlfn.XLOOKUP($C32,SEMANA29[COD],SEMANA29[Columna19],""))</f>
        <v>10</v>
      </c>
      <c r="G32" s="294">
        <f t="shared" si="0"/>
        <v>0.37037037037037035</v>
      </c>
      <c r="H32" s="295">
        <f>IF(D32="","",_xlfn.XLOOKUP($C32,BASE01[COD],BASE01[Columna29],"")+_xlfn.XLOOKUP($C32,SEMANA2[COD],SEMANA2[Columna29],"")+_xlfn.XLOOKUP($C32,SEMANA29[COD],SEMANA29[Columna29],""))</f>
        <v>27</v>
      </c>
      <c r="I32" s="295">
        <f>IF(D32="","",_xlfn.XLOOKUP($C32,BASE01[COD],BASE01[Columna30],"")+_xlfn.XLOOKUP($C32,SEMANA2[COD],SEMANA2[Columna30],"")+_xlfn.XLOOKUP($C32,SEMANA29[COD],SEMANA29[Columna30],""))</f>
        <v>12</v>
      </c>
      <c r="J32" s="296">
        <f t="shared" si="1"/>
        <v>0.44444444444444442</v>
      </c>
      <c r="K32" s="297">
        <f>IF(D32="","",_xlfn.XLOOKUP($C32,BASE01[COD],BASE01[Columna32],"")+_xlfn.XLOOKUP($C32,SEMANA2[COD],SEMANA2[Columna32],"")+_xlfn.XLOOKUP($C32,SEMANA29[COD],SEMANA29[Columna32],""))</f>
        <v>27</v>
      </c>
      <c r="L32" s="297">
        <f>IF(D32="","",_xlfn.XLOOKUP($C32,BASE01[COD],BASE01[Columna34],"")+_xlfn.XLOOKUP($C32,SEMANA2[COD],SEMANA2[Columna34],"")+_xlfn.XLOOKUP($C32,SEMANA29[COD],SEMANA29[Columna34],""))</f>
        <v>18</v>
      </c>
      <c r="M32" s="298">
        <f t="shared" si="2"/>
        <v>0.66666666666666663</v>
      </c>
      <c r="N32" s="299">
        <f>IF(D32="","",_xlfn.XLOOKUP($C32,BASE01[COD],BASE01[Columna36],"")+_xlfn.XLOOKUP($C32,SEMANA2[COD],SEMANA2[Columna36],"")+_xlfn.XLOOKUP($C32,SEMANA29[COD],SEMANA29[Columna36],""))</f>
        <v>6</v>
      </c>
      <c r="O32" s="299">
        <f>IF(D32="","",_xlfn.XLOOKUP($C32,BASE01[COD],BASE01[Columna37],"")+_xlfn.XLOOKUP($C32,SEMANA2[COD],SEMANA2[Columna37],"")+_xlfn.XLOOKUP($C32,SEMANA29[COD],SEMANA29[Columna37],""))</f>
        <v>4</v>
      </c>
      <c r="P32" s="300">
        <f t="shared" si="3"/>
        <v>0.66666666666666663</v>
      </c>
      <c r="Q32" s="301">
        <f>_xlfn.XLOOKUP(C32,SEMANA29[COD],SEMANA29[Columna33],"")</f>
        <v>59.5</v>
      </c>
      <c r="R32" s="3"/>
      <c r="U32" s="388" t="str">
        <v>COD 35</v>
      </c>
      <c r="V32" s="388" t="str">
        <f t="shared" si="4"/>
        <v>COD 35</v>
      </c>
    </row>
    <row r="33" spans="1:22" s="388" customFormat="1" ht="23.1" customHeight="1" x14ac:dyDescent="0.35">
      <c r="A33" s="290"/>
      <c r="B33" s="302">
        <f t="shared" si="5"/>
        <v>29</v>
      </c>
      <c r="C33" s="543" t="str">
        <v>COD 13</v>
      </c>
      <c r="D33" s="464" t="str">
        <f>_xlfn.XLOOKUP(C33,CODIGOS_Y_PAGOS[CODIGO],CODIGOS_Y_PAGOS[NOMBRE PARTICIPANTE],"")</f>
        <v>NOTAS HIPICAS</v>
      </c>
      <c r="E33" s="293">
        <f>IF(D33="","",_xlfn.XLOOKUP($C33,BASE01[COD],BASE01[Columna14],"")+_xlfn.XLOOKUP($C33,SEMANA2[COD],SEMANA2[Columna14],"")+_xlfn.XLOOKUP($C33,SEMANA29[COD],SEMANA29[Columna14],""))</f>
        <v>27</v>
      </c>
      <c r="F33" s="293">
        <f>IF(D33="","",_xlfn.XLOOKUP($C33,BASE01[COD],BASE01[Columna19],"")+_xlfn.XLOOKUP($C33,SEMANA2[COD],SEMANA2[Columna19],"")+_xlfn.XLOOKUP($C33,SEMANA29[COD],SEMANA29[Columna19],""))</f>
        <v>7</v>
      </c>
      <c r="G33" s="294">
        <f t="shared" si="0"/>
        <v>0.25925925925925924</v>
      </c>
      <c r="H33" s="295">
        <f>IF(D33="","",_xlfn.XLOOKUP($C33,BASE01[COD],BASE01[Columna29],"")+_xlfn.XLOOKUP($C33,SEMANA2[COD],SEMANA2[Columna29],"")+_xlfn.XLOOKUP($C33,SEMANA29[COD],SEMANA29[Columna29],""))</f>
        <v>27</v>
      </c>
      <c r="I33" s="295">
        <f>IF(D33="","",_xlfn.XLOOKUP($C33,BASE01[COD],BASE01[Columna30],"")+_xlfn.XLOOKUP($C33,SEMANA2[COD],SEMANA2[Columna30],"")+_xlfn.XLOOKUP($C33,SEMANA29[COD],SEMANA29[Columna30],""))</f>
        <v>12</v>
      </c>
      <c r="J33" s="296">
        <f t="shared" si="1"/>
        <v>0.44444444444444442</v>
      </c>
      <c r="K33" s="297">
        <f>IF(D33="","",_xlfn.XLOOKUP($C33,BASE01[COD],BASE01[Columna32],"")+_xlfn.XLOOKUP($C33,SEMANA2[COD],SEMANA2[Columna32],"")+_xlfn.XLOOKUP($C33,SEMANA29[COD],SEMANA29[Columna32],""))</f>
        <v>27</v>
      </c>
      <c r="L33" s="297">
        <f>IF(D33="","",_xlfn.XLOOKUP($C33,BASE01[COD],BASE01[Columna34],"")+_xlfn.XLOOKUP($C33,SEMANA2[COD],SEMANA2[Columna34],"")+_xlfn.XLOOKUP($C33,SEMANA29[COD],SEMANA29[Columna34],""))</f>
        <v>16</v>
      </c>
      <c r="M33" s="298">
        <f t="shared" si="2"/>
        <v>0.59259259259259256</v>
      </c>
      <c r="N33" s="299">
        <f>IF(D33="","",_xlfn.XLOOKUP($C33,BASE01[COD],BASE01[Columna36],"")+_xlfn.XLOOKUP($C33,SEMANA2[COD],SEMANA2[Columna36],"")+_xlfn.XLOOKUP($C33,SEMANA29[COD],SEMANA29[Columna36],""))</f>
        <v>5</v>
      </c>
      <c r="O33" s="299">
        <f>IF(D33="","",_xlfn.XLOOKUP($C33,BASE01[COD],BASE01[Columna37],"")+_xlfn.XLOOKUP($C33,SEMANA2[COD],SEMANA2[Columna37],"")+_xlfn.XLOOKUP($C33,SEMANA29[COD],SEMANA29[Columna37],""))</f>
        <v>4</v>
      </c>
      <c r="P33" s="300">
        <f t="shared" si="3"/>
        <v>0.8</v>
      </c>
      <c r="Q33" s="301">
        <f>_xlfn.XLOOKUP(C33,SEMANA29[COD],SEMANA29[Columna33],"")</f>
        <v>58.5</v>
      </c>
      <c r="R33" s="3"/>
      <c r="U33" s="388" t="str">
        <v>COD 13</v>
      </c>
      <c r="V33" s="388" t="str">
        <f t="shared" si="4"/>
        <v>COD 13</v>
      </c>
    </row>
    <row r="34" spans="1:22" s="388" customFormat="1" ht="23.1" customHeight="1" x14ac:dyDescent="0.35">
      <c r="A34" s="290"/>
      <c r="B34" s="302">
        <f t="shared" si="5"/>
        <v>30</v>
      </c>
      <c r="C34" s="543" t="str">
        <v>COD 14</v>
      </c>
      <c r="D34" s="464" t="str">
        <f>_xlfn.XLOOKUP(C34,CODIGOS_Y_PAGOS[CODIGO],CODIGOS_Y_PAGOS[NOMBRE PARTICIPANTE],"")</f>
        <v>PEDRO ALVAREZ</v>
      </c>
      <c r="E34" s="293">
        <f>IF(D34="","",_xlfn.XLOOKUP($C34,BASE01[COD],BASE01[Columna14],"")+_xlfn.XLOOKUP($C34,SEMANA2[COD],SEMANA2[Columna14],"")+_xlfn.XLOOKUP($C34,SEMANA29[COD],SEMANA29[Columna14],""))</f>
        <v>27</v>
      </c>
      <c r="F34" s="293">
        <f>IF(D34="","",_xlfn.XLOOKUP($C34,BASE01[COD],BASE01[Columna19],"")+_xlfn.XLOOKUP($C34,SEMANA2[COD],SEMANA2[Columna19],"")+_xlfn.XLOOKUP($C34,SEMANA29[COD],SEMANA29[Columna19],""))</f>
        <v>8</v>
      </c>
      <c r="G34" s="294">
        <f t="shared" si="0"/>
        <v>0.29629629629629628</v>
      </c>
      <c r="H34" s="295">
        <f>IF(D34="","",_xlfn.XLOOKUP($C34,BASE01[COD],BASE01[Columna29],"")+_xlfn.XLOOKUP($C34,SEMANA2[COD],SEMANA2[Columna29],"")+_xlfn.XLOOKUP($C34,SEMANA29[COD],SEMANA29[Columna29],""))</f>
        <v>27</v>
      </c>
      <c r="I34" s="295">
        <f>IF(D34="","",_xlfn.XLOOKUP($C34,BASE01[COD],BASE01[Columna30],"")+_xlfn.XLOOKUP($C34,SEMANA2[COD],SEMANA2[Columna30],"")+_xlfn.XLOOKUP($C34,SEMANA29[COD],SEMANA29[Columna30],""))</f>
        <v>13</v>
      </c>
      <c r="J34" s="296">
        <f t="shared" si="1"/>
        <v>0.48148148148148145</v>
      </c>
      <c r="K34" s="297">
        <f>IF(D34="","",_xlfn.XLOOKUP($C34,BASE01[COD],BASE01[Columna32],"")+_xlfn.XLOOKUP($C34,SEMANA2[COD],SEMANA2[Columna32],"")+_xlfn.XLOOKUP($C34,SEMANA29[COD],SEMANA29[Columna32],""))</f>
        <v>27</v>
      </c>
      <c r="L34" s="297">
        <f>IF(D34="","",_xlfn.XLOOKUP($C34,BASE01[COD],BASE01[Columna34],"")+_xlfn.XLOOKUP($C34,SEMANA2[COD],SEMANA2[Columna34],"")+_xlfn.XLOOKUP($C34,SEMANA29[COD],SEMANA29[Columna34],""))</f>
        <v>19</v>
      </c>
      <c r="M34" s="298">
        <f t="shared" si="2"/>
        <v>0.70370370370370372</v>
      </c>
      <c r="N34" s="299">
        <f>IF(D34="","",_xlfn.XLOOKUP($C34,BASE01[COD],BASE01[Columna36],"")+_xlfn.XLOOKUP($C34,SEMANA2[COD],SEMANA2[Columna36],"")+_xlfn.XLOOKUP($C34,SEMANA29[COD],SEMANA29[Columna36],""))</f>
        <v>6</v>
      </c>
      <c r="O34" s="299">
        <f>IF(D34="","",_xlfn.XLOOKUP($C34,BASE01[COD],BASE01[Columna37],"")+_xlfn.XLOOKUP($C34,SEMANA2[COD],SEMANA2[Columna37],"")+_xlfn.XLOOKUP($C34,SEMANA29[COD],SEMANA29[Columna37],""))</f>
        <v>2</v>
      </c>
      <c r="P34" s="300">
        <f t="shared" si="3"/>
        <v>0.33333333333333331</v>
      </c>
      <c r="Q34" s="301">
        <f>_xlfn.XLOOKUP(C34,SEMANA29[COD],SEMANA29[Columna33],"")</f>
        <v>58.5</v>
      </c>
      <c r="R34" s="3"/>
      <c r="U34" s="388" t="str">
        <v>COD 14</v>
      </c>
      <c r="V34" s="388" t="str">
        <f t="shared" si="4"/>
        <v>COD 14</v>
      </c>
    </row>
    <row r="35" spans="1:22" s="388" customFormat="1" ht="23.1" customHeight="1" x14ac:dyDescent="0.35">
      <c r="A35" s="290"/>
      <c r="B35" s="302">
        <f t="shared" si="5"/>
        <v>31</v>
      </c>
      <c r="C35" s="543" t="str">
        <v>COD 17</v>
      </c>
      <c r="D35" s="464" t="str">
        <f>_xlfn.XLOOKUP(C35,CODIGOS_Y_PAGOS[CODIGO],CODIGOS_Y_PAGOS[NOMBRE PARTICIPANTE],"")</f>
        <v>FERNANDO VALDIRIO</v>
      </c>
      <c r="E35" s="293">
        <f>IF(D35="","",_xlfn.XLOOKUP($C35,BASE01[COD],BASE01[Columna14],"")+_xlfn.XLOOKUP($C35,SEMANA2[COD],SEMANA2[Columna14],"")+_xlfn.XLOOKUP($C35,SEMANA29[COD],SEMANA29[Columna14],""))</f>
        <v>27</v>
      </c>
      <c r="F35" s="293">
        <f>IF(D35="","",_xlfn.XLOOKUP($C35,BASE01[COD],BASE01[Columna19],"")+_xlfn.XLOOKUP($C35,SEMANA2[COD],SEMANA2[Columna19],"")+_xlfn.XLOOKUP($C35,SEMANA29[COD],SEMANA29[Columna19],""))</f>
        <v>8</v>
      </c>
      <c r="G35" s="294">
        <f t="shared" si="0"/>
        <v>0.29629629629629628</v>
      </c>
      <c r="H35" s="295">
        <f>IF(D35="","",_xlfn.XLOOKUP($C35,BASE01[COD],BASE01[Columna29],"")+_xlfn.XLOOKUP($C35,SEMANA2[COD],SEMANA2[Columna29],"")+_xlfn.XLOOKUP($C35,SEMANA29[COD],SEMANA29[Columna29],""))</f>
        <v>27</v>
      </c>
      <c r="I35" s="295">
        <f>IF(D35="","",_xlfn.XLOOKUP($C35,BASE01[COD],BASE01[Columna30],"")+_xlfn.XLOOKUP($C35,SEMANA2[COD],SEMANA2[Columna30],"")+_xlfn.XLOOKUP($C35,SEMANA29[COD],SEMANA29[Columna30],""))</f>
        <v>14</v>
      </c>
      <c r="J35" s="296">
        <f t="shared" si="1"/>
        <v>0.51851851851851849</v>
      </c>
      <c r="K35" s="297">
        <f>IF(D35="","",_xlfn.XLOOKUP($C35,BASE01[COD],BASE01[Columna32],"")+_xlfn.XLOOKUP($C35,SEMANA2[COD],SEMANA2[Columna32],"")+_xlfn.XLOOKUP($C35,SEMANA29[COD],SEMANA29[Columna32],""))</f>
        <v>27</v>
      </c>
      <c r="L35" s="297">
        <f>IF(D35="","",_xlfn.XLOOKUP($C35,BASE01[COD],BASE01[Columna34],"")+_xlfn.XLOOKUP($C35,SEMANA2[COD],SEMANA2[Columna34],"")+_xlfn.XLOOKUP($C35,SEMANA29[COD],SEMANA29[Columna34],""))</f>
        <v>16</v>
      </c>
      <c r="M35" s="298">
        <f t="shared" si="2"/>
        <v>0.59259259259259256</v>
      </c>
      <c r="N35" s="299">
        <f>IF(D35="","",_xlfn.XLOOKUP($C35,BASE01[COD],BASE01[Columna36],"")+_xlfn.XLOOKUP($C35,SEMANA2[COD],SEMANA2[Columna36],"")+_xlfn.XLOOKUP($C35,SEMANA29[COD],SEMANA29[Columna36],""))</f>
        <v>6</v>
      </c>
      <c r="O35" s="299">
        <f>IF(D35="","",_xlfn.XLOOKUP($C35,BASE01[COD],BASE01[Columna37],"")+_xlfn.XLOOKUP($C35,SEMANA2[COD],SEMANA2[Columna37],"")+_xlfn.XLOOKUP($C35,SEMANA29[COD],SEMANA29[Columna37],""))</f>
        <v>4</v>
      </c>
      <c r="P35" s="300">
        <f t="shared" si="3"/>
        <v>0.66666666666666663</v>
      </c>
      <c r="Q35" s="301">
        <f>_xlfn.XLOOKUP(C35,SEMANA29[COD],SEMANA29[Columna33],"")</f>
        <v>58.5</v>
      </c>
      <c r="R35" s="3"/>
      <c r="U35" s="388" t="str">
        <v>COD 17</v>
      </c>
      <c r="V35" s="388" t="str">
        <f t="shared" si="4"/>
        <v>COD 17</v>
      </c>
    </row>
    <row r="36" spans="1:22" s="388" customFormat="1" ht="23.1" customHeight="1" x14ac:dyDescent="0.35">
      <c r="A36" s="290"/>
      <c r="B36" s="302">
        <f t="shared" si="5"/>
        <v>32</v>
      </c>
      <c r="C36" s="543" t="str">
        <v>COD 18</v>
      </c>
      <c r="D36" s="464" t="str">
        <f>_xlfn.XLOOKUP(C36,CODIGOS_Y_PAGOS[CODIGO],CODIGOS_Y_PAGOS[NOMBRE PARTICIPANTE],"")</f>
        <v>CASTOR CHIRINOS</v>
      </c>
      <c r="E36" s="293">
        <f>IF(D36="","",_xlfn.XLOOKUP($C36,BASE01[COD],BASE01[Columna14],"")+_xlfn.XLOOKUP($C36,SEMANA2[COD],SEMANA2[Columna14],"")+_xlfn.XLOOKUP($C36,SEMANA29[COD],SEMANA29[Columna14],""))</f>
        <v>27</v>
      </c>
      <c r="F36" s="293">
        <f>IF(D36="","",_xlfn.XLOOKUP($C36,BASE01[COD],BASE01[Columna19],"")+_xlfn.XLOOKUP($C36,SEMANA2[COD],SEMANA2[Columna19],"")+_xlfn.XLOOKUP($C36,SEMANA29[COD],SEMANA29[Columna19],""))</f>
        <v>7</v>
      </c>
      <c r="G36" s="294">
        <f t="shared" si="0"/>
        <v>0.25925925925925924</v>
      </c>
      <c r="H36" s="295">
        <f>IF(D36="","",_xlfn.XLOOKUP($C36,BASE01[COD],BASE01[Columna29],"")+_xlfn.XLOOKUP($C36,SEMANA2[COD],SEMANA2[Columna29],"")+_xlfn.XLOOKUP($C36,SEMANA29[COD],SEMANA29[Columna29],""))</f>
        <v>27</v>
      </c>
      <c r="I36" s="295">
        <f>IF(D36="","",_xlfn.XLOOKUP($C36,BASE01[COD],BASE01[Columna30],"")+_xlfn.XLOOKUP($C36,SEMANA2[COD],SEMANA2[Columna30],"")+_xlfn.XLOOKUP($C36,SEMANA29[COD],SEMANA29[Columna30],""))</f>
        <v>12</v>
      </c>
      <c r="J36" s="296">
        <f t="shared" si="1"/>
        <v>0.44444444444444442</v>
      </c>
      <c r="K36" s="297">
        <f>IF(D36="","",_xlfn.XLOOKUP($C36,BASE01[COD],BASE01[Columna32],"")+_xlfn.XLOOKUP($C36,SEMANA2[COD],SEMANA2[Columna32],"")+_xlfn.XLOOKUP($C36,SEMANA29[COD],SEMANA29[Columna32],""))</f>
        <v>27</v>
      </c>
      <c r="L36" s="297">
        <f>IF(D36="","",_xlfn.XLOOKUP($C36,BASE01[COD],BASE01[Columna34],"")+_xlfn.XLOOKUP($C36,SEMANA2[COD],SEMANA2[Columna34],"")+_xlfn.XLOOKUP($C36,SEMANA29[COD],SEMANA29[Columna34],""))</f>
        <v>19</v>
      </c>
      <c r="M36" s="298">
        <f t="shared" si="2"/>
        <v>0.70370370370370372</v>
      </c>
      <c r="N36" s="299">
        <f>IF(D36="","",_xlfn.XLOOKUP($C36,BASE01[COD],BASE01[Columna36],"")+_xlfn.XLOOKUP($C36,SEMANA2[COD],SEMANA2[Columna36],"")+_xlfn.XLOOKUP($C36,SEMANA29[COD],SEMANA29[Columna36],""))</f>
        <v>6</v>
      </c>
      <c r="O36" s="299">
        <f>IF(D36="","",_xlfn.XLOOKUP($C36,BASE01[COD],BASE01[Columna37],"")+_xlfn.XLOOKUP($C36,SEMANA2[COD],SEMANA2[Columna37],"")+_xlfn.XLOOKUP($C36,SEMANA29[COD],SEMANA29[Columna37],""))</f>
        <v>4</v>
      </c>
      <c r="P36" s="300">
        <f t="shared" si="3"/>
        <v>0.66666666666666663</v>
      </c>
      <c r="Q36" s="301">
        <f>_xlfn.XLOOKUP(C36,SEMANA29[COD],SEMANA29[Columna33],"")</f>
        <v>58.5</v>
      </c>
      <c r="R36" s="3"/>
      <c r="U36" s="388" t="str">
        <v>COD 18</v>
      </c>
      <c r="V36" s="388" t="str">
        <f t="shared" si="4"/>
        <v>COD 18</v>
      </c>
    </row>
    <row r="37" spans="1:22" s="388" customFormat="1" ht="23.1" customHeight="1" x14ac:dyDescent="0.35">
      <c r="A37" s="290"/>
      <c r="B37" s="302">
        <f t="shared" si="5"/>
        <v>33</v>
      </c>
      <c r="C37" s="543" t="str">
        <v>COD 20</v>
      </c>
      <c r="D37" s="464" t="str">
        <f>_xlfn.XLOOKUP(C37,CODIGOS_Y_PAGOS[CODIGO],CODIGOS_Y_PAGOS[NOMBRE PARTICIPANTE],"")</f>
        <v>CHINO</v>
      </c>
      <c r="E37" s="293">
        <f>IF(D37="","",_xlfn.XLOOKUP($C37,BASE01[COD],BASE01[Columna14],"")+_xlfn.XLOOKUP($C37,SEMANA2[COD],SEMANA2[Columna14],"")+_xlfn.XLOOKUP($C37,SEMANA29[COD],SEMANA29[Columna14],""))</f>
        <v>27</v>
      </c>
      <c r="F37" s="293">
        <f>IF(D37="","",_xlfn.XLOOKUP($C37,BASE01[COD],BASE01[Columna19],"")+_xlfn.XLOOKUP($C37,SEMANA2[COD],SEMANA2[Columna19],"")+_xlfn.XLOOKUP($C37,SEMANA29[COD],SEMANA29[Columna19],""))</f>
        <v>10</v>
      </c>
      <c r="G37" s="294">
        <f t="shared" ref="G37:G54" si="6">IFERROR(+F37/E37,"")</f>
        <v>0.37037037037037035</v>
      </c>
      <c r="H37" s="295">
        <f>IF(D37="","",_xlfn.XLOOKUP($C37,BASE01[COD],BASE01[Columna29],"")+_xlfn.XLOOKUP($C37,SEMANA2[COD],SEMANA2[Columna29],"")+_xlfn.XLOOKUP($C37,SEMANA29[COD],SEMANA29[Columna29],""))</f>
        <v>27</v>
      </c>
      <c r="I37" s="295">
        <f>IF(D37="","",_xlfn.XLOOKUP($C37,BASE01[COD],BASE01[Columna30],"")+_xlfn.XLOOKUP($C37,SEMANA2[COD],SEMANA2[Columna30],"")+_xlfn.XLOOKUP($C37,SEMANA29[COD],SEMANA29[Columna30],""))</f>
        <v>15</v>
      </c>
      <c r="J37" s="296">
        <f t="shared" ref="J37:J54" si="7">IFERROR(+I37/H37,"")</f>
        <v>0.55555555555555558</v>
      </c>
      <c r="K37" s="297">
        <f>IF(D37="","",_xlfn.XLOOKUP($C37,BASE01[COD],BASE01[Columna32],"")+_xlfn.XLOOKUP($C37,SEMANA2[COD],SEMANA2[Columna32],"")+_xlfn.XLOOKUP($C37,SEMANA29[COD],SEMANA29[Columna32],""))</f>
        <v>27</v>
      </c>
      <c r="L37" s="297">
        <f>IF(D37="","",_xlfn.XLOOKUP($C37,BASE01[COD],BASE01[Columna34],"")+_xlfn.XLOOKUP($C37,SEMANA2[COD],SEMANA2[Columna34],"")+_xlfn.XLOOKUP($C37,SEMANA29[COD],SEMANA29[Columna34],""))</f>
        <v>18</v>
      </c>
      <c r="M37" s="298">
        <f t="shared" ref="M37:M54" si="8">IFERROR(+L37/K37,"")</f>
        <v>0.66666666666666663</v>
      </c>
      <c r="N37" s="299">
        <f>IF(D37="","",_xlfn.XLOOKUP($C37,BASE01[COD],BASE01[Columna36],"")+_xlfn.XLOOKUP($C37,SEMANA2[COD],SEMANA2[Columna36],"")+_xlfn.XLOOKUP($C37,SEMANA29[COD],SEMANA29[Columna36],""))</f>
        <v>6</v>
      </c>
      <c r="O37" s="299">
        <f>IF(D37="","",_xlfn.XLOOKUP($C37,BASE01[COD],BASE01[Columna37],"")+_xlfn.XLOOKUP($C37,SEMANA2[COD],SEMANA2[Columna37],"")+_xlfn.XLOOKUP($C37,SEMANA29[COD],SEMANA29[Columna37],""))</f>
        <v>2</v>
      </c>
      <c r="P37" s="300">
        <f t="shared" ref="P37:P54" si="9">IFERROR(+O37/N37,0)</f>
        <v>0.33333333333333331</v>
      </c>
      <c r="Q37" s="301">
        <f>_xlfn.XLOOKUP(C37,SEMANA29[COD],SEMANA29[Columna33],"")</f>
        <v>58.5</v>
      </c>
      <c r="R37" s="3"/>
      <c r="U37" s="388" t="str">
        <v>COD 20</v>
      </c>
      <c r="V37" s="388" t="str">
        <f t="shared" ref="V37:V54" si="10">U37</f>
        <v>COD 20</v>
      </c>
    </row>
    <row r="38" spans="1:22" s="388" customFormat="1" ht="23.1" customHeight="1" x14ac:dyDescent="0.35">
      <c r="A38" s="290"/>
      <c r="B38" s="302">
        <f t="shared" ref="B38:B54" si="11">+B37+1</f>
        <v>34</v>
      </c>
      <c r="C38" s="543" t="str">
        <v>COD 26</v>
      </c>
      <c r="D38" s="464" t="str">
        <f>_xlfn.XLOOKUP(C38,CODIGOS_Y_PAGOS[CODIGO],CODIGOS_Y_PAGOS[NOMBRE PARTICIPANTE],"")</f>
        <v>PEDRO TABEROA</v>
      </c>
      <c r="E38" s="293">
        <f>IF(D38="","",_xlfn.XLOOKUP($C38,BASE01[COD],BASE01[Columna14],"")+_xlfn.XLOOKUP($C38,SEMANA2[COD],SEMANA2[Columna14],"")+_xlfn.XLOOKUP($C38,SEMANA29[COD],SEMANA29[Columna14],""))</f>
        <v>27</v>
      </c>
      <c r="F38" s="293">
        <f>IF(D38="","",_xlfn.XLOOKUP($C38,BASE01[COD],BASE01[Columna19],"")+_xlfn.XLOOKUP($C38,SEMANA2[COD],SEMANA2[Columna19],"")+_xlfn.XLOOKUP($C38,SEMANA29[COD],SEMANA29[Columna19],""))</f>
        <v>8</v>
      </c>
      <c r="G38" s="294">
        <f t="shared" si="6"/>
        <v>0.29629629629629628</v>
      </c>
      <c r="H38" s="295">
        <f>IF(D38="","",_xlfn.XLOOKUP($C38,BASE01[COD],BASE01[Columna29],"")+_xlfn.XLOOKUP($C38,SEMANA2[COD],SEMANA2[Columna29],"")+_xlfn.XLOOKUP($C38,SEMANA29[COD],SEMANA29[Columna29],""))</f>
        <v>27</v>
      </c>
      <c r="I38" s="295">
        <f>IF(D38="","",_xlfn.XLOOKUP($C38,BASE01[COD],BASE01[Columna30],"")+_xlfn.XLOOKUP($C38,SEMANA2[COD],SEMANA2[Columna30],"")+_xlfn.XLOOKUP($C38,SEMANA29[COD],SEMANA29[Columna30],""))</f>
        <v>13</v>
      </c>
      <c r="J38" s="296">
        <f t="shared" si="7"/>
        <v>0.48148148148148145</v>
      </c>
      <c r="K38" s="297">
        <f>IF(D38="","",_xlfn.XLOOKUP($C38,BASE01[COD],BASE01[Columna32],"")+_xlfn.XLOOKUP($C38,SEMANA2[COD],SEMANA2[Columna32],"")+_xlfn.XLOOKUP($C38,SEMANA29[COD],SEMANA29[Columna32],""))</f>
        <v>27</v>
      </c>
      <c r="L38" s="297">
        <f>IF(D38="","",_xlfn.XLOOKUP($C38,BASE01[COD],BASE01[Columna34],"")+_xlfn.XLOOKUP($C38,SEMANA2[COD],SEMANA2[Columna34],"")+_xlfn.XLOOKUP($C38,SEMANA29[COD],SEMANA29[Columna34],""))</f>
        <v>19</v>
      </c>
      <c r="M38" s="298">
        <f t="shared" si="8"/>
        <v>0.70370370370370372</v>
      </c>
      <c r="N38" s="299">
        <f>IF(D38="","",_xlfn.XLOOKUP($C38,BASE01[COD],BASE01[Columna36],"")+_xlfn.XLOOKUP($C38,SEMANA2[COD],SEMANA2[Columna36],"")+_xlfn.XLOOKUP($C38,SEMANA29[COD],SEMANA29[Columna36],""))</f>
        <v>6</v>
      </c>
      <c r="O38" s="299">
        <f>IF(D38="","",_xlfn.XLOOKUP($C38,BASE01[COD],BASE01[Columna37],"")+_xlfn.XLOOKUP($C38,SEMANA2[COD],SEMANA2[Columna37],"")+_xlfn.XLOOKUP($C38,SEMANA29[COD],SEMANA29[Columna37],""))</f>
        <v>4</v>
      </c>
      <c r="P38" s="300">
        <f t="shared" si="9"/>
        <v>0.66666666666666663</v>
      </c>
      <c r="Q38" s="301">
        <f>_xlfn.XLOOKUP(C38,SEMANA29[COD],SEMANA29[Columna33],"")</f>
        <v>58.5</v>
      </c>
      <c r="R38" s="3"/>
      <c r="U38" s="388" t="str">
        <v>COD 26</v>
      </c>
      <c r="V38" s="388" t="str">
        <f t="shared" si="10"/>
        <v>COD 26</v>
      </c>
    </row>
    <row r="39" spans="1:22" s="388" customFormat="1" ht="23.1" customHeight="1" x14ac:dyDescent="0.35">
      <c r="A39" s="290"/>
      <c r="B39" s="302">
        <f t="shared" si="11"/>
        <v>35</v>
      </c>
      <c r="C39" s="543" t="str">
        <v>COD 12</v>
      </c>
      <c r="D39" s="464">
        <f>_xlfn.XLOOKUP(C39,CODIGOS_Y_PAGOS[CODIGO],CODIGOS_Y_PAGOS[NOMBRE PARTICIPANTE],"")</f>
        <v>0</v>
      </c>
      <c r="E39" s="293">
        <f>IF(D39="","",_xlfn.XLOOKUP($C39,BASE01[COD],BASE01[Columna14],"")+_xlfn.XLOOKUP($C39,SEMANA2[COD],SEMANA2[Columna14],"")+_xlfn.XLOOKUP($C39,SEMANA29[COD],SEMANA29[Columna14],""))</f>
        <v>27</v>
      </c>
      <c r="F39" s="293">
        <f>IF(D39="","",_xlfn.XLOOKUP($C39,BASE01[COD],BASE01[Columna19],"")+_xlfn.XLOOKUP($C39,SEMANA2[COD],SEMANA2[Columna19],"")+_xlfn.XLOOKUP($C39,SEMANA29[COD],SEMANA29[Columna19],""))</f>
        <v>7</v>
      </c>
      <c r="G39" s="294">
        <f t="shared" si="6"/>
        <v>0.25925925925925924</v>
      </c>
      <c r="H39" s="295">
        <f>IF(D39="","",_xlfn.XLOOKUP($C39,BASE01[COD],BASE01[Columna29],"")+_xlfn.XLOOKUP($C39,SEMANA2[COD],SEMANA2[Columna29],"")+_xlfn.XLOOKUP($C39,SEMANA29[COD],SEMANA29[Columna29],""))</f>
        <v>27</v>
      </c>
      <c r="I39" s="295">
        <f>IF(D39="","",_xlfn.XLOOKUP($C39,BASE01[COD],BASE01[Columna30],"")+_xlfn.XLOOKUP($C39,SEMANA2[COD],SEMANA2[Columna30],"")+_xlfn.XLOOKUP($C39,SEMANA29[COD],SEMANA29[Columna30],""))</f>
        <v>15</v>
      </c>
      <c r="J39" s="296">
        <f t="shared" si="7"/>
        <v>0.55555555555555558</v>
      </c>
      <c r="K39" s="297">
        <f>IF(D39="","",_xlfn.XLOOKUP($C39,BASE01[COD],BASE01[Columna32],"")+_xlfn.XLOOKUP($C39,SEMANA2[COD],SEMANA2[Columna32],"")+_xlfn.XLOOKUP($C39,SEMANA29[COD],SEMANA29[Columna32],""))</f>
        <v>27</v>
      </c>
      <c r="L39" s="297">
        <f>IF(D39="","",_xlfn.XLOOKUP($C39,BASE01[COD],BASE01[Columna34],"")+_xlfn.XLOOKUP($C39,SEMANA2[COD],SEMANA2[Columna34],"")+_xlfn.XLOOKUP($C39,SEMANA29[COD],SEMANA29[Columna34],""))</f>
        <v>17</v>
      </c>
      <c r="M39" s="298">
        <f t="shared" si="8"/>
        <v>0.62962962962962965</v>
      </c>
      <c r="N39" s="299">
        <f>IF(D39="","",_xlfn.XLOOKUP($C39,BASE01[COD],BASE01[Columna36],"")+_xlfn.XLOOKUP($C39,SEMANA2[COD],SEMANA2[Columna36],"")+_xlfn.XLOOKUP($C39,SEMANA29[COD],SEMANA29[Columna36],""))</f>
        <v>5</v>
      </c>
      <c r="O39" s="299">
        <f>IF(D39="","",_xlfn.XLOOKUP($C39,BASE01[COD],BASE01[Columna37],"")+_xlfn.XLOOKUP($C39,SEMANA2[COD],SEMANA2[Columna37],"")+_xlfn.XLOOKUP($C39,SEMANA29[COD],SEMANA29[Columna37],""))</f>
        <v>2</v>
      </c>
      <c r="P39" s="300">
        <f t="shared" si="9"/>
        <v>0.4</v>
      </c>
      <c r="Q39" s="301">
        <f>_xlfn.XLOOKUP(C39,SEMANA29[COD],SEMANA29[Columna33],"")</f>
        <v>57.5</v>
      </c>
      <c r="R39" s="3"/>
      <c r="U39" s="388" t="str">
        <v>COD 12</v>
      </c>
      <c r="V39" s="388" t="str">
        <f t="shared" si="10"/>
        <v>COD 12</v>
      </c>
    </row>
    <row r="40" spans="1:22" s="388" customFormat="1" ht="23.1" customHeight="1" x14ac:dyDescent="0.35">
      <c r="A40" s="290"/>
      <c r="B40" s="302">
        <f t="shared" si="11"/>
        <v>36</v>
      </c>
      <c r="C40" s="543" t="str">
        <v>COD 38</v>
      </c>
      <c r="D40" s="464" t="str">
        <f>_xlfn.XLOOKUP(C40,CODIGOS_Y_PAGOS[CODIGO],CODIGOS_Y_PAGOS[NOMBRE PARTICIPANTE],"")</f>
        <v>DERVIN</v>
      </c>
      <c r="E40" s="293">
        <f>IF(D40="","",_xlfn.XLOOKUP($C40,BASE01[COD],BASE01[Columna14],"")+_xlfn.XLOOKUP($C40,SEMANA2[COD],SEMANA2[Columna14],"")+_xlfn.XLOOKUP($C40,SEMANA29[COD],SEMANA29[Columna14],""))</f>
        <v>27</v>
      </c>
      <c r="F40" s="293">
        <f>IF(D40="","",_xlfn.XLOOKUP($C40,BASE01[COD],BASE01[Columna19],"")+_xlfn.XLOOKUP($C40,SEMANA2[COD],SEMANA2[Columna19],"")+_xlfn.XLOOKUP($C40,SEMANA29[COD],SEMANA29[Columna19],""))</f>
        <v>7</v>
      </c>
      <c r="G40" s="294">
        <f t="shared" si="6"/>
        <v>0.25925925925925924</v>
      </c>
      <c r="H40" s="295">
        <f>IF(D40="","",_xlfn.XLOOKUP($C40,BASE01[COD],BASE01[Columna29],"")+_xlfn.XLOOKUP($C40,SEMANA2[COD],SEMANA2[Columna29],"")+_xlfn.XLOOKUP($C40,SEMANA29[COD],SEMANA29[Columna29],""))</f>
        <v>27</v>
      </c>
      <c r="I40" s="295">
        <f>IF(D40="","",_xlfn.XLOOKUP($C40,BASE01[COD],BASE01[Columna30],"")+_xlfn.XLOOKUP($C40,SEMANA2[COD],SEMANA2[Columna30],"")+_xlfn.XLOOKUP($C40,SEMANA29[COD],SEMANA29[Columna30],""))</f>
        <v>12</v>
      </c>
      <c r="J40" s="296">
        <f t="shared" si="7"/>
        <v>0.44444444444444442</v>
      </c>
      <c r="K40" s="297">
        <f>IF(D40="","",_xlfn.XLOOKUP($C40,BASE01[COD],BASE01[Columna32],"")+_xlfn.XLOOKUP($C40,SEMANA2[COD],SEMANA2[Columna32],"")+_xlfn.XLOOKUP($C40,SEMANA29[COD],SEMANA29[Columna32],""))</f>
        <v>27</v>
      </c>
      <c r="L40" s="297">
        <f>IF(D40="","",_xlfn.XLOOKUP($C40,BASE01[COD],BASE01[Columna34],"")+_xlfn.XLOOKUP($C40,SEMANA2[COD],SEMANA2[Columna34],"")+_xlfn.XLOOKUP($C40,SEMANA29[COD],SEMANA29[Columna34],""))</f>
        <v>17</v>
      </c>
      <c r="M40" s="298">
        <f t="shared" si="8"/>
        <v>0.62962962962962965</v>
      </c>
      <c r="N40" s="299">
        <f>IF(D40="","",_xlfn.XLOOKUP($C40,BASE01[COD],BASE01[Columna36],"")+_xlfn.XLOOKUP($C40,SEMANA2[COD],SEMANA2[Columna36],"")+_xlfn.XLOOKUP($C40,SEMANA29[COD],SEMANA29[Columna36],""))</f>
        <v>6</v>
      </c>
      <c r="O40" s="299">
        <f>IF(D40="","",_xlfn.XLOOKUP($C40,BASE01[COD],BASE01[Columna37],"")+_xlfn.XLOOKUP($C40,SEMANA2[COD],SEMANA2[Columna37],"")+_xlfn.XLOOKUP($C40,SEMANA29[COD],SEMANA29[Columna37],""))</f>
        <v>3</v>
      </c>
      <c r="P40" s="300">
        <f t="shared" si="9"/>
        <v>0.5</v>
      </c>
      <c r="Q40" s="301">
        <f>_xlfn.XLOOKUP(C40,SEMANA29[COD],SEMANA29[Columna33],"")</f>
        <v>54.5</v>
      </c>
      <c r="R40" s="3"/>
      <c r="U40" s="388" t="str">
        <v>COD 38</v>
      </c>
      <c r="V40" s="388" t="str">
        <f t="shared" si="10"/>
        <v>COD 38</v>
      </c>
    </row>
    <row r="41" spans="1:22" s="388" customFormat="1" ht="23.1" customHeight="1" x14ac:dyDescent="0.35">
      <c r="A41" s="290"/>
      <c r="B41" s="302">
        <f t="shared" si="11"/>
        <v>37</v>
      </c>
      <c r="C41" s="543" t="str">
        <v>COD 24</v>
      </c>
      <c r="D41" s="464">
        <f>_xlfn.XLOOKUP(C41,CODIGOS_Y_PAGOS[CODIGO],CODIGOS_Y_PAGOS[NOMBRE PARTICIPANTE],"")</f>
        <v>0</v>
      </c>
      <c r="E41" s="293">
        <f>IF(D41="","",_xlfn.XLOOKUP($C41,BASE01[COD],BASE01[Columna14],"")+_xlfn.XLOOKUP($C41,SEMANA2[COD],SEMANA2[Columna14],"")+_xlfn.XLOOKUP($C41,SEMANA29[COD],SEMANA29[Columna14],""))</f>
        <v>27</v>
      </c>
      <c r="F41" s="293">
        <f>IF(D41="","",_xlfn.XLOOKUP($C41,BASE01[COD],BASE01[Columna19],"")+_xlfn.XLOOKUP($C41,SEMANA2[COD],SEMANA2[Columna19],"")+_xlfn.XLOOKUP($C41,SEMANA29[COD],SEMANA29[Columna19],""))</f>
        <v>8</v>
      </c>
      <c r="G41" s="294">
        <f t="shared" si="6"/>
        <v>0.29629629629629628</v>
      </c>
      <c r="H41" s="295">
        <f>IF(D41="","",_xlfn.XLOOKUP($C41,BASE01[COD],BASE01[Columna29],"")+_xlfn.XLOOKUP($C41,SEMANA2[COD],SEMANA2[Columna29],"")+_xlfn.XLOOKUP($C41,SEMANA29[COD],SEMANA29[Columna29],""))</f>
        <v>27</v>
      </c>
      <c r="I41" s="295">
        <f>IF(D41="","",_xlfn.XLOOKUP($C41,BASE01[COD],BASE01[Columna30],"")+_xlfn.XLOOKUP($C41,SEMANA2[COD],SEMANA2[Columna30],"")+_xlfn.XLOOKUP($C41,SEMANA29[COD],SEMANA29[Columna30],""))</f>
        <v>12</v>
      </c>
      <c r="J41" s="296">
        <f t="shared" si="7"/>
        <v>0.44444444444444442</v>
      </c>
      <c r="K41" s="297">
        <f>IF(D41="","",_xlfn.XLOOKUP($C41,BASE01[COD],BASE01[Columna32],"")+_xlfn.XLOOKUP($C41,SEMANA2[COD],SEMANA2[Columna32],"")+_xlfn.XLOOKUP($C41,SEMANA29[COD],SEMANA29[Columna32],""))</f>
        <v>27</v>
      </c>
      <c r="L41" s="297">
        <f>IF(D41="","",_xlfn.XLOOKUP($C41,BASE01[COD],BASE01[Columna34],"")+_xlfn.XLOOKUP($C41,SEMANA2[COD],SEMANA2[Columna34],"")+_xlfn.XLOOKUP($C41,SEMANA29[COD],SEMANA29[Columna34],""))</f>
        <v>15</v>
      </c>
      <c r="M41" s="298">
        <f t="shared" si="8"/>
        <v>0.55555555555555558</v>
      </c>
      <c r="N41" s="299">
        <f>IF(D41="","",_xlfn.XLOOKUP($C41,BASE01[COD],BASE01[Columna36],"")+_xlfn.XLOOKUP($C41,SEMANA2[COD],SEMANA2[Columna36],"")+_xlfn.XLOOKUP($C41,SEMANA29[COD],SEMANA29[Columna36],""))</f>
        <v>6</v>
      </c>
      <c r="O41" s="299">
        <f>IF(D41="","",_xlfn.XLOOKUP($C41,BASE01[COD],BASE01[Columna37],"")+_xlfn.XLOOKUP($C41,SEMANA2[COD],SEMANA2[Columna37],"")+_xlfn.XLOOKUP($C41,SEMANA29[COD],SEMANA29[Columna37],""))</f>
        <v>4</v>
      </c>
      <c r="P41" s="300">
        <f t="shared" si="9"/>
        <v>0.66666666666666663</v>
      </c>
      <c r="Q41" s="301">
        <f>_xlfn.XLOOKUP(C41,SEMANA29[COD],SEMANA29[Columna33],"")</f>
        <v>53.5</v>
      </c>
      <c r="R41" s="3"/>
      <c r="U41" s="388" t="str">
        <v>COD 24</v>
      </c>
      <c r="V41" s="388" t="str">
        <f t="shared" si="10"/>
        <v>COD 24</v>
      </c>
    </row>
    <row r="42" spans="1:22" s="388" customFormat="1" ht="23.1" customHeight="1" x14ac:dyDescent="0.35">
      <c r="A42" s="290"/>
      <c r="B42" s="302">
        <f t="shared" si="11"/>
        <v>38</v>
      </c>
      <c r="C42" s="543" t="str">
        <v>COD 30</v>
      </c>
      <c r="D42" s="464" t="str">
        <f>_xlfn.XLOOKUP(C42,CODIGOS_Y_PAGOS[CODIGO],CODIGOS_Y_PAGOS[NOMBRE PARTICIPANTE],"")</f>
        <v>CARIACO</v>
      </c>
      <c r="E42" s="293">
        <f>IF(D42="","",_xlfn.XLOOKUP($C42,BASE01[COD],BASE01[Columna14],"")+_xlfn.XLOOKUP($C42,SEMANA2[COD],SEMANA2[Columna14],"")+_xlfn.XLOOKUP($C42,SEMANA29[COD],SEMANA29[Columna14],""))</f>
        <v>27</v>
      </c>
      <c r="F42" s="293">
        <f>IF(D42="","",_xlfn.XLOOKUP($C42,BASE01[COD],BASE01[Columna19],"")+_xlfn.XLOOKUP($C42,SEMANA2[COD],SEMANA2[Columna19],"")+_xlfn.XLOOKUP($C42,SEMANA29[COD],SEMANA29[Columna19],""))</f>
        <v>5</v>
      </c>
      <c r="G42" s="294">
        <f t="shared" si="6"/>
        <v>0.18518518518518517</v>
      </c>
      <c r="H42" s="295">
        <f>IF(D42="","",_xlfn.XLOOKUP($C42,BASE01[COD],BASE01[Columna29],"")+_xlfn.XLOOKUP($C42,SEMANA2[COD],SEMANA2[Columna29],"")+_xlfn.XLOOKUP($C42,SEMANA29[COD],SEMANA29[Columna29],""))</f>
        <v>27</v>
      </c>
      <c r="I42" s="295">
        <f>IF(D42="","",_xlfn.XLOOKUP($C42,BASE01[COD],BASE01[Columna30],"")+_xlfn.XLOOKUP($C42,SEMANA2[COD],SEMANA2[Columna30],"")+_xlfn.XLOOKUP($C42,SEMANA29[COD],SEMANA29[Columna30],""))</f>
        <v>12</v>
      </c>
      <c r="J42" s="296">
        <f t="shared" si="7"/>
        <v>0.44444444444444442</v>
      </c>
      <c r="K42" s="297">
        <f>IF(D42="","",_xlfn.XLOOKUP($C42,BASE01[COD],BASE01[Columna32],"")+_xlfn.XLOOKUP($C42,SEMANA2[COD],SEMANA2[Columna32],"")+_xlfn.XLOOKUP($C42,SEMANA29[COD],SEMANA29[Columna32],""))</f>
        <v>27</v>
      </c>
      <c r="L42" s="297">
        <f>IF(D42="","",_xlfn.XLOOKUP($C42,BASE01[COD],BASE01[Columna34],"")+_xlfn.XLOOKUP($C42,SEMANA2[COD],SEMANA2[Columna34],"")+_xlfn.XLOOKUP($C42,SEMANA29[COD],SEMANA29[Columna34],""))</f>
        <v>17</v>
      </c>
      <c r="M42" s="298">
        <f t="shared" si="8"/>
        <v>0.62962962962962965</v>
      </c>
      <c r="N42" s="299">
        <f>IF(D42="","",_xlfn.XLOOKUP($C42,BASE01[COD],BASE01[Columna36],"")+_xlfn.XLOOKUP($C42,SEMANA2[COD],SEMANA2[Columna36],"")+_xlfn.XLOOKUP($C42,SEMANA29[COD],SEMANA29[Columna36],""))</f>
        <v>6</v>
      </c>
      <c r="O42" s="299">
        <f>IF(D42="","",_xlfn.XLOOKUP($C42,BASE01[COD],BASE01[Columna37],"")+_xlfn.XLOOKUP($C42,SEMANA2[COD],SEMANA2[Columna37],"")+_xlfn.XLOOKUP($C42,SEMANA29[COD],SEMANA29[Columna37],""))</f>
        <v>3</v>
      </c>
      <c r="P42" s="300">
        <f t="shared" si="9"/>
        <v>0.5</v>
      </c>
      <c r="Q42" s="301">
        <f>_xlfn.XLOOKUP(C42,SEMANA29[COD],SEMANA29[Columna33],"")</f>
        <v>46.5</v>
      </c>
      <c r="R42" s="3"/>
      <c r="U42" s="388" t="str">
        <v>COD 30</v>
      </c>
      <c r="V42" s="388" t="str">
        <f t="shared" si="10"/>
        <v>COD 30</v>
      </c>
    </row>
    <row r="43" spans="1:22" s="388" customFormat="1" ht="23.1" customHeight="1" x14ac:dyDescent="0.35">
      <c r="A43" s="290"/>
      <c r="B43" s="302">
        <f t="shared" si="11"/>
        <v>39</v>
      </c>
      <c r="C43" s="543" t="str">
        <v>COD 39</v>
      </c>
      <c r="D43" s="464" t="str">
        <f>_xlfn.XLOOKUP(C43,CODIGOS_Y_PAGOS[CODIGO],CODIGOS_Y_PAGOS[NOMBRE PARTICIPANTE],"")</f>
        <v>EL TAMAO</v>
      </c>
      <c r="E43" s="293">
        <f>IF(D43="","",_xlfn.XLOOKUP($C43,BASE01[COD],BASE01[Columna14],"")+_xlfn.XLOOKUP($C43,SEMANA2[COD],SEMANA2[Columna14],"")+_xlfn.XLOOKUP($C43,SEMANA29[COD],SEMANA29[Columna14],""))</f>
        <v>14</v>
      </c>
      <c r="F43" s="293">
        <f>IF(D43="","",_xlfn.XLOOKUP($C43,BASE01[COD],BASE01[Columna19],"")+_xlfn.XLOOKUP($C43,SEMANA2[COD],SEMANA2[Columna19],"")+_xlfn.XLOOKUP($C43,SEMANA29[COD],SEMANA29[Columna19],""))</f>
        <v>3</v>
      </c>
      <c r="G43" s="294">
        <f t="shared" si="6"/>
        <v>0.21428571428571427</v>
      </c>
      <c r="H43" s="295">
        <f>IF(D43="","",_xlfn.XLOOKUP($C43,BASE01[COD],BASE01[Columna29],"")+_xlfn.XLOOKUP($C43,SEMANA2[COD],SEMANA2[Columna29],"")+_xlfn.XLOOKUP($C43,SEMANA29[COD],SEMANA29[Columna29],""))</f>
        <v>14</v>
      </c>
      <c r="I43" s="295">
        <f>IF(D43="","",_xlfn.XLOOKUP($C43,BASE01[COD],BASE01[Columna30],"")+_xlfn.XLOOKUP($C43,SEMANA2[COD],SEMANA2[Columna30],"")+_xlfn.XLOOKUP($C43,SEMANA29[COD],SEMANA29[Columna30],""))</f>
        <v>4</v>
      </c>
      <c r="J43" s="296">
        <f t="shared" si="7"/>
        <v>0.2857142857142857</v>
      </c>
      <c r="K43" s="297">
        <f>IF(D43="","",_xlfn.XLOOKUP($C43,BASE01[COD],BASE01[Columna32],"")+_xlfn.XLOOKUP($C43,SEMANA2[COD],SEMANA2[Columna32],"")+_xlfn.XLOOKUP($C43,SEMANA29[COD],SEMANA29[Columna32],""))</f>
        <v>14</v>
      </c>
      <c r="L43" s="297">
        <f>IF(D43="","",_xlfn.XLOOKUP($C43,BASE01[COD],BASE01[Columna34],"")+_xlfn.XLOOKUP($C43,SEMANA2[COD],SEMANA2[Columna34],"")+_xlfn.XLOOKUP($C43,SEMANA29[COD],SEMANA29[Columna34],""))</f>
        <v>7</v>
      </c>
      <c r="M43" s="298">
        <f t="shared" si="8"/>
        <v>0.5</v>
      </c>
      <c r="N43" s="299">
        <f>IF(D43="","",_xlfn.XLOOKUP($C43,BASE01[COD],BASE01[Columna36],"")+_xlfn.XLOOKUP($C43,SEMANA2[COD],SEMANA2[Columna36],"")+_xlfn.XLOOKUP($C43,SEMANA29[COD],SEMANA29[Columna36],""))</f>
        <v>3</v>
      </c>
      <c r="O43" s="299">
        <f>IF(D43="","",_xlfn.XLOOKUP($C43,BASE01[COD],BASE01[Columna37],"")+_xlfn.XLOOKUP($C43,SEMANA2[COD],SEMANA2[Columna37],"")+_xlfn.XLOOKUP($C43,SEMANA29[COD],SEMANA29[Columna37],""))</f>
        <v>1</v>
      </c>
      <c r="P43" s="300">
        <f t="shared" si="9"/>
        <v>0.33333333333333331</v>
      </c>
      <c r="Q43" s="301">
        <f>_xlfn.XLOOKUP(C43,SEMANA29[COD],SEMANA29[Columna33],"")</f>
        <v>18.5</v>
      </c>
      <c r="R43" s="3"/>
      <c r="U43" s="388" t="str">
        <v>COD 39</v>
      </c>
      <c r="V43" s="388" t="str">
        <f t="shared" si="10"/>
        <v>COD 39</v>
      </c>
    </row>
    <row r="44" spans="1:22" s="388" customFormat="1" ht="23.1" customHeight="1" outlineLevel="1" x14ac:dyDescent="0.35">
      <c r="A44" s="290"/>
      <c r="B44" s="302">
        <f t="shared" si="11"/>
        <v>40</v>
      </c>
      <c r="C44" s="543" t="str">
        <v>COD 40</v>
      </c>
      <c r="D44" s="292" t="str">
        <f>_xlfn.XLOOKUP(C44,CODIGOS_Y_PAGOS[CODIGO],CODIGOS_Y_PAGOS[NOMBRE PARTICIPANTE],"")</f>
        <v>FRED</v>
      </c>
      <c r="E44" s="293">
        <f>IF(D44="","",_xlfn.XLOOKUP($C44,BASE01[COD],BASE01[Columna14],"")+_xlfn.XLOOKUP($C44,SEMANA2[COD],SEMANA2[Columna14],"")+_xlfn.XLOOKUP($C44,SEMANA29[COD],SEMANA29[Columna14],""))</f>
        <v>0</v>
      </c>
      <c r="F44" s="293">
        <f>IF(D44="","",_xlfn.XLOOKUP($C44,BASE01[COD],BASE01[Columna19],"")+_xlfn.XLOOKUP($C44,SEMANA2[COD],SEMANA2[Columna19],"")+_xlfn.XLOOKUP($C44,SEMANA29[COD],SEMANA29[Columna19],""))</f>
        <v>0</v>
      </c>
      <c r="G44" s="294" t="str">
        <f t="shared" si="6"/>
        <v/>
      </c>
      <c r="H44" s="295">
        <f>IF(D44="","",_xlfn.XLOOKUP($C44,BASE01[COD],BASE01[Columna29],"")+_xlfn.XLOOKUP($C44,SEMANA2[COD],SEMANA2[Columna29],"")+_xlfn.XLOOKUP($C44,SEMANA29[COD],SEMANA29[Columna29],""))</f>
        <v>0</v>
      </c>
      <c r="I44" s="295">
        <f>IF(D44="","",_xlfn.XLOOKUP($C44,BASE01[COD],BASE01[Columna30],"")+_xlfn.XLOOKUP($C44,SEMANA2[COD],SEMANA2[Columna30],"")+_xlfn.XLOOKUP($C44,SEMANA29[COD],SEMANA29[Columna30],""))</f>
        <v>0</v>
      </c>
      <c r="J44" s="296" t="str">
        <f t="shared" si="7"/>
        <v/>
      </c>
      <c r="K44" s="297">
        <f>IF(D44="","",_xlfn.XLOOKUP($C44,BASE01[COD],BASE01[Columna32],"")+_xlfn.XLOOKUP($C44,SEMANA2[COD],SEMANA2[Columna32],"")+_xlfn.XLOOKUP($C44,SEMANA29[COD],SEMANA29[Columna32],""))</f>
        <v>0</v>
      </c>
      <c r="L44" s="297">
        <f>IF(D44="","",_xlfn.XLOOKUP($C44,BASE01[COD],BASE01[Columna34],"")+_xlfn.XLOOKUP($C44,SEMANA2[COD],SEMANA2[Columna34],"")+_xlfn.XLOOKUP($C44,SEMANA29[COD],SEMANA29[Columna34],""))</f>
        <v>0</v>
      </c>
      <c r="M44" s="298" t="str">
        <f t="shared" si="8"/>
        <v/>
      </c>
      <c r="N44" s="299">
        <f>IF(D44="","",_xlfn.XLOOKUP($C44,BASE01[COD],BASE01[Columna36],"")+_xlfn.XLOOKUP($C44,SEMANA2[COD],SEMANA2[Columna36],"")+_xlfn.XLOOKUP($C44,SEMANA29[COD],SEMANA29[Columna36],""))</f>
        <v>0</v>
      </c>
      <c r="O44" s="299">
        <f>IF(D44="","",_xlfn.XLOOKUP($C44,BASE01[COD],BASE01[Columna37],"")+_xlfn.XLOOKUP($C44,SEMANA2[COD],SEMANA2[Columna37],"")+_xlfn.XLOOKUP($C44,SEMANA29[COD],SEMANA29[Columna37],""))</f>
        <v>0</v>
      </c>
      <c r="P44" s="300">
        <f t="shared" si="9"/>
        <v>0</v>
      </c>
      <c r="Q44" s="301">
        <f>_xlfn.XLOOKUP(C44,SEMANA29[COD],SEMANA29[Columna33],"")</f>
        <v>0</v>
      </c>
      <c r="R44" s="3"/>
      <c r="U44" s="388" t="str">
        <v>COD 40</v>
      </c>
      <c r="V44" s="388" t="str">
        <f t="shared" si="10"/>
        <v>COD 40</v>
      </c>
    </row>
    <row r="45" spans="1:22" s="388" customFormat="1" ht="23.1" customHeight="1" outlineLevel="1" x14ac:dyDescent="0.35">
      <c r="A45" s="290"/>
      <c r="B45" s="302">
        <f t="shared" si="11"/>
        <v>41</v>
      </c>
      <c r="C45" s="543" t="str">
        <v>COD 41</v>
      </c>
      <c r="D45" s="292" t="str">
        <f>_xlfn.XLOOKUP(C45,CODIGOS_Y_PAGOS[CODIGO],CODIGOS_Y_PAGOS[NOMBRE PARTICIPANTE],"")</f>
        <v>ENRIQUE LEFEBRE</v>
      </c>
      <c r="E45" s="293">
        <f>IF(D45="","",_xlfn.XLOOKUP($C45,BASE01[COD],BASE01[Columna14],"")+_xlfn.XLOOKUP($C45,SEMANA2[COD],SEMANA2[Columna14],"")+_xlfn.XLOOKUP($C45,SEMANA29[COD],SEMANA29[Columna14],""))</f>
        <v>0</v>
      </c>
      <c r="F45" s="293">
        <f>IF(D45="","",_xlfn.XLOOKUP($C45,BASE01[COD],BASE01[Columna19],"")+_xlfn.XLOOKUP($C45,SEMANA2[COD],SEMANA2[Columna19],"")+_xlfn.XLOOKUP($C45,SEMANA29[COD],SEMANA29[Columna19],""))</f>
        <v>0</v>
      </c>
      <c r="G45" s="294" t="str">
        <f t="shared" si="6"/>
        <v/>
      </c>
      <c r="H45" s="295">
        <f>IF(D45="","",_xlfn.XLOOKUP($C45,BASE01[COD],BASE01[Columna29],"")+_xlfn.XLOOKUP($C45,SEMANA2[COD],SEMANA2[Columna29],"")+_xlfn.XLOOKUP($C45,SEMANA29[COD],SEMANA29[Columna29],""))</f>
        <v>0</v>
      </c>
      <c r="I45" s="295">
        <f>IF(D45="","",_xlfn.XLOOKUP($C45,BASE01[COD],BASE01[Columna30],"")+_xlfn.XLOOKUP($C45,SEMANA2[COD],SEMANA2[Columna30],"")+_xlfn.XLOOKUP($C45,SEMANA29[COD],SEMANA29[Columna30],""))</f>
        <v>0</v>
      </c>
      <c r="J45" s="296" t="str">
        <f t="shared" si="7"/>
        <v/>
      </c>
      <c r="K45" s="297">
        <f>IF(D45="","",_xlfn.XLOOKUP($C45,BASE01[COD],BASE01[Columna32],"")+_xlfn.XLOOKUP($C45,SEMANA2[COD],SEMANA2[Columna32],"")+_xlfn.XLOOKUP($C45,SEMANA29[COD],SEMANA29[Columna32],""))</f>
        <v>0</v>
      </c>
      <c r="L45" s="297">
        <f>IF(D45="","",_xlfn.XLOOKUP($C45,BASE01[COD],BASE01[Columna34],"")+_xlfn.XLOOKUP($C45,SEMANA2[COD],SEMANA2[Columna34],"")+_xlfn.XLOOKUP($C45,SEMANA29[COD],SEMANA29[Columna34],""))</f>
        <v>0</v>
      </c>
      <c r="M45" s="298" t="str">
        <f t="shared" si="8"/>
        <v/>
      </c>
      <c r="N45" s="299">
        <f>IF(D45="","",_xlfn.XLOOKUP($C45,BASE01[COD],BASE01[Columna36],"")+_xlfn.XLOOKUP($C45,SEMANA2[COD],SEMANA2[Columna36],"")+_xlfn.XLOOKUP($C45,SEMANA29[COD],SEMANA29[Columna36],""))</f>
        <v>0</v>
      </c>
      <c r="O45" s="299">
        <f>IF(D45="","",_xlfn.XLOOKUP($C45,BASE01[COD],BASE01[Columna37],"")+_xlfn.XLOOKUP($C45,SEMANA2[COD],SEMANA2[Columna37],"")+_xlfn.XLOOKUP($C45,SEMANA29[COD],SEMANA29[Columna37],""))</f>
        <v>0</v>
      </c>
      <c r="P45" s="300">
        <f t="shared" si="9"/>
        <v>0</v>
      </c>
      <c r="Q45" s="301">
        <f>_xlfn.XLOOKUP(C45,SEMANA29[COD],SEMANA29[Columna33],"")</f>
        <v>0</v>
      </c>
      <c r="R45" s="3"/>
      <c r="U45" s="388" t="str">
        <v>COD 41</v>
      </c>
      <c r="V45" s="388" t="str">
        <f t="shared" si="10"/>
        <v>COD 41</v>
      </c>
    </row>
    <row r="46" spans="1:22" s="388" customFormat="1" ht="23.1" customHeight="1" outlineLevel="1" x14ac:dyDescent="0.35">
      <c r="A46" s="290"/>
      <c r="B46" s="302">
        <f t="shared" si="11"/>
        <v>42</v>
      </c>
      <c r="C46" s="543" t="str">
        <v>COD 42</v>
      </c>
      <c r="D46" s="292">
        <f>_xlfn.XLOOKUP(C46,CODIGOS_Y_PAGOS[CODIGO],CODIGOS_Y_PAGOS[NOMBRE PARTICIPANTE],"")</f>
        <v>0</v>
      </c>
      <c r="E46" s="293">
        <f>IF(D46="","",_xlfn.XLOOKUP($C46,BASE01[COD],BASE01[Columna14],"")+_xlfn.XLOOKUP($C46,SEMANA2[COD],SEMANA2[Columna14],"")+_xlfn.XLOOKUP($C46,SEMANA29[COD],SEMANA29[Columna14],""))</f>
        <v>0</v>
      </c>
      <c r="F46" s="293">
        <f>IF(D46="","",_xlfn.XLOOKUP($C46,BASE01[COD],BASE01[Columna19],"")+_xlfn.XLOOKUP($C46,SEMANA2[COD],SEMANA2[Columna19],"")+_xlfn.XLOOKUP($C46,SEMANA29[COD],SEMANA29[Columna19],""))</f>
        <v>0</v>
      </c>
      <c r="G46" s="294" t="str">
        <f t="shared" si="6"/>
        <v/>
      </c>
      <c r="H46" s="295">
        <f>IF(D46="","",_xlfn.XLOOKUP($C46,BASE01[COD],BASE01[Columna29],"")+_xlfn.XLOOKUP($C46,SEMANA2[COD],SEMANA2[Columna29],"")+_xlfn.XLOOKUP($C46,SEMANA29[COD],SEMANA29[Columna29],""))</f>
        <v>0</v>
      </c>
      <c r="I46" s="295">
        <f>IF(D46="","",_xlfn.XLOOKUP($C46,BASE01[COD],BASE01[Columna30],"")+_xlfn.XLOOKUP($C46,SEMANA2[COD],SEMANA2[Columna30],"")+_xlfn.XLOOKUP($C46,SEMANA29[COD],SEMANA29[Columna30],""))</f>
        <v>0</v>
      </c>
      <c r="J46" s="296" t="str">
        <f t="shared" si="7"/>
        <v/>
      </c>
      <c r="K46" s="297">
        <f>IF(D46="","",_xlfn.XLOOKUP($C46,BASE01[COD],BASE01[Columna32],"")+_xlfn.XLOOKUP($C46,SEMANA2[COD],SEMANA2[Columna32],"")+_xlfn.XLOOKUP($C46,SEMANA29[COD],SEMANA29[Columna32],""))</f>
        <v>0</v>
      </c>
      <c r="L46" s="297">
        <f>IF(D46="","",_xlfn.XLOOKUP($C46,BASE01[COD],BASE01[Columna34],"")+_xlfn.XLOOKUP($C46,SEMANA2[COD],SEMANA2[Columna34],"")+_xlfn.XLOOKUP($C46,SEMANA29[COD],SEMANA29[Columna34],""))</f>
        <v>0</v>
      </c>
      <c r="M46" s="298" t="str">
        <f t="shared" si="8"/>
        <v/>
      </c>
      <c r="N46" s="299">
        <f>IF(D46="","",_xlfn.XLOOKUP($C46,BASE01[COD],BASE01[Columna36],"")+_xlfn.XLOOKUP($C46,SEMANA2[COD],SEMANA2[Columna36],"")+_xlfn.XLOOKUP($C46,SEMANA29[COD],SEMANA29[Columna36],""))</f>
        <v>0</v>
      </c>
      <c r="O46" s="299">
        <f>IF(D46="","",_xlfn.XLOOKUP($C46,BASE01[COD],BASE01[Columna37],"")+_xlfn.XLOOKUP($C46,SEMANA2[COD],SEMANA2[Columna37],"")+_xlfn.XLOOKUP($C46,SEMANA29[COD],SEMANA29[Columna37],""))</f>
        <v>0</v>
      </c>
      <c r="P46" s="300">
        <f t="shared" si="9"/>
        <v>0</v>
      </c>
      <c r="Q46" s="301">
        <f>_xlfn.XLOOKUP(C46,SEMANA29[COD],SEMANA29[Columna33],"")</f>
        <v>0</v>
      </c>
      <c r="R46" s="3"/>
      <c r="U46" s="388" t="str">
        <v>COD 42</v>
      </c>
      <c r="V46" s="388" t="str">
        <f t="shared" si="10"/>
        <v>COD 42</v>
      </c>
    </row>
    <row r="47" spans="1:22" s="388" customFormat="1" ht="23.1" customHeight="1" outlineLevel="1" x14ac:dyDescent="0.35">
      <c r="A47" s="290"/>
      <c r="B47" s="304">
        <f t="shared" si="11"/>
        <v>43</v>
      </c>
      <c r="C47" s="543" t="str">
        <v>COD 43</v>
      </c>
      <c r="D47" s="292">
        <f>_xlfn.XLOOKUP(C47,CODIGOS_Y_PAGOS[CODIGO],CODIGOS_Y_PAGOS[NOMBRE PARTICIPANTE],"")</f>
        <v>0</v>
      </c>
      <c r="E47" s="293">
        <f>IF(D47="","",_xlfn.XLOOKUP($C47,BASE01[COD],BASE01[Columna14],"")+_xlfn.XLOOKUP($C47,SEMANA2[COD],SEMANA2[Columna14],"")+_xlfn.XLOOKUP($C47,SEMANA29[COD],SEMANA29[Columna14],""))</f>
        <v>0</v>
      </c>
      <c r="F47" s="293">
        <f>IF(D47="","",_xlfn.XLOOKUP($C47,BASE01[COD],BASE01[Columna19],"")+_xlfn.XLOOKUP($C47,SEMANA2[COD],SEMANA2[Columna19],"")+_xlfn.XLOOKUP($C47,SEMANA29[COD],SEMANA29[Columna19],""))</f>
        <v>0</v>
      </c>
      <c r="G47" s="294" t="str">
        <f t="shared" si="6"/>
        <v/>
      </c>
      <c r="H47" s="295">
        <f>IF(D47="","",_xlfn.XLOOKUP($C47,BASE01[COD],BASE01[Columna29],"")+_xlfn.XLOOKUP($C47,SEMANA2[COD],SEMANA2[Columna29],"")+_xlfn.XLOOKUP($C47,SEMANA29[COD],SEMANA29[Columna29],""))</f>
        <v>0</v>
      </c>
      <c r="I47" s="295">
        <f>IF(D47="","",_xlfn.XLOOKUP($C47,BASE01[COD],BASE01[Columna30],"")+_xlfn.XLOOKUP($C47,SEMANA2[COD],SEMANA2[Columna30],"")+_xlfn.XLOOKUP($C47,SEMANA29[COD],SEMANA29[Columna30],""))</f>
        <v>0</v>
      </c>
      <c r="J47" s="296" t="str">
        <f t="shared" si="7"/>
        <v/>
      </c>
      <c r="K47" s="297">
        <f>IF(D47="","",_xlfn.XLOOKUP($C47,BASE01[COD],BASE01[Columna32],"")+_xlfn.XLOOKUP($C47,SEMANA2[COD],SEMANA2[Columna32],"")+_xlfn.XLOOKUP($C47,SEMANA29[COD],SEMANA29[Columna32],""))</f>
        <v>0</v>
      </c>
      <c r="L47" s="297">
        <f>IF(D47="","",_xlfn.XLOOKUP($C47,BASE01[COD],BASE01[Columna34],"")+_xlfn.XLOOKUP($C47,SEMANA2[COD],SEMANA2[Columna34],"")+_xlfn.XLOOKUP($C47,SEMANA29[COD],SEMANA29[Columna34],""))</f>
        <v>0</v>
      </c>
      <c r="M47" s="298" t="str">
        <f t="shared" si="8"/>
        <v/>
      </c>
      <c r="N47" s="299">
        <f>IF(D47="","",_xlfn.XLOOKUP($C47,BASE01[COD],BASE01[Columna36],"")+_xlfn.XLOOKUP($C47,SEMANA2[COD],SEMANA2[Columna36],"")+_xlfn.XLOOKUP($C47,SEMANA29[COD],SEMANA29[Columna36],""))</f>
        <v>0</v>
      </c>
      <c r="O47" s="299">
        <f>IF(D47="","",_xlfn.XLOOKUP($C47,BASE01[COD],BASE01[Columna37],"")+_xlfn.XLOOKUP($C47,SEMANA2[COD],SEMANA2[Columna37],"")+_xlfn.XLOOKUP($C47,SEMANA29[COD],SEMANA29[Columna37],""))</f>
        <v>0</v>
      </c>
      <c r="P47" s="300">
        <f t="shared" si="9"/>
        <v>0</v>
      </c>
      <c r="Q47" s="301">
        <f>_xlfn.XLOOKUP(C47,SEMANA29[COD],SEMANA29[Columna33],"")</f>
        <v>0</v>
      </c>
      <c r="R47" s="3"/>
      <c r="U47" s="388" t="str">
        <v>COD 43</v>
      </c>
      <c r="V47" s="388" t="str">
        <f t="shared" si="10"/>
        <v>COD 43</v>
      </c>
    </row>
    <row r="48" spans="1:22" s="388" customFormat="1" ht="23.1" customHeight="1" outlineLevel="1" x14ac:dyDescent="0.35">
      <c r="A48" s="290"/>
      <c r="B48" s="304">
        <f t="shared" si="11"/>
        <v>44</v>
      </c>
      <c r="C48" s="543" t="str">
        <v>COD 44</v>
      </c>
      <c r="D48" s="292">
        <f>_xlfn.XLOOKUP(C48,CODIGOS_Y_PAGOS[CODIGO],CODIGOS_Y_PAGOS[NOMBRE PARTICIPANTE],"")</f>
        <v>0</v>
      </c>
      <c r="E48" s="293">
        <f>IF(D48="","",_xlfn.XLOOKUP($C48,BASE01[COD],BASE01[Columna14],"")+_xlfn.XLOOKUP($C48,SEMANA2[COD],SEMANA2[Columna14],"")+_xlfn.XLOOKUP($C48,SEMANA29[COD],SEMANA29[Columna14],""))</f>
        <v>0</v>
      </c>
      <c r="F48" s="293">
        <f>IF(D48="","",_xlfn.XLOOKUP($C48,BASE01[COD],BASE01[Columna19],"")+_xlfn.XLOOKUP($C48,SEMANA2[COD],SEMANA2[Columna19],"")+_xlfn.XLOOKUP($C48,SEMANA29[COD],SEMANA29[Columna19],""))</f>
        <v>0</v>
      </c>
      <c r="G48" s="294" t="str">
        <f t="shared" si="6"/>
        <v/>
      </c>
      <c r="H48" s="295">
        <f>IF(D48="","",_xlfn.XLOOKUP($C48,BASE01[COD],BASE01[Columna29],"")+_xlfn.XLOOKUP($C48,SEMANA2[COD],SEMANA2[Columna29],"")+_xlfn.XLOOKUP($C48,SEMANA29[COD],SEMANA29[Columna29],""))</f>
        <v>0</v>
      </c>
      <c r="I48" s="295">
        <f>IF(D48="","",_xlfn.XLOOKUP($C48,BASE01[COD],BASE01[Columna30],"")+_xlfn.XLOOKUP($C48,SEMANA2[COD],SEMANA2[Columna30],"")+_xlfn.XLOOKUP($C48,SEMANA29[COD],SEMANA29[Columna30],""))</f>
        <v>0</v>
      </c>
      <c r="J48" s="296" t="str">
        <f t="shared" si="7"/>
        <v/>
      </c>
      <c r="K48" s="297">
        <f>IF(D48="","",_xlfn.XLOOKUP($C48,BASE01[COD],BASE01[Columna32],"")+_xlfn.XLOOKUP($C48,SEMANA2[COD],SEMANA2[Columna32],"")+_xlfn.XLOOKUP($C48,SEMANA29[COD],SEMANA29[Columna32],""))</f>
        <v>0</v>
      </c>
      <c r="L48" s="297">
        <f>IF(D48="","",_xlfn.XLOOKUP($C48,BASE01[COD],BASE01[Columna34],"")+_xlfn.XLOOKUP($C48,SEMANA2[COD],SEMANA2[Columna34],"")+_xlfn.XLOOKUP($C48,SEMANA29[COD],SEMANA29[Columna34],""))</f>
        <v>0</v>
      </c>
      <c r="M48" s="298" t="str">
        <f t="shared" si="8"/>
        <v/>
      </c>
      <c r="N48" s="299">
        <f>IF(D48="","",_xlfn.XLOOKUP($C48,BASE01[COD],BASE01[Columna36],"")+_xlfn.XLOOKUP($C48,SEMANA2[COD],SEMANA2[Columna36],"")+_xlfn.XLOOKUP($C48,SEMANA29[COD],SEMANA29[Columna36],""))</f>
        <v>0</v>
      </c>
      <c r="O48" s="299">
        <f>IF(D48="","",_xlfn.XLOOKUP($C48,BASE01[COD],BASE01[Columna37],"")+_xlfn.XLOOKUP($C48,SEMANA2[COD],SEMANA2[Columna37],"")+_xlfn.XLOOKUP($C48,SEMANA29[COD],SEMANA29[Columna37],""))</f>
        <v>0</v>
      </c>
      <c r="P48" s="300">
        <f t="shared" si="9"/>
        <v>0</v>
      </c>
      <c r="Q48" s="301">
        <f>_xlfn.XLOOKUP(C48,SEMANA29[COD],SEMANA29[Columna33],"")</f>
        <v>0</v>
      </c>
      <c r="R48" s="3"/>
      <c r="U48" s="388" t="str">
        <v>COD 44</v>
      </c>
      <c r="V48" s="388" t="str">
        <f t="shared" si="10"/>
        <v>COD 44</v>
      </c>
    </row>
    <row r="49" spans="1:22" s="388" customFormat="1" ht="23.1" customHeight="1" outlineLevel="1" x14ac:dyDescent="0.35">
      <c r="A49" s="290"/>
      <c r="B49" s="304">
        <f t="shared" si="11"/>
        <v>45</v>
      </c>
      <c r="C49" s="543" t="str">
        <v>COD 45</v>
      </c>
      <c r="D49" s="292" t="str">
        <f>_xlfn.XLOOKUP(C49,CODIGOS_Y_PAGOS[CODIGO],CODIGOS_Y_PAGOS[NOMBRE PARTICIPANTE],"")</f>
        <v>GUADIZMI</v>
      </c>
      <c r="E49" s="293">
        <f>IF(D49="","",_xlfn.XLOOKUP($C49,BASE01[COD],BASE01[Columna14],"")+_xlfn.XLOOKUP($C49,SEMANA2[COD],SEMANA2[Columna14],"")+_xlfn.XLOOKUP($C49,SEMANA29[COD],SEMANA29[Columna14],""))</f>
        <v>0</v>
      </c>
      <c r="F49" s="293">
        <f>IF(D49="","",_xlfn.XLOOKUP($C49,BASE01[COD],BASE01[Columna19],"")+_xlfn.XLOOKUP($C49,SEMANA2[COD],SEMANA2[Columna19],"")+_xlfn.XLOOKUP($C49,SEMANA29[COD],SEMANA29[Columna19],""))</f>
        <v>0</v>
      </c>
      <c r="G49" s="294" t="str">
        <f t="shared" si="6"/>
        <v/>
      </c>
      <c r="H49" s="295">
        <f>IF(D49="","",_xlfn.XLOOKUP($C49,BASE01[COD],BASE01[Columna29],"")+_xlfn.XLOOKUP($C49,SEMANA2[COD],SEMANA2[Columna29],"")+_xlfn.XLOOKUP($C49,SEMANA29[COD],SEMANA29[Columna29],""))</f>
        <v>0</v>
      </c>
      <c r="I49" s="295">
        <f>IF(D49="","",_xlfn.XLOOKUP($C49,BASE01[COD],BASE01[Columna30],"")+_xlfn.XLOOKUP($C49,SEMANA2[COD],SEMANA2[Columna30],"")+_xlfn.XLOOKUP($C49,SEMANA29[COD],SEMANA29[Columna30],""))</f>
        <v>0</v>
      </c>
      <c r="J49" s="296" t="str">
        <f t="shared" si="7"/>
        <v/>
      </c>
      <c r="K49" s="297">
        <f>IF(D49="","",_xlfn.XLOOKUP($C49,BASE01[COD],BASE01[Columna32],"")+_xlfn.XLOOKUP($C49,SEMANA2[COD],SEMANA2[Columna32],"")+_xlfn.XLOOKUP($C49,SEMANA29[COD],SEMANA29[Columna32],""))</f>
        <v>0</v>
      </c>
      <c r="L49" s="297">
        <f>IF(D49="","",_xlfn.XLOOKUP($C49,BASE01[COD],BASE01[Columna34],"")+_xlfn.XLOOKUP($C49,SEMANA2[COD],SEMANA2[Columna34],"")+_xlfn.XLOOKUP($C49,SEMANA29[COD],SEMANA29[Columna34],""))</f>
        <v>0</v>
      </c>
      <c r="M49" s="298" t="str">
        <f t="shared" si="8"/>
        <v/>
      </c>
      <c r="N49" s="299">
        <f>IF(D49="","",_xlfn.XLOOKUP($C49,BASE01[COD],BASE01[Columna36],"")+_xlfn.XLOOKUP($C49,SEMANA2[COD],SEMANA2[Columna36],"")+_xlfn.XLOOKUP($C49,SEMANA29[COD],SEMANA29[Columna36],""))</f>
        <v>0</v>
      </c>
      <c r="O49" s="299">
        <f>IF(D49="","",_xlfn.XLOOKUP($C49,BASE01[COD],BASE01[Columna37],"")+_xlfn.XLOOKUP($C49,SEMANA2[COD],SEMANA2[Columna37],"")+_xlfn.XLOOKUP($C49,SEMANA29[COD],SEMANA29[Columna37],""))</f>
        <v>0</v>
      </c>
      <c r="P49" s="300">
        <f t="shared" si="9"/>
        <v>0</v>
      </c>
      <c r="Q49" s="301">
        <f>_xlfn.XLOOKUP(C49,SEMANA29[COD],SEMANA29[Columna33],"")</f>
        <v>0</v>
      </c>
      <c r="R49" s="3"/>
      <c r="U49" s="388" t="str">
        <v>COD 45</v>
      </c>
      <c r="V49" s="388" t="str">
        <f t="shared" si="10"/>
        <v>COD 45</v>
      </c>
    </row>
    <row r="50" spans="1:22" s="388" customFormat="1" ht="23.1" customHeight="1" outlineLevel="1" x14ac:dyDescent="0.35">
      <c r="A50" s="290"/>
      <c r="B50" s="304">
        <f t="shared" si="11"/>
        <v>46</v>
      </c>
      <c r="C50" s="543" t="str">
        <v>COD 46</v>
      </c>
      <c r="D50" s="292">
        <f>_xlfn.XLOOKUP(C50,CODIGOS_Y_PAGOS[CODIGO],CODIGOS_Y_PAGOS[NOMBRE PARTICIPANTE],"")</f>
        <v>0</v>
      </c>
      <c r="E50" s="293">
        <f>IF(D50="","",_xlfn.XLOOKUP($C50,BASE01[COD],BASE01[Columna14],"")+_xlfn.XLOOKUP($C50,SEMANA2[COD],SEMANA2[Columna14],"")+_xlfn.XLOOKUP($C50,SEMANA29[COD],SEMANA29[Columna14],""))</f>
        <v>0</v>
      </c>
      <c r="F50" s="293">
        <f>IF(D50="","",_xlfn.XLOOKUP($C50,BASE01[COD],BASE01[Columna19],"")+_xlfn.XLOOKUP($C50,SEMANA2[COD],SEMANA2[Columna19],"")+_xlfn.XLOOKUP($C50,SEMANA29[COD],SEMANA29[Columna19],""))</f>
        <v>0</v>
      </c>
      <c r="G50" s="294" t="str">
        <f t="shared" si="6"/>
        <v/>
      </c>
      <c r="H50" s="295">
        <f>IF(D50="","",_xlfn.XLOOKUP($C50,BASE01[COD],BASE01[Columna29],"")+_xlfn.XLOOKUP($C50,SEMANA2[COD],SEMANA2[Columna29],"")+_xlfn.XLOOKUP($C50,SEMANA29[COD],SEMANA29[Columna29],""))</f>
        <v>0</v>
      </c>
      <c r="I50" s="295">
        <f>IF(D50="","",_xlfn.XLOOKUP($C50,BASE01[COD],BASE01[Columna30],"")+_xlfn.XLOOKUP($C50,SEMANA2[COD],SEMANA2[Columna30],"")+_xlfn.XLOOKUP($C50,SEMANA29[COD],SEMANA29[Columna30],""))</f>
        <v>0</v>
      </c>
      <c r="J50" s="296" t="str">
        <f t="shared" si="7"/>
        <v/>
      </c>
      <c r="K50" s="297">
        <f>IF(D50="","",_xlfn.XLOOKUP($C50,BASE01[COD],BASE01[Columna32],"")+_xlfn.XLOOKUP($C50,SEMANA2[COD],SEMANA2[Columna32],"")+_xlfn.XLOOKUP($C50,SEMANA29[COD],SEMANA29[Columna32],""))</f>
        <v>0</v>
      </c>
      <c r="L50" s="297">
        <f>IF(D50="","",_xlfn.XLOOKUP($C50,BASE01[COD],BASE01[Columna34],"")+_xlfn.XLOOKUP($C50,SEMANA2[COD],SEMANA2[Columna34],"")+_xlfn.XLOOKUP($C50,SEMANA29[COD],SEMANA29[Columna34],""))</f>
        <v>0</v>
      </c>
      <c r="M50" s="298" t="str">
        <f t="shared" si="8"/>
        <v/>
      </c>
      <c r="N50" s="299">
        <f>IF(D50="","",_xlfn.XLOOKUP($C50,BASE01[COD],BASE01[Columna36],"")+_xlfn.XLOOKUP($C50,SEMANA2[COD],SEMANA2[Columna36],"")+_xlfn.XLOOKUP($C50,SEMANA29[COD],SEMANA29[Columna36],""))</f>
        <v>0</v>
      </c>
      <c r="O50" s="299">
        <f>IF(D50="","",_xlfn.XLOOKUP($C50,BASE01[COD],BASE01[Columna37],"")+_xlfn.XLOOKUP($C50,SEMANA2[COD],SEMANA2[Columna37],"")+_xlfn.XLOOKUP($C50,SEMANA29[COD],SEMANA29[Columna37],""))</f>
        <v>0</v>
      </c>
      <c r="P50" s="300">
        <f t="shared" si="9"/>
        <v>0</v>
      </c>
      <c r="Q50" s="301">
        <f>_xlfn.XLOOKUP(C50,SEMANA29[COD],SEMANA29[Columna33],"")</f>
        <v>0</v>
      </c>
      <c r="R50" s="3"/>
      <c r="U50" s="388" t="str">
        <v>COD 46</v>
      </c>
      <c r="V50" s="388" t="str">
        <f t="shared" si="10"/>
        <v>COD 46</v>
      </c>
    </row>
    <row r="51" spans="1:22" s="388" customFormat="1" ht="23.1" customHeight="1" outlineLevel="1" x14ac:dyDescent="0.35">
      <c r="A51" s="290"/>
      <c r="B51" s="304">
        <f t="shared" si="11"/>
        <v>47</v>
      </c>
      <c r="C51" s="543" t="str">
        <v>COD 47</v>
      </c>
      <c r="D51" s="292">
        <f>_xlfn.XLOOKUP(C51,CODIGOS_Y_PAGOS[CODIGO],CODIGOS_Y_PAGOS[NOMBRE PARTICIPANTE],"")</f>
        <v>0</v>
      </c>
      <c r="E51" s="293">
        <f>IF(D51="","",_xlfn.XLOOKUP($C51,BASE01[COD],BASE01[Columna14],"")+_xlfn.XLOOKUP($C51,SEMANA2[COD],SEMANA2[Columna14],"")+_xlfn.XLOOKUP($C51,SEMANA29[COD],SEMANA29[Columna14],""))</f>
        <v>0</v>
      </c>
      <c r="F51" s="293">
        <f>IF(D51="","",_xlfn.XLOOKUP($C51,BASE01[COD],BASE01[Columna19],"")+_xlfn.XLOOKUP($C51,SEMANA2[COD],SEMANA2[Columna19],"")+_xlfn.XLOOKUP($C51,SEMANA29[COD],SEMANA29[Columna19],""))</f>
        <v>0</v>
      </c>
      <c r="G51" s="294" t="str">
        <f t="shared" si="6"/>
        <v/>
      </c>
      <c r="H51" s="295">
        <f>IF(D51="","",_xlfn.XLOOKUP($C51,BASE01[COD],BASE01[Columna29],"")+_xlfn.XLOOKUP($C51,SEMANA2[COD],SEMANA2[Columna29],"")+_xlfn.XLOOKUP($C51,SEMANA29[COD],SEMANA29[Columna29],""))</f>
        <v>0</v>
      </c>
      <c r="I51" s="295">
        <f>IF(D51="","",_xlfn.XLOOKUP($C51,BASE01[COD],BASE01[Columna30],"")+_xlfn.XLOOKUP($C51,SEMANA2[COD],SEMANA2[Columna30],"")+_xlfn.XLOOKUP($C51,SEMANA29[COD],SEMANA29[Columna30],""))</f>
        <v>0</v>
      </c>
      <c r="J51" s="296" t="str">
        <f t="shared" si="7"/>
        <v/>
      </c>
      <c r="K51" s="297">
        <f>IF(D51="","",_xlfn.XLOOKUP($C51,BASE01[COD],BASE01[Columna32],"")+_xlfn.XLOOKUP($C51,SEMANA2[COD],SEMANA2[Columna32],"")+_xlfn.XLOOKUP($C51,SEMANA29[COD],SEMANA29[Columna32],""))</f>
        <v>0</v>
      </c>
      <c r="L51" s="297">
        <f>IF(D51="","",_xlfn.XLOOKUP($C51,BASE01[COD],BASE01[Columna34],"")+_xlfn.XLOOKUP($C51,SEMANA2[COD],SEMANA2[Columna34],"")+_xlfn.XLOOKUP($C51,SEMANA29[COD],SEMANA29[Columna34],""))</f>
        <v>0</v>
      </c>
      <c r="M51" s="298" t="str">
        <f t="shared" si="8"/>
        <v/>
      </c>
      <c r="N51" s="299">
        <f>IF(D51="","",_xlfn.XLOOKUP($C51,BASE01[COD],BASE01[Columna36],"")+_xlfn.XLOOKUP($C51,SEMANA2[COD],SEMANA2[Columna36],"")+_xlfn.XLOOKUP($C51,SEMANA29[COD],SEMANA29[Columna36],""))</f>
        <v>0</v>
      </c>
      <c r="O51" s="299">
        <f>IF(D51="","",_xlfn.XLOOKUP($C51,BASE01[COD],BASE01[Columna37],"")+_xlfn.XLOOKUP($C51,SEMANA2[COD],SEMANA2[Columna37],"")+_xlfn.XLOOKUP($C51,SEMANA29[COD],SEMANA29[Columna37],""))</f>
        <v>0</v>
      </c>
      <c r="P51" s="300">
        <f t="shared" si="9"/>
        <v>0</v>
      </c>
      <c r="Q51" s="301">
        <f>_xlfn.XLOOKUP(C51,SEMANA29[COD],SEMANA29[Columna33],"")</f>
        <v>0</v>
      </c>
      <c r="R51" s="3"/>
      <c r="U51" s="388" t="str">
        <v>COD 47</v>
      </c>
      <c r="V51" s="388" t="str">
        <f t="shared" si="10"/>
        <v>COD 47</v>
      </c>
    </row>
    <row r="52" spans="1:22" s="388" customFormat="1" ht="23.1" customHeight="1" outlineLevel="1" x14ac:dyDescent="0.35">
      <c r="A52" s="290"/>
      <c r="B52" s="304">
        <f t="shared" si="11"/>
        <v>48</v>
      </c>
      <c r="C52" s="543" t="str">
        <v>COD 48</v>
      </c>
      <c r="D52" s="292">
        <f>_xlfn.XLOOKUP(C52,CODIGOS_Y_PAGOS[CODIGO],CODIGOS_Y_PAGOS[NOMBRE PARTICIPANTE],"")</f>
        <v>0</v>
      </c>
      <c r="E52" s="293">
        <f>IF(D52="","",_xlfn.XLOOKUP($C52,BASE01[COD],BASE01[Columna14],"")+_xlfn.XLOOKUP($C52,SEMANA2[COD],SEMANA2[Columna14],"")+_xlfn.XLOOKUP($C52,SEMANA29[COD],SEMANA29[Columna14],""))</f>
        <v>0</v>
      </c>
      <c r="F52" s="293">
        <f>IF(D52="","",_xlfn.XLOOKUP($C52,BASE01[COD],BASE01[Columna19],"")+_xlfn.XLOOKUP($C52,SEMANA2[COD],SEMANA2[Columna19],"")+_xlfn.XLOOKUP($C52,SEMANA29[COD],SEMANA29[Columna19],""))</f>
        <v>0</v>
      </c>
      <c r="G52" s="294" t="str">
        <f t="shared" si="6"/>
        <v/>
      </c>
      <c r="H52" s="295">
        <f>IF(D52="","",_xlfn.XLOOKUP($C52,BASE01[COD],BASE01[Columna29],"")+_xlfn.XLOOKUP($C52,SEMANA2[COD],SEMANA2[Columna29],"")+_xlfn.XLOOKUP($C52,SEMANA29[COD],SEMANA29[Columna29],""))</f>
        <v>0</v>
      </c>
      <c r="I52" s="295">
        <f>IF(D52="","",_xlfn.XLOOKUP($C52,BASE01[COD],BASE01[Columna30],"")+_xlfn.XLOOKUP($C52,SEMANA2[COD],SEMANA2[Columna30],"")+_xlfn.XLOOKUP($C52,SEMANA29[COD],SEMANA29[Columna30],""))</f>
        <v>0</v>
      </c>
      <c r="J52" s="296" t="str">
        <f t="shared" si="7"/>
        <v/>
      </c>
      <c r="K52" s="297">
        <f>IF(D52="","",_xlfn.XLOOKUP($C52,BASE01[COD],BASE01[Columna32],"")+_xlfn.XLOOKUP($C52,SEMANA2[COD],SEMANA2[Columna32],"")+_xlfn.XLOOKUP($C52,SEMANA29[COD],SEMANA29[Columna32],""))</f>
        <v>0</v>
      </c>
      <c r="L52" s="297">
        <f>IF(D52="","",_xlfn.XLOOKUP($C52,BASE01[COD],BASE01[Columna34],"")+_xlfn.XLOOKUP($C52,SEMANA2[COD],SEMANA2[Columna34],"")+_xlfn.XLOOKUP($C52,SEMANA29[COD],SEMANA29[Columna34],""))</f>
        <v>0</v>
      </c>
      <c r="M52" s="298" t="str">
        <f t="shared" si="8"/>
        <v/>
      </c>
      <c r="N52" s="299">
        <f>IF(D52="","",_xlfn.XLOOKUP($C52,BASE01[COD],BASE01[Columna36],"")+_xlfn.XLOOKUP($C52,SEMANA2[COD],SEMANA2[Columna36],"")+_xlfn.XLOOKUP($C52,SEMANA29[COD],SEMANA29[Columna36],""))</f>
        <v>0</v>
      </c>
      <c r="O52" s="299">
        <f>IF(D52="","",_xlfn.XLOOKUP($C52,BASE01[COD],BASE01[Columna37],"")+_xlfn.XLOOKUP($C52,SEMANA2[COD],SEMANA2[Columna37],"")+_xlfn.XLOOKUP($C52,SEMANA29[COD],SEMANA29[Columna37],""))</f>
        <v>0</v>
      </c>
      <c r="P52" s="300">
        <f t="shared" si="9"/>
        <v>0</v>
      </c>
      <c r="Q52" s="301">
        <f>_xlfn.XLOOKUP(C52,SEMANA29[COD],SEMANA29[Columna33],"")</f>
        <v>0</v>
      </c>
      <c r="R52" s="3"/>
      <c r="U52" s="388" t="str">
        <v>COD 48</v>
      </c>
      <c r="V52" s="388" t="str">
        <f t="shared" si="10"/>
        <v>COD 48</v>
      </c>
    </row>
    <row r="53" spans="1:22" s="388" customFormat="1" ht="23.1" customHeight="1" outlineLevel="1" x14ac:dyDescent="0.35">
      <c r="A53" s="290"/>
      <c r="B53" s="304">
        <f t="shared" si="11"/>
        <v>49</v>
      </c>
      <c r="C53" s="543" t="str">
        <v>COD 49</v>
      </c>
      <c r="D53" s="292">
        <f>_xlfn.XLOOKUP(C53,CODIGOS_Y_PAGOS[CODIGO],CODIGOS_Y_PAGOS[NOMBRE PARTICIPANTE],"")</f>
        <v>0</v>
      </c>
      <c r="E53" s="293">
        <f>IF(D53="","",_xlfn.XLOOKUP($C53,BASE01[COD],BASE01[Columna14],"")+_xlfn.XLOOKUP($C53,SEMANA2[COD],SEMANA2[Columna14],"")+_xlfn.XLOOKUP($C53,SEMANA29[COD],SEMANA29[Columna14],""))</f>
        <v>0</v>
      </c>
      <c r="F53" s="293">
        <f>IF(D53="","",_xlfn.XLOOKUP($C53,BASE01[COD],BASE01[Columna19],"")+_xlfn.XLOOKUP($C53,SEMANA2[COD],SEMANA2[Columna19],"")+_xlfn.XLOOKUP($C53,SEMANA29[COD],SEMANA29[Columna19],""))</f>
        <v>0</v>
      </c>
      <c r="G53" s="294" t="str">
        <f t="shared" si="6"/>
        <v/>
      </c>
      <c r="H53" s="295">
        <f>IF(D53="","",_xlfn.XLOOKUP($C53,BASE01[COD],BASE01[Columna29],"")+_xlfn.XLOOKUP($C53,SEMANA2[COD],SEMANA2[Columna29],"")+_xlfn.XLOOKUP($C53,SEMANA29[COD],SEMANA29[Columna29],""))</f>
        <v>0</v>
      </c>
      <c r="I53" s="295">
        <f>IF(D53="","",_xlfn.XLOOKUP($C53,BASE01[COD],BASE01[Columna30],"")+_xlfn.XLOOKUP($C53,SEMANA2[COD],SEMANA2[Columna30],"")+_xlfn.XLOOKUP($C53,SEMANA29[COD],SEMANA29[Columna30],""))</f>
        <v>0</v>
      </c>
      <c r="J53" s="296" t="str">
        <f t="shared" si="7"/>
        <v/>
      </c>
      <c r="K53" s="297">
        <f>IF(D53="","",_xlfn.XLOOKUP($C53,BASE01[COD],BASE01[Columna32],"")+_xlfn.XLOOKUP($C53,SEMANA2[COD],SEMANA2[Columna32],"")+_xlfn.XLOOKUP($C53,SEMANA29[COD],SEMANA29[Columna32],""))</f>
        <v>0</v>
      </c>
      <c r="L53" s="297">
        <f>IF(D53="","",_xlfn.XLOOKUP($C53,BASE01[COD],BASE01[Columna34],"")+_xlfn.XLOOKUP($C53,SEMANA2[COD],SEMANA2[Columna34],"")+_xlfn.XLOOKUP($C53,SEMANA29[COD],SEMANA29[Columna34],""))</f>
        <v>0</v>
      </c>
      <c r="M53" s="298" t="str">
        <f t="shared" si="8"/>
        <v/>
      </c>
      <c r="N53" s="299">
        <f>IF(D53="","",_xlfn.XLOOKUP($C53,BASE01[COD],BASE01[Columna36],"")+_xlfn.XLOOKUP($C53,SEMANA2[COD],SEMANA2[Columna36],"")+_xlfn.XLOOKUP($C53,SEMANA29[COD],SEMANA29[Columna36],""))</f>
        <v>0</v>
      </c>
      <c r="O53" s="299">
        <f>IF(D53="","",_xlfn.XLOOKUP($C53,BASE01[COD],BASE01[Columna37],"")+_xlfn.XLOOKUP($C53,SEMANA2[COD],SEMANA2[Columna37],"")+_xlfn.XLOOKUP($C53,SEMANA29[COD],SEMANA29[Columna37],""))</f>
        <v>0</v>
      </c>
      <c r="P53" s="300">
        <f t="shared" si="9"/>
        <v>0</v>
      </c>
      <c r="Q53" s="301">
        <f>_xlfn.XLOOKUP(C53,SEMANA29[COD],SEMANA29[Columna33],"")</f>
        <v>0</v>
      </c>
      <c r="R53" s="3"/>
      <c r="U53" s="388" t="str">
        <v>COD 49</v>
      </c>
      <c r="V53" s="388" t="str">
        <f t="shared" si="10"/>
        <v>COD 49</v>
      </c>
    </row>
    <row r="54" spans="1:22" s="388" customFormat="1" ht="23.1" customHeight="1" outlineLevel="1" x14ac:dyDescent="0.35">
      <c r="A54" s="290"/>
      <c r="B54" s="304">
        <f t="shared" si="11"/>
        <v>50</v>
      </c>
      <c r="C54" s="543" t="str">
        <v>COD 50</v>
      </c>
      <c r="D54" s="292">
        <f>_xlfn.XLOOKUP(C54,CODIGOS_Y_PAGOS[CODIGO],CODIGOS_Y_PAGOS[NOMBRE PARTICIPANTE],"")</f>
        <v>0</v>
      </c>
      <c r="E54" s="293">
        <f>IF(D54="","",_xlfn.XLOOKUP($C54,BASE01[COD],BASE01[Columna14],"")+_xlfn.XLOOKUP($C54,SEMANA2[COD],SEMANA2[Columna14],"")+_xlfn.XLOOKUP($C54,SEMANA29[COD],SEMANA29[Columna14],""))</f>
        <v>0</v>
      </c>
      <c r="F54" s="293">
        <f>IF(D54="","",_xlfn.XLOOKUP($C54,BASE01[COD],BASE01[Columna19],"")+_xlfn.XLOOKUP($C54,SEMANA2[COD],SEMANA2[Columna19],"")+_xlfn.XLOOKUP($C54,SEMANA29[COD],SEMANA29[Columna19],""))</f>
        <v>0</v>
      </c>
      <c r="G54" s="294" t="str">
        <f t="shared" si="6"/>
        <v/>
      </c>
      <c r="H54" s="295">
        <f>IF(D54="","",_xlfn.XLOOKUP($C54,BASE01[COD],BASE01[Columna29],"")+_xlfn.XLOOKUP($C54,SEMANA2[COD],SEMANA2[Columna29],"")+_xlfn.XLOOKUP($C54,SEMANA29[COD],SEMANA29[Columna29],""))</f>
        <v>0</v>
      </c>
      <c r="I54" s="295">
        <f>IF(D54="","",_xlfn.XLOOKUP($C54,BASE01[COD],BASE01[Columna30],"")+_xlfn.XLOOKUP($C54,SEMANA2[COD],SEMANA2[Columna30],"")+_xlfn.XLOOKUP($C54,SEMANA29[COD],SEMANA29[Columna30],""))</f>
        <v>0</v>
      </c>
      <c r="J54" s="296" t="str">
        <f t="shared" si="7"/>
        <v/>
      </c>
      <c r="K54" s="297">
        <f>IF(D54="","",_xlfn.XLOOKUP($C54,BASE01[COD],BASE01[Columna32],"")+_xlfn.XLOOKUP($C54,SEMANA2[COD],SEMANA2[Columna32],"")+_xlfn.XLOOKUP($C54,SEMANA29[COD],SEMANA29[Columna32],""))</f>
        <v>0</v>
      </c>
      <c r="L54" s="297">
        <f>IF(D54="","",_xlfn.XLOOKUP($C54,BASE01[COD],BASE01[Columna34],"")+_xlfn.XLOOKUP($C54,SEMANA2[COD],SEMANA2[Columna34],"")+_xlfn.XLOOKUP($C54,SEMANA29[COD],SEMANA29[Columna34],""))</f>
        <v>0</v>
      </c>
      <c r="M54" s="298" t="str">
        <f t="shared" si="8"/>
        <v/>
      </c>
      <c r="N54" s="299">
        <f>IF(D54="","",_xlfn.XLOOKUP($C54,BASE01[COD],BASE01[Columna36],"")+_xlfn.XLOOKUP($C54,SEMANA2[COD],SEMANA2[Columna36],"")+_xlfn.XLOOKUP($C54,SEMANA29[COD],SEMANA29[Columna36],""))</f>
        <v>0</v>
      </c>
      <c r="O54" s="299">
        <f>IF(D54="","",_xlfn.XLOOKUP($C54,BASE01[COD],BASE01[Columna37],"")+_xlfn.XLOOKUP($C54,SEMANA2[COD],SEMANA2[Columna37],"")+_xlfn.XLOOKUP($C54,SEMANA29[COD],SEMANA29[Columna37],""))</f>
        <v>0</v>
      </c>
      <c r="P54" s="300">
        <f t="shared" si="9"/>
        <v>0</v>
      </c>
      <c r="Q54" s="301">
        <f>_xlfn.XLOOKUP(C54,SEMANA29[COD],SEMANA29[Columna33],"")</f>
        <v>0</v>
      </c>
      <c r="R54" s="3"/>
      <c r="U54" s="388" t="str">
        <v>COD 50</v>
      </c>
      <c r="V54" s="388" t="str">
        <f t="shared" si="10"/>
        <v>COD 50</v>
      </c>
    </row>
    <row r="55" spans="1:22" s="311" customFormat="1" ht="9" customHeight="1" x14ac:dyDescent="0.35">
      <c r="A55" s="290"/>
      <c r="B55" s="305"/>
      <c r="C55" s="306"/>
      <c r="D55" s="307"/>
      <c r="E55" s="308"/>
      <c r="F55" s="308"/>
      <c r="G55" s="309"/>
      <c r="H55" s="308"/>
      <c r="I55" s="308"/>
      <c r="J55" s="309"/>
      <c r="K55" s="308"/>
      <c r="L55" s="308"/>
      <c r="M55" s="309"/>
      <c r="N55" s="308"/>
      <c r="O55" s="308"/>
      <c r="P55" s="310"/>
      <c r="Q55" s="305"/>
      <c r="R55" s="3"/>
    </row>
    <row r="56" spans="1:22" ht="9" customHeight="1" outlineLevel="1" x14ac:dyDescent="0.25">
      <c r="R56" s="3"/>
    </row>
    <row r="57" spans="1:22" s="278" customFormat="1" ht="51.75" customHeight="1" outlineLevel="1" x14ac:dyDescent="0.25">
      <c r="A57" s="277"/>
      <c r="B57" s="583" t="s">
        <v>327</v>
      </c>
      <c r="C57" s="560"/>
      <c r="D57" s="560"/>
      <c r="E57" s="560"/>
      <c r="F57" s="560"/>
      <c r="G57" s="560"/>
      <c r="H57" s="560"/>
      <c r="I57" s="560"/>
      <c r="J57" s="560"/>
      <c r="K57" s="560"/>
      <c r="L57" s="560"/>
      <c r="M57" s="560"/>
      <c r="N57" s="560"/>
      <c r="O57" s="560"/>
      <c r="P57" s="560"/>
      <c r="Q57" s="584"/>
    </row>
    <row r="58" spans="1:22" ht="39" customHeight="1" outlineLevel="1" x14ac:dyDescent="0.4">
      <c r="A58" s="1"/>
      <c r="B58" s="344" t="str">
        <f>CONTROL!D2</f>
        <v>3ER MEETING 2026</v>
      </c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585" t="str">
        <f>N3</f>
        <v>20/09/2026</v>
      </c>
      <c r="O58" s="560"/>
      <c r="P58" s="560"/>
      <c r="Q58" s="584"/>
      <c r="R58" s="3"/>
    </row>
    <row r="59" spans="1:22" s="515" customFormat="1" ht="23.1" customHeight="1" outlineLevel="1" x14ac:dyDescent="0.25">
      <c r="A59" s="280"/>
      <c r="B59" s="281">
        <v>0</v>
      </c>
      <c r="C59" s="282" t="s">
        <v>159</v>
      </c>
      <c r="D59" s="283" t="s">
        <v>10</v>
      </c>
      <c r="E59" s="284" t="s">
        <v>149</v>
      </c>
      <c r="F59" s="285"/>
      <c r="G59" s="285"/>
      <c r="H59" s="284" t="s">
        <v>150</v>
      </c>
      <c r="I59" s="285"/>
      <c r="J59" s="285"/>
      <c r="K59" s="284" t="s">
        <v>151</v>
      </c>
      <c r="L59" s="284"/>
      <c r="M59" s="284"/>
      <c r="N59" s="286" t="s">
        <v>147</v>
      </c>
      <c r="O59" s="287"/>
      <c r="P59" s="288"/>
      <c r="Q59" s="289" t="s">
        <v>297</v>
      </c>
      <c r="R59" s="3"/>
    </row>
    <row r="60" spans="1:22" s="388" customFormat="1" ht="23.1" customHeight="1" outlineLevel="1" x14ac:dyDescent="0.35">
      <c r="A60" s="290"/>
      <c r="B60" s="291">
        <v>1</v>
      </c>
      <c r="C60" s="543" t="str">
        <f t="array" ref="C60:C109">_xlfn.SORTBY(SEMANA29[COD],SEMANA29[Columna1],-1)</f>
        <v>COD 01</v>
      </c>
      <c r="D60" s="464" t="str">
        <f>_xlfn.XLOOKUP(C60,CODIGOS_Y_PAGOS[CODIGO],CODIGOS_Y_PAGOS[NOMBRE PARTICIPANTE],"")</f>
        <v>GANADORES Y PULSO</v>
      </c>
      <c r="E60" s="293">
        <f>_xlfn.XLOOKUP($C60,SEMANA29[COD],SEMANA29[Columna14],"")</f>
        <v>0</v>
      </c>
      <c r="F60" s="293">
        <f>_xlfn.XLOOKUP(C60,SEMANA29[COD],SEMANA29[Columna19],"")</f>
        <v>0</v>
      </c>
      <c r="G60" s="294" t="str">
        <f t="shared" ref="G60:G91" si="12">IFERROR(+F60/E60,"0,00")</f>
        <v>0,00</v>
      </c>
      <c r="H60" s="295">
        <f>_xlfn.XLOOKUP(C60,SEMANA29[COD],SEMANA29[Columna32],"")</f>
        <v>0</v>
      </c>
      <c r="I60" s="295">
        <f>_xlfn.XLOOKUP(C60,SEMANA29[COD],SEMANA29[Columna30],"")</f>
        <v>0</v>
      </c>
      <c r="J60" s="296" t="str">
        <f t="shared" ref="J60:J91" si="13">IFERROR(+I60/H60,"0,00")</f>
        <v>0,00</v>
      </c>
      <c r="K60" s="297">
        <f>_xlfn.XLOOKUP(C60,SEMANA29[COD],SEMANA29[Columna32],"")</f>
        <v>0</v>
      </c>
      <c r="L60" s="297">
        <f>_xlfn.XLOOKUP(C60,SEMANA29[COD],SEMANA29[Columna34],"")</f>
        <v>0</v>
      </c>
      <c r="M60" s="298" t="str">
        <f t="shared" ref="M60:M91" si="14">IFERROR(+L60/K60,"0,00")</f>
        <v>0,00</v>
      </c>
      <c r="N60" s="299">
        <f>_xlfn.XLOOKUP(C60,SEMANA29[COD],SEMANA29[Columna36],"")</f>
        <v>0</v>
      </c>
      <c r="O60" s="299">
        <f>_xlfn.XLOOKUP(C60,SEMANA29[COD],SEMANA29[Columna37],"")</f>
        <v>0</v>
      </c>
      <c r="P60" s="300" t="str">
        <f t="shared" ref="P60:P91" si="15">IFERROR(+O60/N60,"0,00")</f>
        <v>0,00</v>
      </c>
      <c r="Q60" s="301">
        <f>_xlfn.XLOOKUP(C60,SEMANA29[COD],SEMANA29[Columna1],"")</f>
        <v>0</v>
      </c>
      <c r="R60" s="3"/>
      <c r="U60" s="388" t="str">
        <f t="array" ref="U60:U109">_xlfn.SORTBY(C60:C109,Q60:Q109,-1)</f>
        <v>COD 01</v>
      </c>
      <c r="V60" s="388" t="str">
        <f t="shared" ref="V60:V91" si="16">U60</f>
        <v>COD 01</v>
      </c>
    </row>
    <row r="61" spans="1:22" s="388" customFormat="1" ht="23.1" customHeight="1" outlineLevel="1" x14ac:dyDescent="0.35">
      <c r="A61" s="290"/>
      <c r="B61" s="291">
        <f t="shared" ref="B61:B92" si="17">+B60+1</f>
        <v>2</v>
      </c>
      <c r="C61" s="543" t="str">
        <v>COD 02</v>
      </c>
      <c r="D61" s="464" t="str">
        <f>_xlfn.XLOOKUP(C61,CODIGOS_Y_PAGOS[CODIGO],CODIGOS_Y_PAGOS[NOMBRE PARTICIPANTE],"")</f>
        <v>JESUS QUERALES</v>
      </c>
      <c r="E61" s="293">
        <f>_xlfn.XLOOKUP($C61,SEMANA29[COD],SEMANA29[Columna14],"")</f>
        <v>0</v>
      </c>
      <c r="F61" s="293">
        <f>_xlfn.XLOOKUP(C61,SEMANA29[COD],SEMANA29[Columna19],"")</f>
        <v>0</v>
      </c>
      <c r="G61" s="294" t="str">
        <f t="shared" si="12"/>
        <v>0,00</v>
      </c>
      <c r="H61" s="295">
        <f>_xlfn.XLOOKUP(C61,SEMANA29[COD],SEMANA29[Columna32],"")</f>
        <v>0</v>
      </c>
      <c r="I61" s="295">
        <f>_xlfn.XLOOKUP(C61,SEMANA29[COD],SEMANA29[Columna30],"")</f>
        <v>0</v>
      </c>
      <c r="J61" s="296" t="str">
        <f t="shared" si="13"/>
        <v>0,00</v>
      </c>
      <c r="K61" s="297">
        <f>_xlfn.XLOOKUP(C61,SEMANA29[COD],SEMANA29[Columna32],"")</f>
        <v>0</v>
      </c>
      <c r="L61" s="297">
        <f>_xlfn.XLOOKUP(C61,SEMANA29[COD],SEMANA29[Columna34],"")</f>
        <v>0</v>
      </c>
      <c r="M61" s="298" t="str">
        <f t="shared" si="14"/>
        <v>0,00</v>
      </c>
      <c r="N61" s="299">
        <f>_xlfn.XLOOKUP(C61,SEMANA29[COD],SEMANA29[Columna36],"")</f>
        <v>0</v>
      </c>
      <c r="O61" s="299">
        <f>_xlfn.XLOOKUP(C61,SEMANA29[COD],SEMANA29[Columna37],"")</f>
        <v>0</v>
      </c>
      <c r="P61" s="300" t="str">
        <f t="shared" si="15"/>
        <v>0,00</v>
      </c>
      <c r="Q61" s="301">
        <f>_xlfn.XLOOKUP(C61,SEMANA29[COD],SEMANA29[Columna1],"")</f>
        <v>0</v>
      </c>
      <c r="R61" s="3"/>
      <c r="U61" s="388" t="str">
        <v>COD 02</v>
      </c>
      <c r="V61" s="388" t="str">
        <f t="shared" si="16"/>
        <v>COD 02</v>
      </c>
    </row>
    <row r="62" spans="1:22" s="388" customFormat="1" ht="23.1" customHeight="1" outlineLevel="1" x14ac:dyDescent="0.35">
      <c r="A62" s="290"/>
      <c r="B62" s="291">
        <f t="shared" si="17"/>
        <v>3</v>
      </c>
      <c r="C62" s="543" t="str">
        <v>COD 03</v>
      </c>
      <c r="D62" s="464" t="str">
        <f>_xlfn.XLOOKUP(C62,CODIGOS_Y_PAGOS[CODIGO],CODIGOS_Y_PAGOS[NOMBRE PARTICIPANTE],"")</f>
        <v>MUÑECA DEL HIPISMO</v>
      </c>
      <c r="E62" s="293">
        <f>_xlfn.XLOOKUP($C62,SEMANA29[COD],SEMANA29[Columna14],"")</f>
        <v>0</v>
      </c>
      <c r="F62" s="293">
        <f>_xlfn.XLOOKUP(C62,SEMANA29[COD],SEMANA29[Columna19],"")</f>
        <v>0</v>
      </c>
      <c r="G62" s="294" t="str">
        <f t="shared" si="12"/>
        <v>0,00</v>
      </c>
      <c r="H62" s="295">
        <f>_xlfn.XLOOKUP(C62,SEMANA29[COD],SEMANA29[Columna32],"")</f>
        <v>0</v>
      </c>
      <c r="I62" s="295">
        <f>_xlfn.XLOOKUP(C62,SEMANA29[COD],SEMANA29[Columna30],"")</f>
        <v>0</v>
      </c>
      <c r="J62" s="296" t="str">
        <f t="shared" si="13"/>
        <v>0,00</v>
      </c>
      <c r="K62" s="297">
        <f>_xlfn.XLOOKUP(C62,SEMANA29[COD],SEMANA29[Columna32],"")</f>
        <v>0</v>
      </c>
      <c r="L62" s="297">
        <f>_xlfn.XLOOKUP(C62,SEMANA29[COD],SEMANA29[Columna34],"")</f>
        <v>0</v>
      </c>
      <c r="M62" s="298" t="str">
        <f t="shared" si="14"/>
        <v>0,00</v>
      </c>
      <c r="N62" s="299">
        <f>_xlfn.XLOOKUP(C62,SEMANA29[COD],SEMANA29[Columna36],"")</f>
        <v>0</v>
      </c>
      <c r="O62" s="299">
        <f>_xlfn.XLOOKUP(C62,SEMANA29[COD],SEMANA29[Columna37],"")</f>
        <v>0</v>
      </c>
      <c r="P62" s="300" t="str">
        <f t="shared" si="15"/>
        <v>0,00</v>
      </c>
      <c r="Q62" s="301">
        <f>_xlfn.XLOOKUP(C62,SEMANA29[COD],SEMANA29[Columna1],"")</f>
        <v>0</v>
      </c>
      <c r="R62" s="3"/>
      <c r="U62" s="388" t="str">
        <v>COD 03</v>
      </c>
      <c r="V62" s="388" t="str">
        <f t="shared" si="16"/>
        <v>COD 03</v>
      </c>
    </row>
    <row r="63" spans="1:22" s="388" customFormat="1" ht="23.1" customHeight="1" outlineLevel="1" x14ac:dyDescent="0.35">
      <c r="A63" s="290"/>
      <c r="B63" s="291">
        <f t="shared" si="17"/>
        <v>4</v>
      </c>
      <c r="C63" s="543" t="str">
        <v>COD 04</v>
      </c>
      <c r="D63" s="464" t="str">
        <f>_xlfn.XLOOKUP(C63,CODIGOS_Y_PAGOS[CODIGO],CODIGOS_Y_PAGOS[NOMBRE PARTICIPANTE],"")</f>
        <v>EL HIPICO 701</v>
      </c>
      <c r="E63" s="293">
        <f>_xlfn.XLOOKUP($C63,SEMANA29[COD],SEMANA29[Columna14],"")</f>
        <v>0</v>
      </c>
      <c r="F63" s="293">
        <f>_xlfn.XLOOKUP(C63,SEMANA29[COD],SEMANA29[Columna19],"")</f>
        <v>0</v>
      </c>
      <c r="G63" s="294" t="str">
        <f t="shared" si="12"/>
        <v>0,00</v>
      </c>
      <c r="H63" s="295">
        <f>_xlfn.XLOOKUP(C63,SEMANA29[COD],SEMANA29[Columna32],"")</f>
        <v>0</v>
      </c>
      <c r="I63" s="295">
        <f>_xlfn.XLOOKUP(C63,SEMANA29[COD],SEMANA29[Columna30],"")</f>
        <v>0</v>
      </c>
      <c r="J63" s="296" t="str">
        <f t="shared" si="13"/>
        <v>0,00</v>
      </c>
      <c r="K63" s="297">
        <f>_xlfn.XLOOKUP(C63,SEMANA29[COD],SEMANA29[Columna32],"")</f>
        <v>0</v>
      </c>
      <c r="L63" s="297">
        <f>_xlfn.XLOOKUP(C63,SEMANA29[COD],SEMANA29[Columna34],"")</f>
        <v>0</v>
      </c>
      <c r="M63" s="298" t="str">
        <f t="shared" si="14"/>
        <v>0,00</v>
      </c>
      <c r="N63" s="299">
        <f>_xlfn.XLOOKUP(C63,SEMANA29[COD],SEMANA29[Columna36],"")</f>
        <v>0</v>
      </c>
      <c r="O63" s="299">
        <f>_xlfn.XLOOKUP(C63,SEMANA29[COD],SEMANA29[Columna37],"")</f>
        <v>0</v>
      </c>
      <c r="P63" s="300" t="str">
        <f t="shared" si="15"/>
        <v>0,00</v>
      </c>
      <c r="Q63" s="301">
        <f>_xlfn.XLOOKUP(C63,SEMANA29[COD],SEMANA29[Columna1],"")</f>
        <v>0</v>
      </c>
      <c r="R63" s="3"/>
      <c r="U63" s="388" t="str">
        <v>COD 04</v>
      </c>
      <c r="V63" s="388" t="str">
        <f t="shared" si="16"/>
        <v>COD 04</v>
      </c>
    </row>
    <row r="64" spans="1:22" s="388" customFormat="1" ht="23.1" customHeight="1" outlineLevel="1" x14ac:dyDescent="0.35">
      <c r="A64" s="290"/>
      <c r="B64" s="291">
        <f t="shared" si="17"/>
        <v>5</v>
      </c>
      <c r="C64" s="543" t="str">
        <v>COD 05</v>
      </c>
      <c r="D64" s="464" t="str">
        <f>_xlfn.XLOOKUP(C64,CODIGOS_Y_PAGOS[CODIGO],CODIGOS_Y_PAGOS[NOMBRE PARTICIPANTE],"")</f>
        <v>MARCOS HIDALGO</v>
      </c>
      <c r="E64" s="293">
        <f>_xlfn.XLOOKUP($C64,SEMANA29[COD],SEMANA29[Columna14],"")</f>
        <v>0</v>
      </c>
      <c r="F64" s="293">
        <f>_xlfn.XLOOKUP(C64,SEMANA29[COD],SEMANA29[Columna19],"")</f>
        <v>0</v>
      </c>
      <c r="G64" s="294" t="str">
        <f t="shared" si="12"/>
        <v>0,00</v>
      </c>
      <c r="H64" s="295">
        <f>_xlfn.XLOOKUP(C64,SEMANA29[COD],SEMANA29[Columna32],"")</f>
        <v>0</v>
      </c>
      <c r="I64" s="295">
        <f>_xlfn.XLOOKUP(C64,SEMANA29[COD],SEMANA29[Columna30],"")</f>
        <v>0</v>
      </c>
      <c r="J64" s="296" t="str">
        <f t="shared" si="13"/>
        <v>0,00</v>
      </c>
      <c r="K64" s="297">
        <f>_xlfn.XLOOKUP(C64,SEMANA29[COD],SEMANA29[Columna32],"")</f>
        <v>0</v>
      </c>
      <c r="L64" s="297">
        <f>_xlfn.XLOOKUP(C64,SEMANA29[COD],SEMANA29[Columna34],"")</f>
        <v>0</v>
      </c>
      <c r="M64" s="298" t="str">
        <f t="shared" si="14"/>
        <v>0,00</v>
      </c>
      <c r="N64" s="299">
        <f>_xlfn.XLOOKUP(C64,SEMANA29[COD],SEMANA29[Columna36],"")</f>
        <v>0</v>
      </c>
      <c r="O64" s="299">
        <f>_xlfn.XLOOKUP(C64,SEMANA29[COD],SEMANA29[Columna37],"")</f>
        <v>0</v>
      </c>
      <c r="P64" s="300" t="str">
        <f t="shared" si="15"/>
        <v>0,00</v>
      </c>
      <c r="Q64" s="301">
        <f>_xlfn.XLOOKUP(C64,SEMANA29[COD],SEMANA29[Columna1],"")</f>
        <v>0</v>
      </c>
      <c r="R64" s="3"/>
      <c r="U64" s="388" t="str">
        <v>COD 05</v>
      </c>
      <c r="V64" s="388" t="str">
        <f t="shared" si="16"/>
        <v>COD 05</v>
      </c>
    </row>
    <row r="65" spans="1:22" s="388" customFormat="1" ht="23.1" customHeight="1" outlineLevel="1" x14ac:dyDescent="0.35">
      <c r="A65" s="290"/>
      <c r="B65" s="291">
        <f t="shared" si="17"/>
        <v>6</v>
      </c>
      <c r="C65" s="543" t="str">
        <v>COD 06</v>
      </c>
      <c r="D65" s="464" t="str">
        <f>_xlfn.XLOOKUP(C65,CODIGOS_Y_PAGOS[CODIGO],CODIGOS_Y_PAGOS[NOMBRE PARTICIPANTE],"")</f>
        <v>JESUS ROJAS</v>
      </c>
      <c r="E65" s="293">
        <f>_xlfn.XLOOKUP($C65,SEMANA29[COD],SEMANA29[Columna14],"")</f>
        <v>0</v>
      </c>
      <c r="F65" s="293">
        <f>_xlfn.XLOOKUP(C65,SEMANA29[COD],SEMANA29[Columna19],"")</f>
        <v>0</v>
      </c>
      <c r="G65" s="294" t="str">
        <f t="shared" si="12"/>
        <v>0,00</v>
      </c>
      <c r="H65" s="295">
        <f>_xlfn.XLOOKUP(C65,SEMANA29[COD],SEMANA29[Columna32],"")</f>
        <v>0</v>
      </c>
      <c r="I65" s="295">
        <f>_xlfn.XLOOKUP(C65,SEMANA29[COD],SEMANA29[Columna30],"")</f>
        <v>0</v>
      </c>
      <c r="J65" s="296" t="str">
        <f t="shared" si="13"/>
        <v>0,00</v>
      </c>
      <c r="K65" s="297">
        <f>_xlfn.XLOOKUP(C65,SEMANA29[COD],SEMANA29[Columna32],"")</f>
        <v>0</v>
      </c>
      <c r="L65" s="297">
        <f>_xlfn.XLOOKUP(C65,SEMANA29[COD],SEMANA29[Columna34],"")</f>
        <v>0</v>
      </c>
      <c r="M65" s="298" t="str">
        <f t="shared" si="14"/>
        <v>0,00</v>
      </c>
      <c r="N65" s="299">
        <f>_xlfn.XLOOKUP(C65,SEMANA29[COD],SEMANA29[Columna36],"")</f>
        <v>0</v>
      </c>
      <c r="O65" s="299">
        <f>_xlfn.XLOOKUP(C65,SEMANA29[COD],SEMANA29[Columna37],"")</f>
        <v>0</v>
      </c>
      <c r="P65" s="300" t="str">
        <f t="shared" si="15"/>
        <v>0,00</v>
      </c>
      <c r="Q65" s="301">
        <f>_xlfn.XLOOKUP(C65,SEMANA29[COD],SEMANA29[Columna1],"")</f>
        <v>0</v>
      </c>
      <c r="R65" s="3"/>
      <c r="U65" s="388" t="str">
        <v>COD 06</v>
      </c>
      <c r="V65" s="388" t="str">
        <f t="shared" si="16"/>
        <v>COD 06</v>
      </c>
    </row>
    <row r="66" spans="1:22" s="388" customFormat="1" ht="23.1" customHeight="1" outlineLevel="1" x14ac:dyDescent="0.35">
      <c r="A66" s="290"/>
      <c r="B66" s="302">
        <f t="shared" si="17"/>
        <v>7</v>
      </c>
      <c r="C66" s="543" t="str">
        <v>COD 07</v>
      </c>
      <c r="D66" s="464" t="str">
        <f>_xlfn.XLOOKUP(C66,CODIGOS_Y_PAGOS[CODIGO],CODIGOS_Y_PAGOS[NOMBRE PARTICIPANTE],"")</f>
        <v>NELSON OSORIO</v>
      </c>
      <c r="E66" s="293">
        <f>_xlfn.XLOOKUP($C66,SEMANA29[COD],SEMANA29[Columna14],"")</f>
        <v>0</v>
      </c>
      <c r="F66" s="293">
        <f>_xlfn.XLOOKUP(C66,SEMANA29[COD],SEMANA29[Columna19],"")</f>
        <v>0</v>
      </c>
      <c r="G66" s="294" t="str">
        <f t="shared" si="12"/>
        <v>0,00</v>
      </c>
      <c r="H66" s="295">
        <f>_xlfn.XLOOKUP(C66,SEMANA29[COD],SEMANA29[Columna32],"")</f>
        <v>0</v>
      </c>
      <c r="I66" s="295">
        <f>_xlfn.XLOOKUP(C66,SEMANA29[COD],SEMANA29[Columna30],"")</f>
        <v>0</v>
      </c>
      <c r="J66" s="296" t="str">
        <f t="shared" si="13"/>
        <v>0,00</v>
      </c>
      <c r="K66" s="297">
        <f>_xlfn.XLOOKUP(C66,SEMANA29[COD],SEMANA29[Columna32],"")</f>
        <v>0</v>
      </c>
      <c r="L66" s="297">
        <f>_xlfn.XLOOKUP(C66,SEMANA29[COD],SEMANA29[Columna34],"")</f>
        <v>0</v>
      </c>
      <c r="M66" s="298" t="str">
        <f t="shared" si="14"/>
        <v>0,00</v>
      </c>
      <c r="N66" s="299">
        <f>_xlfn.XLOOKUP(C66,SEMANA29[COD],SEMANA29[Columna36],"")</f>
        <v>0</v>
      </c>
      <c r="O66" s="299">
        <f>_xlfn.XLOOKUP(C66,SEMANA29[COD],SEMANA29[Columna37],"")</f>
        <v>0</v>
      </c>
      <c r="P66" s="300" t="str">
        <f t="shared" si="15"/>
        <v>0,00</v>
      </c>
      <c r="Q66" s="301">
        <f>_xlfn.XLOOKUP(C66,SEMANA29[COD],SEMANA29[Columna1],"")</f>
        <v>0</v>
      </c>
      <c r="R66" s="3"/>
      <c r="U66" s="388" t="str">
        <v>COD 07</v>
      </c>
      <c r="V66" s="388" t="str">
        <f t="shared" si="16"/>
        <v>COD 07</v>
      </c>
    </row>
    <row r="67" spans="1:22" s="388" customFormat="1" ht="23.1" customHeight="1" outlineLevel="1" x14ac:dyDescent="0.35">
      <c r="A67" s="290"/>
      <c r="B67" s="291">
        <f t="shared" si="17"/>
        <v>8</v>
      </c>
      <c r="C67" s="543" t="str">
        <v>COD 08</v>
      </c>
      <c r="D67" s="464" t="str">
        <f>_xlfn.XLOOKUP(C67,CODIGOS_Y_PAGOS[CODIGO],CODIGOS_Y_PAGOS[NOMBRE PARTICIPANTE],"")</f>
        <v>RUBEN DARIO CARDENAS</v>
      </c>
      <c r="E67" s="293">
        <f>_xlfn.XLOOKUP($C67,SEMANA29[COD],SEMANA29[Columna14],"")</f>
        <v>0</v>
      </c>
      <c r="F67" s="293">
        <f>_xlfn.XLOOKUP(C67,SEMANA29[COD],SEMANA29[Columna19],"")</f>
        <v>0</v>
      </c>
      <c r="G67" s="294" t="str">
        <f t="shared" si="12"/>
        <v>0,00</v>
      </c>
      <c r="H67" s="295">
        <f>_xlfn.XLOOKUP(C67,SEMANA29[COD],SEMANA29[Columna32],"")</f>
        <v>0</v>
      </c>
      <c r="I67" s="295">
        <f>_xlfn.XLOOKUP(C67,SEMANA29[COD],SEMANA29[Columna30],"")</f>
        <v>0</v>
      </c>
      <c r="J67" s="296" t="str">
        <f t="shared" si="13"/>
        <v>0,00</v>
      </c>
      <c r="K67" s="297">
        <f>_xlfn.XLOOKUP(C67,SEMANA29[COD],SEMANA29[Columna32],"")</f>
        <v>0</v>
      </c>
      <c r="L67" s="297">
        <f>_xlfn.XLOOKUP(C67,SEMANA29[COD],SEMANA29[Columna34],"")</f>
        <v>0</v>
      </c>
      <c r="M67" s="298" t="str">
        <f t="shared" si="14"/>
        <v>0,00</v>
      </c>
      <c r="N67" s="299">
        <f>_xlfn.XLOOKUP(C67,SEMANA29[COD],SEMANA29[Columna36],"")</f>
        <v>0</v>
      </c>
      <c r="O67" s="299">
        <f>_xlfn.XLOOKUP(C67,SEMANA29[COD],SEMANA29[Columna37],"")</f>
        <v>0</v>
      </c>
      <c r="P67" s="300" t="str">
        <f t="shared" si="15"/>
        <v>0,00</v>
      </c>
      <c r="Q67" s="301">
        <f>_xlfn.XLOOKUP(C67,SEMANA29[COD],SEMANA29[Columna1],"")</f>
        <v>0</v>
      </c>
      <c r="R67" s="3"/>
      <c r="U67" s="388" t="str">
        <v>COD 08</v>
      </c>
      <c r="V67" s="388" t="str">
        <f t="shared" si="16"/>
        <v>COD 08</v>
      </c>
    </row>
    <row r="68" spans="1:22" s="388" customFormat="1" ht="23.1" customHeight="1" outlineLevel="1" x14ac:dyDescent="0.35">
      <c r="A68" s="290"/>
      <c r="B68" s="291">
        <f t="shared" si="17"/>
        <v>9</v>
      </c>
      <c r="C68" s="543" t="str">
        <v>COD 09</v>
      </c>
      <c r="D68" s="464" t="str">
        <f>_xlfn.XLOOKUP(C68,CODIGOS_Y_PAGOS[CODIGO],CODIGOS_Y_PAGOS[NOMBRE PARTICIPANTE],"")</f>
        <v>JESUS ARASME</v>
      </c>
      <c r="E68" s="293">
        <f>_xlfn.XLOOKUP($C68,SEMANA29[COD],SEMANA29[Columna14],"")</f>
        <v>0</v>
      </c>
      <c r="F68" s="293">
        <f>_xlfn.XLOOKUP(C68,SEMANA29[COD],SEMANA29[Columna19],"")</f>
        <v>0</v>
      </c>
      <c r="G68" s="294" t="str">
        <f t="shared" si="12"/>
        <v>0,00</v>
      </c>
      <c r="H68" s="295">
        <f>_xlfn.XLOOKUP(C68,SEMANA29[COD],SEMANA29[Columna32],"")</f>
        <v>0</v>
      </c>
      <c r="I68" s="295">
        <f>_xlfn.XLOOKUP(C68,SEMANA29[COD],SEMANA29[Columna30],"")</f>
        <v>0</v>
      </c>
      <c r="J68" s="296" t="str">
        <f t="shared" si="13"/>
        <v>0,00</v>
      </c>
      <c r="K68" s="297">
        <f>_xlfn.XLOOKUP(C68,SEMANA29[COD],SEMANA29[Columna32],"")</f>
        <v>0</v>
      </c>
      <c r="L68" s="297">
        <f>_xlfn.XLOOKUP(C68,SEMANA29[COD],SEMANA29[Columna34],"")</f>
        <v>0</v>
      </c>
      <c r="M68" s="298" t="str">
        <f t="shared" si="14"/>
        <v>0,00</v>
      </c>
      <c r="N68" s="299">
        <f>_xlfn.XLOOKUP(C68,SEMANA29[COD],SEMANA29[Columna36],"")</f>
        <v>0</v>
      </c>
      <c r="O68" s="299">
        <f>_xlfn.XLOOKUP(C68,SEMANA29[COD],SEMANA29[Columna37],"")</f>
        <v>0</v>
      </c>
      <c r="P68" s="300" t="str">
        <f t="shared" si="15"/>
        <v>0,00</v>
      </c>
      <c r="Q68" s="301">
        <f>_xlfn.XLOOKUP(C68,SEMANA29[COD],SEMANA29[Columna1],"")</f>
        <v>0</v>
      </c>
      <c r="R68" s="3"/>
      <c r="U68" s="388" t="str">
        <v>COD 09</v>
      </c>
      <c r="V68" s="388" t="str">
        <f t="shared" si="16"/>
        <v>COD 09</v>
      </c>
    </row>
    <row r="69" spans="1:22" s="388" customFormat="1" ht="23.1" customHeight="1" outlineLevel="1" x14ac:dyDescent="0.35">
      <c r="A69" s="290"/>
      <c r="B69" s="291">
        <f t="shared" si="17"/>
        <v>10</v>
      </c>
      <c r="C69" s="543" t="str">
        <v>COD 10</v>
      </c>
      <c r="D69" s="464" t="str">
        <f>_xlfn.XLOOKUP(C69,CODIGOS_Y_PAGOS[CODIGO],CODIGOS_Y_PAGOS[NOMBRE PARTICIPANTE],"")</f>
        <v>JESUS CARAYACA</v>
      </c>
      <c r="E69" s="293">
        <f>_xlfn.XLOOKUP($C69,SEMANA29[COD],SEMANA29[Columna14],"")</f>
        <v>0</v>
      </c>
      <c r="F69" s="293">
        <f>_xlfn.XLOOKUP(C69,SEMANA29[COD],SEMANA29[Columna19],"")</f>
        <v>0</v>
      </c>
      <c r="G69" s="294" t="str">
        <f t="shared" si="12"/>
        <v>0,00</v>
      </c>
      <c r="H69" s="295">
        <f>_xlfn.XLOOKUP(C69,SEMANA29[COD],SEMANA29[Columna32],"")</f>
        <v>0</v>
      </c>
      <c r="I69" s="295">
        <f>_xlfn.XLOOKUP(C69,SEMANA29[COD],SEMANA29[Columna30],"")</f>
        <v>0</v>
      </c>
      <c r="J69" s="296" t="str">
        <f t="shared" si="13"/>
        <v>0,00</v>
      </c>
      <c r="K69" s="297">
        <f>_xlfn.XLOOKUP(C69,SEMANA29[COD],SEMANA29[Columna32],"")</f>
        <v>0</v>
      </c>
      <c r="L69" s="297">
        <f>_xlfn.XLOOKUP(C69,SEMANA29[COD],SEMANA29[Columna34],"")</f>
        <v>0</v>
      </c>
      <c r="M69" s="298" t="str">
        <f t="shared" si="14"/>
        <v>0,00</v>
      </c>
      <c r="N69" s="299">
        <f>_xlfn.XLOOKUP(C69,SEMANA29[COD],SEMANA29[Columna36],"")</f>
        <v>0</v>
      </c>
      <c r="O69" s="299">
        <f>_xlfn.XLOOKUP(C69,SEMANA29[COD],SEMANA29[Columna37],"")</f>
        <v>0</v>
      </c>
      <c r="P69" s="300" t="str">
        <f t="shared" si="15"/>
        <v>0,00</v>
      </c>
      <c r="Q69" s="301">
        <f>_xlfn.XLOOKUP(C69,SEMANA29[COD],SEMANA29[Columna1],"")</f>
        <v>0</v>
      </c>
      <c r="R69" s="3"/>
      <c r="U69" s="388" t="str">
        <v>COD 10</v>
      </c>
      <c r="V69" s="388" t="str">
        <f t="shared" si="16"/>
        <v>COD 10</v>
      </c>
    </row>
    <row r="70" spans="1:22" s="388" customFormat="1" ht="23.1" customHeight="1" outlineLevel="1" x14ac:dyDescent="0.35">
      <c r="A70" s="290"/>
      <c r="B70" s="291">
        <f t="shared" si="17"/>
        <v>11</v>
      </c>
      <c r="C70" s="543" t="str">
        <v>COD 11</v>
      </c>
      <c r="D70" s="464" t="str">
        <f>_xlfn.XLOOKUP(C70,CODIGOS_Y_PAGOS[CODIGO],CODIGOS_Y_PAGOS[NOMBRE PARTICIPANTE],"")</f>
        <v>ANDERSON ZERPA</v>
      </c>
      <c r="E70" s="293">
        <f>_xlfn.XLOOKUP($C70,SEMANA29[COD],SEMANA29[Columna14],"")</f>
        <v>0</v>
      </c>
      <c r="F70" s="293">
        <f>_xlfn.XLOOKUP(C70,SEMANA29[COD],SEMANA29[Columna19],"")</f>
        <v>0</v>
      </c>
      <c r="G70" s="294" t="str">
        <f t="shared" si="12"/>
        <v>0,00</v>
      </c>
      <c r="H70" s="295">
        <f>_xlfn.XLOOKUP(C70,SEMANA29[COD],SEMANA29[Columna32],"")</f>
        <v>0</v>
      </c>
      <c r="I70" s="295">
        <f>_xlfn.XLOOKUP(C70,SEMANA29[COD],SEMANA29[Columna30],"")</f>
        <v>0</v>
      </c>
      <c r="J70" s="296" t="str">
        <f t="shared" si="13"/>
        <v>0,00</v>
      </c>
      <c r="K70" s="297">
        <f>_xlfn.XLOOKUP(C70,SEMANA29[COD],SEMANA29[Columna32],"")</f>
        <v>0</v>
      </c>
      <c r="L70" s="297">
        <f>_xlfn.XLOOKUP(C70,SEMANA29[COD],SEMANA29[Columna34],"")</f>
        <v>0</v>
      </c>
      <c r="M70" s="298" t="str">
        <f t="shared" si="14"/>
        <v>0,00</v>
      </c>
      <c r="N70" s="299">
        <f>_xlfn.XLOOKUP(C70,SEMANA29[COD],SEMANA29[Columna36],"")</f>
        <v>0</v>
      </c>
      <c r="O70" s="299">
        <f>_xlfn.XLOOKUP(C70,SEMANA29[COD],SEMANA29[Columna37],"")</f>
        <v>0</v>
      </c>
      <c r="P70" s="300" t="str">
        <f t="shared" si="15"/>
        <v>0,00</v>
      </c>
      <c r="Q70" s="301">
        <f>_xlfn.XLOOKUP(C70,SEMANA29[COD],SEMANA29[Columna1],"")</f>
        <v>0</v>
      </c>
      <c r="R70" s="3"/>
      <c r="U70" s="388" t="str">
        <v>COD 11</v>
      </c>
      <c r="V70" s="388" t="str">
        <f t="shared" si="16"/>
        <v>COD 11</v>
      </c>
    </row>
    <row r="71" spans="1:22" s="388" customFormat="1" ht="23.1" customHeight="1" outlineLevel="1" x14ac:dyDescent="0.35">
      <c r="A71" s="290"/>
      <c r="B71" s="291">
        <f t="shared" si="17"/>
        <v>12</v>
      </c>
      <c r="C71" s="543" t="str">
        <v>COD 12</v>
      </c>
      <c r="D71" s="464">
        <f>_xlfn.XLOOKUP(C71,CODIGOS_Y_PAGOS[CODIGO],CODIGOS_Y_PAGOS[NOMBRE PARTICIPANTE],"")</f>
        <v>0</v>
      </c>
      <c r="E71" s="293">
        <f>_xlfn.XLOOKUP($C71,SEMANA29[COD],SEMANA29[Columna14],"")</f>
        <v>0</v>
      </c>
      <c r="F71" s="293">
        <f>_xlfn.XLOOKUP(C71,SEMANA29[COD],SEMANA29[Columna19],"")</f>
        <v>0</v>
      </c>
      <c r="G71" s="294" t="str">
        <f t="shared" si="12"/>
        <v>0,00</v>
      </c>
      <c r="H71" s="295">
        <f>_xlfn.XLOOKUP(C71,SEMANA29[COD],SEMANA29[Columna32],"")</f>
        <v>0</v>
      </c>
      <c r="I71" s="295">
        <f>_xlfn.XLOOKUP(C71,SEMANA29[COD],SEMANA29[Columna30],"")</f>
        <v>0</v>
      </c>
      <c r="J71" s="296" t="str">
        <f t="shared" si="13"/>
        <v>0,00</v>
      </c>
      <c r="K71" s="297">
        <f>_xlfn.XLOOKUP(C71,SEMANA29[COD],SEMANA29[Columna32],"")</f>
        <v>0</v>
      </c>
      <c r="L71" s="297">
        <f>_xlfn.XLOOKUP(C71,SEMANA29[COD],SEMANA29[Columna34],"")</f>
        <v>0</v>
      </c>
      <c r="M71" s="298" t="str">
        <f t="shared" si="14"/>
        <v>0,00</v>
      </c>
      <c r="N71" s="299">
        <f>_xlfn.XLOOKUP(C71,SEMANA29[COD],SEMANA29[Columna36],"")</f>
        <v>0</v>
      </c>
      <c r="O71" s="299">
        <f>_xlfn.XLOOKUP(C71,SEMANA29[COD],SEMANA29[Columna37],"")</f>
        <v>0</v>
      </c>
      <c r="P71" s="300" t="str">
        <f t="shared" si="15"/>
        <v>0,00</v>
      </c>
      <c r="Q71" s="301">
        <f>_xlfn.XLOOKUP(C71,SEMANA29[COD],SEMANA29[Columna1],"")</f>
        <v>0</v>
      </c>
      <c r="R71" s="3"/>
      <c r="U71" s="388" t="str">
        <v>COD 12</v>
      </c>
      <c r="V71" s="388" t="str">
        <f t="shared" si="16"/>
        <v>COD 12</v>
      </c>
    </row>
    <row r="72" spans="1:22" s="388" customFormat="1" ht="23.1" customHeight="1" outlineLevel="1" x14ac:dyDescent="0.35">
      <c r="A72" s="290"/>
      <c r="B72" s="291">
        <f t="shared" si="17"/>
        <v>13</v>
      </c>
      <c r="C72" s="543" t="str">
        <v>COD 13</v>
      </c>
      <c r="D72" s="464" t="str">
        <f>_xlfn.XLOOKUP(C72,CODIGOS_Y_PAGOS[CODIGO],CODIGOS_Y_PAGOS[NOMBRE PARTICIPANTE],"")</f>
        <v>NOTAS HIPICAS</v>
      </c>
      <c r="E72" s="293">
        <f>_xlfn.XLOOKUP($C72,SEMANA29[COD],SEMANA29[Columna14],"")</f>
        <v>0</v>
      </c>
      <c r="F72" s="293">
        <f>_xlfn.XLOOKUP(C72,SEMANA29[COD],SEMANA29[Columna19],"")</f>
        <v>0</v>
      </c>
      <c r="G72" s="294" t="str">
        <f t="shared" si="12"/>
        <v>0,00</v>
      </c>
      <c r="H72" s="295">
        <f>_xlfn.XLOOKUP(C72,SEMANA29[COD],SEMANA29[Columna32],"")</f>
        <v>0</v>
      </c>
      <c r="I72" s="295">
        <f>_xlfn.XLOOKUP(C72,SEMANA29[COD],SEMANA29[Columna30],"")</f>
        <v>0</v>
      </c>
      <c r="J72" s="296" t="str">
        <f t="shared" si="13"/>
        <v>0,00</v>
      </c>
      <c r="K72" s="297">
        <f>_xlfn.XLOOKUP(C72,SEMANA29[COD],SEMANA29[Columna32],"")</f>
        <v>0</v>
      </c>
      <c r="L72" s="297">
        <f>_xlfn.XLOOKUP(C72,SEMANA29[COD],SEMANA29[Columna34],"")</f>
        <v>0</v>
      </c>
      <c r="M72" s="298" t="str">
        <f t="shared" si="14"/>
        <v>0,00</v>
      </c>
      <c r="N72" s="299">
        <f>_xlfn.XLOOKUP(C72,SEMANA29[COD],SEMANA29[Columna36],"")</f>
        <v>0</v>
      </c>
      <c r="O72" s="299">
        <f>_xlfn.XLOOKUP(C72,SEMANA29[COD],SEMANA29[Columna37],"")</f>
        <v>0</v>
      </c>
      <c r="P72" s="300" t="str">
        <f t="shared" si="15"/>
        <v>0,00</v>
      </c>
      <c r="Q72" s="301">
        <f>_xlfn.XLOOKUP(C72,SEMANA29[COD],SEMANA29[Columna1],"")</f>
        <v>0</v>
      </c>
      <c r="R72" s="3"/>
      <c r="U72" s="388" t="str">
        <v>COD 13</v>
      </c>
      <c r="V72" s="388" t="str">
        <f t="shared" si="16"/>
        <v>COD 13</v>
      </c>
    </row>
    <row r="73" spans="1:22" s="388" customFormat="1" ht="23.1" customHeight="1" outlineLevel="1" x14ac:dyDescent="0.35">
      <c r="A73" s="290"/>
      <c r="B73" s="291">
        <f t="shared" si="17"/>
        <v>14</v>
      </c>
      <c r="C73" s="543" t="str">
        <v>COD 14</v>
      </c>
      <c r="D73" s="464" t="str">
        <f>_xlfn.XLOOKUP(C73,CODIGOS_Y_PAGOS[CODIGO],CODIGOS_Y_PAGOS[NOMBRE PARTICIPANTE],"")</f>
        <v>PEDRO ALVAREZ</v>
      </c>
      <c r="E73" s="293">
        <f>_xlfn.XLOOKUP($C73,SEMANA29[COD],SEMANA29[Columna14],"")</f>
        <v>0</v>
      </c>
      <c r="F73" s="293">
        <f>_xlfn.XLOOKUP(C73,SEMANA29[COD],SEMANA29[Columna19],"")</f>
        <v>0</v>
      </c>
      <c r="G73" s="294" t="str">
        <f t="shared" si="12"/>
        <v>0,00</v>
      </c>
      <c r="H73" s="295">
        <f>_xlfn.XLOOKUP(C73,SEMANA29[COD],SEMANA29[Columna32],"")</f>
        <v>0</v>
      </c>
      <c r="I73" s="295">
        <f>_xlfn.XLOOKUP(C73,SEMANA29[COD],SEMANA29[Columna30],"")</f>
        <v>0</v>
      </c>
      <c r="J73" s="296" t="str">
        <f t="shared" si="13"/>
        <v>0,00</v>
      </c>
      <c r="K73" s="297">
        <f>_xlfn.XLOOKUP(C73,SEMANA29[COD],SEMANA29[Columna32],"")</f>
        <v>0</v>
      </c>
      <c r="L73" s="297">
        <f>_xlfn.XLOOKUP(C73,SEMANA29[COD],SEMANA29[Columna34],"")</f>
        <v>0</v>
      </c>
      <c r="M73" s="298" t="str">
        <f t="shared" si="14"/>
        <v>0,00</v>
      </c>
      <c r="N73" s="299">
        <f>_xlfn.XLOOKUP(C73,SEMANA29[COD],SEMANA29[Columna36],"")</f>
        <v>0</v>
      </c>
      <c r="O73" s="299">
        <f>_xlfn.XLOOKUP(C73,SEMANA29[COD],SEMANA29[Columna37],"")</f>
        <v>0</v>
      </c>
      <c r="P73" s="300" t="str">
        <f t="shared" si="15"/>
        <v>0,00</v>
      </c>
      <c r="Q73" s="301">
        <f>_xlfn.XLOOKUP(C73,SEMANA29[COD],SEMANA29[Columna1],"")</f>
        <v>0</v>
      </c>
      <c r="R73" s="3"/>
      <c r="U73" s="388" t="str">
        <v>COD 14</v>
      </c>
      <c r="V73" s="388" t="str">
        <f t="shared" si="16"/>
        <v>COD 14</v>
      </c>
    </row>
    <row r="74" spans="1:22" s="388" customFormat="1" ht="23.1" customHeight="1" outlineLevel="1" x14ac:dyDescent="0.35">
      <c r="A74" s="290"/>
      <c r="B74" s="291">
        <f t="shared" si="17"/>
        <v>15</v>
      </c>
      <c r="C74" s="543" t="str">
        <v>COD 15</v>
      </c>
      <c r="D74" s="464" t="str">
        <f>_xlfn.XLOOKUP(C74,CODIGOS_Y_PAGOS[CODIGO],CODIGOS_Y_PAGOS[NOMBRE PARTICIPANTE],"")</f>
        <v>CARLOS SUAREZ</v>
      </c>
      <c r="E74" s="293">
        <f>_xlfn.XLOOKUP($C74,SEMANA29[COD],SEMANA29[Columna14],"")</f>
        <v>0</v>
      </c>
      <c r="F74" s="293">
        <f>_xlfn.XLOOKUP(C74,SEMANA29[COD],SEMANA29[Columna19],"")</f>
        <v>0</v>
      </c>
      <c r="G74" s="294" t="str">
        <f t="shared" si="12"/>
        <v>0,00</v>
      </c>
      <c r="H74" s="295">
        <f>_xlfn.XLOOKUP(C74,SEMANA29[COD],SEMANA29[Columna32],"")</f>
        <v>0</v>
      </c>
      <c r="I74" s="295">
        <f>_xlfn.XLOOKUP(C74,SEMANA29[COD],SEMANA29[Columna30],"")</f>
        <v>0</v>
      </c>
      <c r="J74" s="296" t="str">
        <f t="shared" si="13"/>
        <v>0,00</v>
      </c>
      <c r="K74" s="297">
        <f>_xlfn.XLOOKUP(C74,SEMANA29[COD],SEMANA29[Columna32],"")</f>
        <v>0</v>
      </c>
      <c r="L74" s="297">
        <f>_xlfn.XLOOKUP(C74,SEMANA29[COD],SEMANA29[Columna34],"")</f>
        <v>0</v>
      </c>
      <c r="M74" s="298" t="str">
        <f t="shared" si="14"/>
        <v>0,00</v>
      </c>
      <c r="N74" s="299">
        <f>_xlfn.XLOOKUP(C74,SEMANA29[COD],SEMANA29[Columna36],"")</f>
        <v>0</v>
      </c>
      <c r="O74" s="299">
        <f>_xlfn.XLOOKUP(C74,SEMANA29[COD],SEMANA29[Columna37],"")</f>
        <v>0</v>
      </c>
      <c r="P74" s="300" t="str">
        <f t="shared" si="15"/>
        <v>0,00</v>
      </c>
      <c r="Q74" s="301">
        <f>_xlfn.XLOOKUP(C74,SEMANA29[COD],SEMANA29[Columna1],"")</f>
        <v>0</v>
      </c>
      <c r="R74" s="3"/>
      <c r="U74" s="388" t="str">
        <v>COD 15</v>
      </c>
      <c r="V74" s="388" t="str">
        <f t="shared" si="16"/>
        <v>COD 15</v>
      </c>
    </row>
    <row r="75" spans="1:22" s="388" customFormat="1" ht="23.1" customHeight="1" outlineLevel="1" x14ac:dyDescent="0.35">
      <c r="A75" s="290"/>
      <c r="B75" s="291">
        <f t="shared" si="17"/>
        <v>16</v>
      </c>
      <c r="C75" s="543" t="str">
        <v>COD 16</v>
      </c>
      <c r="D75" s="464" t="str">
        <f>_xlfn.XLOOKUP(C75,CODIGOS_Y_PAGOS[CODIGO],CODIGOS_Y_PAGOS[NOMBRE PARTICIPANTE],"")</f>
        <v>PODER HIPICO</v>
      </c>
      <c r="E75" s="293">
        <f>_xlfn.XLOOKUP($C75,SEMANA29[COD],SEMANA29[Columna14],"")</f>
        <v>0</v>
      </c>
      <c r="F75" s="293">
        <f>_xlfn.XLOOKUP(C75,SEMANA29[COD],SEMANA29[Columna19],"")</f>
        <v>0</v>
      </c>
      <c r="G75" s="294" t="str">
        <f t="shared" si="12"/>
        <v>0,00</v>
      </c>
      <c r="H75" s="295">
        <f>_xlfn.XLOOKUP(C75,SEMANA29[COD],SEMANA29[Columna32],"")</f>
        <v>0</v>
      </c>
      <c r="I75" s="295">
        <f>_xlfn.XLOOKUP(C75,SEMANA29[COD],SEMANA29[Columna30],"")</f>
        <v>0</v>
      </c>
      <c r="J75" s="296" t="str">
        <f t="shared" si="13"/>
        <v>0,00</v>
      </c>
      <c r="K75" s="297">
        <f>_xlfn.XLOOKUP(C75,SEMANA29[COD],SEMANA29[Columna32],"")</f>
        <v>0</v>
      </c>
      <c r="L75" s="297">
        <f>_xlfn.XLOOKUP(C75,SEMANA29[COD],SEMANA29[Columna34],"")</f>
        <v>0</v>
      </c>
      <c r="M75" s="298" t="str">
        <f t="shared" si="14"/>
        <v>0,00</v>
      </c>
      <c r="N75" s="299">
        <f>_xlfn.XLOOKUP(C75,SEMANA29[COD],SEMANA29[Columna36],"")</f>
        <v>0</v>
      </c>
      <c r="O75" s="299">
        <f>_xlfn.XLOOKUP(C75,SEMANA29[COD],SEMANA29[Columna37],"")</f>
        <v>0</v>
      </c>
      <c r="P75" s="300" t="str">
        <f t="shared" si="15"/>
        <v>0,00</v>
      </c>
      <c r="Q75" s="301">
        <f>_xlfn.XLOOKUP(C75,SEMANA29[COD],SEMANA29[Columna1],"")</f>
        <v>0</v>
      </c>
      <c r="R75" s="3"/>
      <c r="U75" s="388" t="str">
        <v>COD 16</v>
      </c>
      <c r="V75" s="388" t="str">
        <f t="shared" si="16"/>
        <v>COD 16</v>
      </c>
    </row>
    <row r="76" spans="1:22" s="388" customFormat="1" ht="23.1" customHeight="1" outlineLevel="1" x14ac:dyDescent="0.35">
      <c r="A76" s="290"/>
      <c r="B76" s="291">
        <f t="shared" si="17"/>
        <v>17</v>
      </c>
      <c r="C76" s="543" t="str">
        <v>COD 17</v>
      </c>
      <c r="D76" s="464" t="str">
        <f>_xlfn.XLOOKUP(C76,CODIGOS_Y_PAGOS[CODIGO],CODIGOS_Y_PAGOS[NOMBRE PARTICIPANTE],"")</f>
        <v>FERNANDO VALDIRIO</v>
      </c>
      <c r="E76" s="293">
        <f>_xlfn.XLOOKUP($C76,SEMANA29[COD],SEMANA29[Columna14],"")</f>
        <v>0</v>
      </c>
      <c r="F76" s="293">
        <f>_xlfn.XLOOKUP(C76,SEMANA29[COD],SEMANA29[Columna19],"")</f>
        <v>0</v>
      </c>
      <c r="G76" s="294" t="str">
        <f t="shared" si="12"/>
        <v>0,00</v>
      </c>
      <c r="H76" s="295">
        <f>_xlfn.XLOOKUP(C76,SEMANA29[COD],SEMANA29[Columna32],"")</f>
        <v>0</v>
      </c>
      <c r="I76" s="295">
        <f>_xlfn.XLOOKUP(C76,SEMANA29[COD],SEMANA29[Columna30],"")</f>
        <v>0</v>
      </c>
      <c r="J76" s="296" t="str">
        <f t="shared" si="13"/>
        <v>0,00</v>
      </c>
      <c r="K76" s="297">
        <f>_xlfn.XLOOKUP(C76,SEMANA29[COD],SEMANA29[Columna32],"")</f>
        <v>0</v>
      </c>
      <c r="L76" s="297">
        <f>_xlfn.XLOOKUP(C76,SEMANA29[COD],SEMANA29[Columna34],"")</f>
        <v>0</v>
      </c>
      <c r="M76" s="298" t="str">
        <f t="shared" si="14"/>
        <v>0,00</v>
      </c>
      <c r="N76" s="299">
        <f>_xlfn.XLOOKUP(C76,SEMANA29[COD],SEMANA29[Columna36],"")</f>
        <v>0</v>
      </c>
      <c r="O76" s="299">
        <f>_xlfn.XLOOKUP(C76,SEMANA29[COD],SEMANA29[Columna37],"")</f>
        <v>0</v>
      </c>
      <c r="P76" s="300" t="str">
        <f t="shared" si="15"/>
        <v>0,00</v>
      </c>
      <c r="Q76" s="301">
        <f>_xlfn.XLOOKUP(C76,SEMANA29[COD],SEMANA29[Columna1],"")</f>
        <v>0</v>
      </c>
      <c r="R76" s="3"/>
      <c r="U76" s="388" t="str">
        <v>COD 17</v>
      </c>
      <c r="V76" s="388" t="str">
        <f t="shared" si="16"/>
        <v>COD 17</v>
      </c>
    </row>
    <row r="77" spans="1:22" s="388" customFormat="1" ht="23.1" customHeight="1" outlineLevel="1" x14ac:dyDescent="0.35">
      <c r="A77" s="290"/>
      <c r="B77" s="291">
        <f t="shared" si="17"/>
        <v>18</v>
      </c>
      <c r="C77" s="543" t="str">
        <v>COD 18</v>
      </c>
      <c r="D77" s="464" t="str">
        <f>_xlfn.XLOOKUP(C77,CODIGOS_Y_PAGOS[CODIGO],CODIGOS_Y_PAGOS[NOMBRE PARTICIPANTE],"")</f>
        <v>CASTOR CHIRINOS</v>
      </c>
      <c r="E77" s="293">
        <f>_xlfn.XLOOKUP($C77,SEMANA29[COD],SEMANA29[Columna14],"")</f>
        <v>0</v>
      </c>
      <c r="F77" s="293">
        <f>_xlfn.XLOOKUP(C77,SEMANA29[COD],SEMANA29[Columna19],"")</f>
        <v>0</v>
      </c>
      <c r="G77" s="294" t="str">
        <f t="shared" si="12"/>
        <v>0,00</v>
      </c>
      <c r="H77" s="295">
        <f>_xlfn.XLOOKUP(C77,SEMANA29[COD],SEMANA29[Columna32],"")</f>
        <v>0</v>
      </c>
      <c r="I77" s="295">
        <f>_xlfn.XLOOKUP(C77,SEMANA29[COD],SEMANA29[Columna30],"")</f>
        <v>0</v>
      </c>
      <c r="J77" s="296" t="str">
        <f t="shared" si="13"/>
        <v>0,00</v>
      </c>
      <c r="K77" s="297">
        <f>_xlfn.XLOOKUP(C77,SEMANA29[COD],SEMANA29[Columna32],"")</f>
        <v>0</v>
      </c>
      <c r="L77" s="297">
        <f>_xlfn.XLOOKUP(C77,SEMANA29[COD],SEMANA29[Columna34],"")</f>
        <v>0</v>
      </c>
      <c r="M77" s="298" t="str">
        <f t="shared" si="14"/>
        <v>0,00</v>
      </c>
      <c r="N77" s="299">
        <f>_xlfn.XLOOKUP(C77,SEMANA29[COD],SEMANA29[Columna36],"")</f>
        <v>0</v>
      </c>
      <c r="O77" s="299">
        <f>_xlfn.XLOOKUP(C77,SEMANA29[COD],SEMANA29[Columna37],"")</f>
        <v>0</v>
      </c>
      <c r="P77" s="300" t="str">
        <f t="shared" si="15"/>
        <v>0,00</v>
      </c>
      <c r="Q77" s="301">
        <f>_xlfn.XLOOKUP(C77,SEMANA29[COD],SEMANA29[Columna1],"")</f>
        <v>0</v>
      </c>
      <c r="R77" s="3"/>
      <c r="U77" s="388" t="str">
        <v>COD 18</v>
      </c>
      <c r="V77" s="388" t="str">
        <f t="shared" si="16"/>
        <v>COD 18</v>
      </c>
    </row>
    <row r="78" spans="1:22" s="388" customFormat="1" ht="23.1" customHeight="1" outlineLevel="1" x14ac:dyDescent="0.35">
      <c r="A78" s="290"/>
      <c r="B78" s="291">
        <f t="shared" si="17"/>
        <v>19</v>
      </c>
      <c r="C78" s="543" t="str">
        <v>COD 19</v>
      </c>
      <c r="D78" s="464" t="str">
        <f>_xlfn.XLOOKUP(C78,CODIGOS_Y_PAGOS[CODIGO],CODIGOS_Y_PAGOS[NOMBRE PARTICIPANTE],"")</f>
        <v>EL SAMURAI HIPICO</v>
      </c>
      <c r="E78" s="293">
        <f>_xlfn.XLOOKUP($C78,SEMANA29[COD],SEMANA29[Columna14],"")</f>
        <v>0</v>
      </c>
      <c r="F78" s="293">
        <f>_xlfn.XLOOKUP(C78,SEMANA29[COD],SEMANA29[Columna19],"")</f>
        <v>0</v>
      </c>
      <c r="G78" s="294" t="str">
        <f t="shared" si="12"/>
        <v>0,00</v>
      </c>
      <c r="H78" s="295">
        <f>_xlfn.XLOOKUP(C78,SEMANA29[COD],SEMANA29[Columna32],"")</f>
        <v>0</v>
      </c>
      <c r="I78" s="295">
        <f>_xlfn.XLOOKUP(C78,SEMANA29[COD],SEMANA29[Columna30],"")</f>
        <v>0</v>
      </c>
      <c r="J78" s="296" t="str">
        <f t="shared" si="13"/>
        <v>0,00</v>
      </c>
      <c r="K78" s="297">
        <f>_xlfn.XLOOKUP(C78,SEMANA29[COD],SEMANA29[Columna32],"")</f>
        <v>0</v>
      </c>
      <c r="L78" s="297">
        <f>_xlfn.XLOOKUP(C78,SEMANA29[COD],SEMANA29[Columna34],"")</f>
        <v>0</v>
      </c>
      <c r="M78" s="298" t="str">
        <f t="shared" si="14"/>
        <v>0,00</v>
      </c>
      <c r="N78" s="299">
        <f>_xlfn.XLOOKUP(C78,SEMANA29[COD],SEMANA29[Columna36],"")</f>
        <v>0</v>
      </c>
      <c r="O78" s="299">
        <f>_xlfn.XLOOKUP(C78,SEMANA29[COD],SEMANA29[Columna37],"")</f>
        <v>0</v>
      </c>
      <c r="P78" s="300" t="str">
        <f t="shared" si="15"/>
        <v>0,00</v>
      </c>
      <c r="Q78" s="301">
        <f>_xlfn.XLOOKUP(C78,SEMANA29[COD],SEMANA29[Columna1],"")</f>
        <v>0</v>
      </c>
      <c r="R78" s="3"/>
      <c r="U78" s="388" t="str">
        <v>COD 19</v>
      </c>
      <c r="V78" s="388" t="str">
        <f t="shared" si="16"/>
        <v>COD 19</v>
      </c>
    </row>
    <row r="79" spans="1:22" s="388" customFormat="1" ht="23.1" customHeight="1" outlineLevel="1" x14ac:dyDescent="0.35">
      <c r="A79" s="290"/>
      <c r="B79" s="291">
        <f t="shared" si="17"/>
        <v>20</v>
      </c>
      <c r="C79" s="543" t="str">
        <v>COD 20</v>
      </c>
      <c r="D79" s="464" t="str">
        <f>_xlfn.XLOOKUP(C79,CODIGOS_Y_PAGOS[CODIGO],CODIGOS_Y_PAGOS[NOMBRE PARTICIPANTE],"")</f>
        <v>CHINO</v>
      </c>
      <c r="E79" s="293">
        <f>_xlfn.XLOOKUP($C79,SEMANA29[COD],SEMANA29[Columna14],"")</f>
        <v>0</v>
      </c>
      <c r="F79" s="293">
        <f>_xlfn.XLOOKUP(C79,SEMANA29[COD],SEMANA29[Columna19],"")</f>
        <v>0</v>
      </c>
      <c r="G79" s="294" t="str">
        <f t="shared" si="12"/>
        <v>0,00</v>
      </c>
      <c r="H79" s="295">
        <f>_xlfn.XLOOKUP(C79,SEMANA29[COD],SEMANA29[Columna32],"")</f>
        <v>0</v>
      </c>
      <c r="I79" s="295">
        <f>_xlfn.XLOOKUP(C79,SEMANA29[COD],SEMANA29[Columna30],"")</f>
        <v>0</v>
      </c>
      <c r="J79" s="296" t="str">
        <f t="shared" si="13"/>
        <v>0,00</v>
      </c>
      <c r="K79" s="297">
        <f>_xlfn.XLOOKUP(C79,SEMANA29[COD],SEMANA29[Columna32],"")</f>
        <v>0</v>
      </c>
      <c r="L79" s="297">
        <f>_xlfn.XLOOKUP(C79,SEMANA29[COD],SEMANA29[Columna34],"")</f>
        <v>0</v>
      </c>
      <c r="M79" s="298" t="str">
        <f t="shared" si="14"/>
        <v>0,00</v>
      </c>
      <c r="N79" s="299">
        <f>_xlfn.XLOOKUP(C79,SEMANA29[COD],SEMANA29[Columna36],"")</f>
        <v>0</v>
      </c>
      <c r="O79" s="299">
        <f>_xlfn.XLOOKUP(C79,SEMANA29[COD],SEMANA29[Columna37],"")</f>
        <v>0</v>
      </c>
      <c r="P79" s="300" t="str">
        <f t="shared" si="15"/>
        <v>0,00</v>
      </c>
      <c r="Q79" s="301">
        <f>_xlfn.XLOOKUP(C79,SEMANA29[COD],SEMANA29[Columna1],"")</f>
        <v>0</v>
      </c>
      <c r="R79" s="3"/>
      <c r="U79" s="388" t="str">
        <v>COD 20</v>
      </c>
      <c r="V79" s="388" t="str">
        <f t="shared" si="16"/>
        <v>COD 20</v>
      </c>
    </row>
    <row r="80" spans="1:22" s="388" customFormat="1" ht="23.1" customHeight="1" outlineLevel="1" x14ac:dyDescent="0.35">
      <c r="A80" s="290"/>
      <c r="B80" s="302">
        <f t="shared" si="17"/>
        <v>21</v>
      </c>
      <c r="C80" s="543" t="str">
        <v>COD 21</v>
      </c>
      <c r="D80" s="464" t="str">
        <f>_xlfn.XLOOKUP(C80,CODIGOS_Y_PAGOS[CODIGO],CODIGOS_Y_PAGOS[NOMBRE PARTICIPANTE],"")</f>
        <v>WILMER</v>
      </c>
      <c r="E80" s="293">
        <f>_xlfn.XLOOKUP($C80,SEMANA29[COD],SEMANA29[Columna14],"")</f>
        <v>0</v>
      </c>
      <c r="F80" s="293">
        <f>_xlfn.XLOOKUP(C80,SEMANA29[COD],SEMANA29[Columna19],"")</f>
        <v>0</v>
      </c>
      <c r="G80" s="294" t="str">
        <f t="shared" si="12"/>
        <v>0,00</v>
      </c>
      <c r="H80" s="295">
        <f>_xlfn.XLOOKUP(C80,SEMANA29[COD],SEMANA29[Columna32],"")</f>
        <v>0</v>
      </c>
      <c r="I80" s="295">
        <f>_xlfn.XLOOKUP(C80,SEMANA29[COD],SEMANA29[Columna30],"")</f>
        <v>0</v>
      </c>
      <c r="J80" s="296" t="str">
        <f t="shared" si="13"/>
        <v>0,00</v>
      </c>
      <c r="K80" s="297">
        <f>_xlfn.XLOOKUP(C80,SEMANA29[COD],SEMANA29[Columna32],"")</f>
        <v>0</v>
      </c>
      <c r="L80" s="297">
        <f>_xlfn.XLOOKUP(C80,SEMANA29[COD],SEMANA29[Columna34],"")</f>
        <v>0</v>
      </c>
      <c r="M80" s="298" t="str">
        <f t="shared" si="14"/>
        <v>0,00</v>
      </c>
      <c r="N80" s="299">
        <f>_xlfn.XLOOKUP(C80,SEMANA29[COD],SEMANA29[Columna36],"")</f>
        <v>0</v>
      </c>
      <c r="O80" s="299">
        <f>_xlfn.XLOOKUP(C80,SEMANA29[COD],SEMANA29[Columna37],"")</f>
        <v>0</v>
      </c>
      <c r="P80" s="300" t="str">
        <f t="shared" si="15"/>
        <v>0,00</v>
      </c>
      <c r="Q80" s="301">
        <f>_xlfn.XLOOKUP(C80,SEMANA29[COD],SEMANA29[Columna1],"")</f>
        <v>0</v>
      </c>
      <c r="R80" s="3"/>
      <c r="U80" s="388" t="str">
        <v>COD 21</v>
      </c>
      <c r="V80" s="388" t="str">
        <f t="shared" si="16"/>
        <v>COD 21</v>
      </c>
    </row>
    <row r="81" spans="1:22" s="388" customFormat="1" ht="23.1" customHeight="1" outlineLevel="1" x14ac:dyDescent="0.35">
      <c r="A81" s="290"/>
      <c r="B81" s="303">
        <f t="shared" si="17"/>
        <v>22</v>
      </c>
      <c r="C81" s="543" t="str">
        <v>COD 22</v>
      </c>
      <c r="D81" s="464" t="str">
        <f>_xlfn.XLOOKUP(C81,CODIGOS_Y_PAGOS[CODIGO],CODIGOS_Y_PAGOS[NOMBRE PARTICIPANTE],"")</f>
        <v>ROGER PIÑA</v>
      </c>
      <c r="E81" s="293">
        <f>_xlfn.XLOOKUP($C81,SEMANA29[COD],SEMANA29[Columna14],"")</f>
        <v>0</v>
      </c>
      <c r="F81" s="293">
        <f>_xlfn.XLOOKUP(C81,SEMANA29[COD],SEMANA29[Columna19],"")</f>
        <v>0</v>
      </c>
      <c r="G81" s="294" t="str">
        <f t="shared" si="12"/>
        <v>0,00</v>
      </c>
      <c r="H81" s="295">
        <f>_xlfn.XLOOKUP(C81,SEMANA29[COD],SEMANA29[Columna32],"")</f>
        <v>0</v>
      </c>
      <c r="I81" s="295">
        <f>_xlfn.XLOOKUP(C81,SEMANA29[COD],SEMANA29[Columna30],"")</f>
        <v>0</v>
      </c>
      <c r="J81" s="296" t="str">
        <f t="shared" si="13"/>
        <v>0,00</v>
      </c>
      <c r="K81" s="297">
        <f>_xlfn.XLOOKUP(C81,SEMANA29[COD],SEMANA29[Columna32],"")</f>
        <v>0</v>
      </c>
      <c r="L81" s="297">
        <f>_xlfn.XLOOKUP(C81,SEMANA29[COD],SEMANA29[Columna34],"")</f>
        <v>0</v>
      </c>
      <c r="M81" s="298" t="str">
        <f t="shared" si="14"/>
        <v>0,00</v>
      </c>
      <c r="N81" s="299">
        <f>_xlfn.XLOOKUP(C81,SEMANA29[COD],SEMANA29[Columna36],"")</f>
        <v>0</v>
      </c>
      <c r="O81" s="299">
        <f>_xlfn.XLOOKUP(C81,SEMANA29[COD],SEMANA29[Columna37],"")</f>
        <v>0</v>
      </c>
      <c r="P81" s="300" t="str">
        <f t="shared" si="15"/>
        <v>0,00</v>
      </c>
      <c r="Q81" s="301">
        <f>_xlfn.XLOOKUP(C81,SEMANA29[COD],SEMANA29[Columna1],"")</f>
        <v>0</v>
      </c>
      <c r="R81" s="3"/>
      <c r="U81" s="388" t="str">
        <v>COD 22</v>
      </c>
      <c r="V81" s="388" t="str">
        <f t="shared" si="16"/>
        <v>COD 22</v>
      </c>
    </row>
    <row r="82" spans="1:22" s="388" customFormat="1" ht="23.1" customHeight="1" outlineLevel="1" x14ac:dyDescent="0.35">
      <c r="A82" s="290"/>
      <c r="B82" s="302">
        <f t="shared" si="17"/>
        <v>23</v>
      </c>
      <c r="C82" s="543" t="str">
        <v>COD 23</v>
      </c>
      <c r="D82" s="464" t="str">
        <f>_xlfn.XLOOKUP(C82,CODIGOS_Y_PAGOS[CODIGO],CODIGOS_Y_PAGOS[NOMBRE PARTICIPANTE],"")</f>
        <v>GILBERT</v>
      </c>
      <c r="E82" s="293">
        <f>_xlfn.XLOOKUP($C82,SEMANA29[COD],SEMANA29[Columna14],"")</f>
        <v>0</v>
      </c>
      <c r="F82" s="293">
        <f>_xlfn.XLOOKUP(C82,SEMANA29[COD],SEMANA29[Columna19],"")</f>
        <v>0</v>
      </c>
      <c r="G82" s="294" t="str">
        <f t="shared" si="12"/>
        <v>0,00</v>
      </c>
      <c r="H82" s="295">
        <f>_xlfn.XLOOKUP(C82,SEMANA29[COD],SEMANA29[Columna32],"")</f>
        <v>0</v>
      </c>
      <c r="I82" s="295">
        <f>_xlfn.XLOOKUP(C82,SEMANA29[COD],SEMANA29[Columna30],"")</f>
        <v>0</v>
      </c>
      <c r="J82" s="296" t="str">
        <f t="shared" si="13"/>
        <v>0,00</v>
      </c>
      <c r="K82" s="297">
        <f>_xlfn.XLOOKUP(C82,SEMANA29[COD],SEMANA29[Columna32],"")</f>
        <v>0</v>
      </c>
      <c r="L82" s="297">
        <f>_xlfn.XLOOKUP(C82,SEMANA29[COD],SEMANA29[Columna34],"")</f>
        <v>0</v>
      </c>
      <c r="M82" s="298" t="str">
        <f t="shared" si="14"/>
        <v>0,00</v>
      </c>
      <c r="N82" s="299">
        <f>_xlfn.XLOOKUP(C82,SEMANA29[COD],SEMANA29[Columna36],"")</f>
        <v>0</v>
      </c>
      <c r="O82" s="299">
        <f>_xlfn.XLOOKUP(C82,SEMANA29[COD],SEMANA29[Columna37],"")</f>
        <v>0</v>
      </c>
      <c r="P82" s="300" t="str">
        <f t="shared" si="15"/>
        <v>0,00</v>
      </c>
      <c r="Q82" s="301">
        <f>_xlfn.XLOOKUP(C82,SEMANA29[COD],SEMANA29[Columna1],"")</f>
        <v>0</v>
      </c>
      <c r="R82" s="3"/>
      <c r="U82" s="388" t="str">
        <v>COD 23</v>
      </c>
      <c r="V82" s="388" t="str">
        <f t="shared" si="16"/>
        <v>COD 23</v>
      </c>
    </row>
    <row r="83" spans="1:22" s="388" customFormat="1" ht="23.1" customHeight="1" outlineLevel="1" x14ac:dyDescent="0.35">
      <c r="A83" s="290"/>
      <c r="B83" s="302">
        <f t="shared" si="17"/>
        <v>24</v>
      </c>
      <c r="C83" s="543" t="str">
        <v>COD 24</v>
      </c>
      <c r="D83" s="464">
        <f>_xlfn.XLOOKUP(C83,CODIGOS_Y_PAGOS[CODIGO],CODIGOS_Y_PAGOS[NOMBRE PARTICIPANTE],"")</f>
        <v>0</v>
      </c>
      <c r="E83" s="293">
        <f>_xlfn.XLOOKUP($C83,SEMANA29[COD],SEMANA29[Columna14],"")</f>
        <v>0</v>
      </c>
      <c r="F83" s="293">
        <f>_xlfn.XLOOKUP(C83,SEMANA29[COD],SEMANA29[Columna19],"")</f>
        <v>0</v>
      </c>
      <c r="G83" s="294" t="str">
        <f t="shared" si="12"/>
        <v>0,00</v>
      </c>
      <c r="H83" s="295">
        <f>_xlfn.XLOOKUP(C83,SEMANA29[COD],SEMANA29[Columna32],"")</f>
        <v>0</v>
      </c>
      <c r="I83" s="295">
        <f>_xlfn.XLOOKUP(C83,SEMANA29[COD],SEMANA29[Columna30],"")</f>
        <v>0</v>
      </c>
      <c r="J83" s="296" t="str">
        <f t="shared" si="13"/>
        <v>0,00</v>
      </c>
      <c r="K83" s="297">
        <f>_xlfn.XLOOKUP(C83,SEMANA29[COD],SEMANA29[Columna32],"")</f>
        <v>0</v>
      </c>
      <c r="L83" s="297">
        <f>_xlfn.XLOOKUP(C83,SEMANA29[COD],SEMANA29[Columna34],"")</f>
        <v>0</v>
      </c>
      <c r="M83" s="298" t="str">
        <f t="shared" si="14"/>
        <v>0,00</v>
      </c>
      <c r="N83" s="299">
        <f>_xlfn.XLOOKUP(C83,SEMANA29[COD],SEMANA29[Columna36],"")</f>
        <v>0</v>
      </c>
      <c r="O83" s="299">
        <f>_xlfn.XLOOKUP(C83,SEMANA29[COD],SEMANA29[Columna37],"")</f>
        <v>0</v>
      </c>
      <c r="P83" s="300" t="str">
        <f t="shared" si="15"/>
        <v>0,00</v>
      </c>
      <c r="Q83" s="301">
        <f>_xlfn.XLOOKUP(C83,SEMANA29[COD],SEMANA29[Columna1],"")</f>
        <v>0</v>
      </c>
      <c r="R83" s="3"/>
      <c r="U83" s="388" t="str">
        <v>COD 24</v>
      </c>
      <c r="V83" s="388" t="str">
        <f t="shared" si="16"/>
        <v>COD 24</v>
      </c>
    </row>
    <row r="84" spans="1:22" s="388" customFormat="1" ht="23.1" customHeight="1" outlineLevel="1" x14ac:dyDescent="0.35">
      <c r="A84" s="290"/>
      <c r="B84" s="302">
        <f t="shared" si="17"/>
        <v>25</v>
      </c>
      <c r="C84" s="543" t="str">
        <v>COD 25</v>
      </c>
      <c r="D84" s="464" t="str">
        <f>_xlfn.XLOOKUP(C84,CODIGOS_Y_PAGOS[CODIGO],CODIGOS_Y_PAGOS[NOMBRE PARTICIPANTE],"")</f>
        <v>GLEY GARCIA</v>
      </c>
      <c r="E84" s="293">
        <f>_xlfn.XLOOKUP($C84,SEMANA29[COD],SEMANA29[Columna14],"")</f>
        <v>0</v>
      </c>
      <c r="F84" s="293">
        <f>_xlfn.XLOOKUP(C84,SEMANA29[COD],SEMANA29[Columna19],"")</f>
        <v>0</v>
      </c>
      <c r="G84" s="294" t="str">
        <f t="shared" si="12"/>
        <v>0,00</v>
      </c>
      <c r="H84" s="295">
        <f>_xlfn.XLOOKUP(C84,SEMANA29[COD],SEMANA29[Columna32],"")</f>
        <v>0</v>
      </c>
      <c r="I84" s="295">
        <f>_xlfn.XLOOKUP(C84,SEMANA29[COD],SEMANA29[Columna30],"")</f>
        <v>0</v>
      </c>
      <c r="J84" s="296" t="str">
        <f t="shared" si="13"/>
        <v>0,00</v>
      </c>
      <c r="K84" s="297">
        <f>_xlfn.XLOOKUP(C84,SEMANA29[COD],SEMANA29[Columna32],"")</f>
        <v>0</v>
      </c>
      <c r="L84" s="297">
        <f>_xlfn.XLOOKUP(C84,SEMANA29[COD],SEMANA29[Columna34],"")</f>
        <v>0</v>
      </c>
      <c r="M84" s="298" t="str">
        <f t="shared" si="14"/>
        <v>0,00</v>
      </c>
      <c r="N84" s="299">
        <f>_xlfn.XLOOKUP(C84,SEMANA29[COD],SEMANA29[Columna36],"")</f>
        <v>0</v>
      </c>
      <c r="O84" s="299">
        <f>_xlfn.XLOOKUP(C84,SEMANA29[COD],SEMANA29[Columna37],"")</f>
        <v>0</v>
      </c>
      <c r="P84" s="300" t="str">
        <f t="shared" si="15"/>
        <v>0,00</v>
      </c>
      <c r="Q84" s="301">
        <f>_xlfn.XLOOKUP(C84,SEMANA29[COD],SEMANA29[Columna1],"")</f>
        <v>0</v>
      </c>
      <c r="R84" s="3"/>
      <c r="U84" s="388" t="str">
        <v>COD 25</v>
      </c>
      <c r="V84" s="388" t="str">
        <f t="shared" si="16"/>
        <v>COD 25</v>
      </c>
    </row>
    <row r="85" spans="1:22" s="388" customFormat="1" ht="23.1" customHeight="1" outlineLevel="1" x14ac:dyDescent="0.35">
      <c r="A85" s="290"/>
      <c r="B85" s="302">
        <f t="shared" si="17"/>
        <v>26</v>
      </c>
      <c r="C85" s="543" t="str">
        <v>COD 26</v>
      </c>
      <c r="D85" s="464" t="str">
        <f>_xlfn.XLOOKUP(C85,CODIGOS_Y_PAGOS[CODIGO],CODIGOS_Y_PAGOS[NOMBRE PARTICIPANTE],"")</f>
        <v>PEDRO TABEROA</v>
      </c>
      <c r="E85" s="293">
        <f>_xlfn.XLOOKUP($C85,SEMANA29[COD],SEMANA29[Columna14],"")</f>
        <v>0</v>
      </c>
      <c r="F85" s="293">
        <f>_xlfn.XLOOKUP(C85,SEMANA29[COD],SEMANA29[Columna19],"")</f>
        <v>0</v>
      </c>
      <c r="G85" s="294" t="str">
        <f t="shared" si="12"/>
        <v>0,00</v>
      </c>
      <c r="H85" s="295">
        <f>_xlfn.XLOOKUP(C85,SEMANA29[COD],SEMANA29[Columna32],"")</f>
        <v>0</v>
      </c>
      <c r="I85" s="295">
        <f>_xlfn.XLOOKUP(C85,SEMANA29[COD],SEMANA29[Columna30],"")</f>
        <v>0</v>
      </c>
      <c r="J85" s="296" t="str">
        <f t="shared" si="13"/>
        <v>0,00</v>
      </c>
      <c r="K85" s="297">
        <f>_xlfn.XLOOKUP(C85,SEMANA29[COD],SEMANA29[Columna32],"")</f>
        <v>0</v>
      </c>
      <c r="L85" s="297">
        <f>_xlfn.XLOOKUP(C85,SEMANA29[COD],SEMANA29[Columna34],"")</f>
        <v>0</v>
      </c>
      <c r="M85" s="298" t="str">
        <f t="shared" si="14"/>
        <v>0,00</v>
      </c>
      <c r="N85" s="299">
        <f>_xlfn.XLOOKUP(C85,SEMANA29[COD],SEMANA29[Columna36],"")</f>
        <v>0</v>
      </c>
      <c r="O85" s="299">
        <f>_xlfn.XLOOKUP(C85,SEMANA29[COD],SEMANA29[Columna37],"")</f>
        <v>0</v>
      </c>
      <c r="P85" s="300" t="str">
        <f t="shared" si="15"/>
        <v>0,00</v>
      </c>
      <c r="Q85" s="301">
        <f>_xlfn.XLOOKUP(C85,SEMANA29[COD],SEMANA29[Columna1],"")</f>
        <v>0</v>
      </c>
      <c r="R85" s="3"/>
      <c r="U85" s="388" t="str">
        <v>COD 26</v>
      </c>
      <c r="V85" s="388" t="str">
        <f t="shared" si="16"/>
        <v>COD 26</v>
      </c>
    </row>
    <row r="86" spans="1:22" s="388" customFormat="1" ht="23.1" customHeight="1" outlineLevel="1" x14ac:dyDescent="0.35">
      <c r="A86" s="290"/>
      <c r="B86" s="302">
        <f t="shared" si="17"/>
        <v>27</v>
      </c>
      <c r="C86" s="543" t="str">
        <v>COD 27</v>
      </c>
      <c r="D86" s="464" t="str">
        <f>_xlfn.XLOOKUP(C86,CODIGOS_Y_PAGOS[CODIGO],CODIGOS_Y_PAGOS[NOMBRE PARTICIPANTE],"")</f>
        <v>ANDERSON HERNANDEZ</v>
      </c>
      <c r="E86" s="293">
        <f>_xlfn.XLOOKUP($C86,SEMANA29[COD],SEMANA29[Columna14],"")</f>
        <v>0</v>
      </c>
      <c r="F86" s="293">
        <f>_xlfn.XLOOKUP(C86,SEMANA29[COD],SEMANA29[Columna19],"")</f>
        <v>0</v>
      </c>
      <c r="G86" s="294" t="str">
        <f t="shared" si="12"/>
        <v>0,00</v>
      </c>
      <c r="H86" s="295">
        <f>_xlfn.XLOOKUP(C86,SEMANA29[COD],SEMANA29[Columna32],"")</f>
        <v>0</v>
      </c>
      <c r="I86" s="295">
        <f>_xlfn.XLOOKUP(C86,SEMANA29[COD],SEMANA29[Columna30],"")</f>
        <v>0</v>
      </c>
      <c r="J86" s="296" t="str">
        <f t="shared" si="13"/>
        <v>0,00</v>
      </c>
      <c r="K86" s="297">
        <f>_xlfn.XLOOKUP(C86,SEMANA29[COD],SEMANA29[Columna32],"")</f>
        <v>0</v>
      </c>
      <c r="L86" s="297">
        <f>_xlfn.XLOOKUP(C86,SEMANA29[COD],SEMANA29[Columna34],"")</f>
        <v>0</v>
      </c>
      <c r="M86" s="298" t="str">
        <f t="shared" si="14"/>
        <v>0,00</v>
      </c>
      <c r="N86" s="299">
        <f>_xlfn.XLOOKUP(C86,SEMANA29[COD],SEMANA29[Columna36],"")</f>
        <v>0</v>
      </c>
      <c r="O86" s="299">
        <f>_xlfn.XLOOKUP(C86,SEMANA29[COD],SEMANA29[Columna37],"")</f>
        <v>0</v>
      </c>
      <c r="P86" s="300" t="str">
        <f t="shared" si="15"/>
        <v>0,00</v>
      </c>
      <c r="Q86" s="301">
        <f>_xlfn.XLOOKUP(C86,SEMANA29[COD],SEMANA29[Columna1],"")</f>
        <v>0</v>
      </c>
      <c r="R86" s="3"/>
      <c r="U86" s="388" t="str">
        <v>COD 27</v>
      </c>
      <c r="V86" s="388" t="str">
        <f t="shared" si="16"/>
        <v>COD 27</v>
      </c>
    </row>
    <row r="87" spans="1:22" s="388" customFormat="1" ht="23.1" customHeight="1" outlineLevel="1" x14ac:dyDescent="0.35">
      <c r="A87" s="290"/>
      <c r="B87" s="302">
        <f t="shared" si="17"/>
        <v>28</v>
      </c>
      <c r="C87" s="543" t="str">
        <v>COD 28</v>
      </c>
      <c r="D87" s="464" t="str">
        <f>_xlfn.XLOOKUP(C87,CODIGOS_Y_PAGOS[CODIGO],CODIGOS_Y_PAGOS[NOMBRE PARTICIPANTE],"")</f>
        <v>FRANKLIN DELGADO</v>
      </c>
      <c r="E87" s="293">
        <f>_xlfn.XLOOKUP($C87,SEMANA29[COD],SEMANA29[Columna14],"")</f>
        <v>0</v>
      </c>
      <c r="F87" s="293">
        <f>_xlfn.XLOOKUP(C87,SEMANA29[COD],SEMANA29[Columna19],"")</f>
        <v>0</v>
      </c>
      <c r="G87" s="294" t="str">
        <f t="shared" si="12"/>
        <v>0,00</v>
      </c>
      <c r="H87" s="295">
        <f>_xlfn.XLOOKUP(C87,SEMANA29[COD],SEMANA29[Columna32],"")</f>
        <v>0</v>
      </c>
      <c r="I87" s="295">
        <f>_xlfn.XLOOKUP(C87,SEMANA29[COD],SEMANA29[Columna30],"")</f>
        <v>0</v>
      </c>
      <c r="J87" s="296" t="str">
        <f t="shared" si="13"/>
        <v>0,00</v>
      </c>
      <c r="K87" s="297">
        <f>_xlfn.XLOOKUP(C87,SEMANA29[COD],SEMANA29[Columna32],"")</f>
        <v>0</v>
      </c>
      <c r="L87" s="297">
        <f>_xlfn.XLOOKUP(C87,SEMANA29[COD],SEMANA29[Columna34],"")</f>
        <v>0</v>
      </c>
      <c r="M87" s="298" t="str">
        <f t="shared" si="14"/>
        <v>0,00</v>
      </c>
      <c r="N87" s="299">
        <f>_xlfn.XLOOKUP(C87,SEMANA29[COD],SEMANA29[Columna36],"")</f>
        <v>0</v>
      </c>
      <c r="O87" s="299">
        <f>_xlfn.XLOOKUP(C87,SEMANA29[COD],SEMANA29[Columna37],"")</f>
        <v>0</v>
      </c>
      <c r="P87" s="300" t="str">
        <f t="shared" si="15"/>
        <v>0,00</v>
      </c>
      <c r="Q87" s="301">
        <f>_xlfn.XLOOKUP(C87,SEMANA29[COD],SEMANA29[Columna1],"")</f>
        <v>0</v>
      </c>
      <c r="R87" s="3"/>
      <c r="U87" s="388" t="str">
        <v>COD 28</v>
      </c>
      <c r="V87" s="388" t="str">
        <f t="shared" si="16"/>
        <v>COD 28</v>
      </c>
    </row>
    <row r="88" spans="1:22" s="388" customFormat="1" ht="23.1" customHeight="1" outlineLevel="1" x14ac:dyDescent="0.35">
      <c r="A88" s="290"/>
      <c r="B88" s="302">
        <f t="shared" si="17"/>
        <v>29</v>
      </c>
      <c r="C88" s="543" t="str">
        <v>COD 29</v>
      </c>
      <c r="D88" s="464" t="str">
        <f>_xlfn.XLOOKUP(C88,CODIGOS_Y_PAGOS[CODIGO],CODIGOS_Y_PAGOS[NOMBRE PARTICIPANTE],"")</f>
        <v>JEAN MARCO</v>
      </c>
      <c r="E88" s="293">
        <f>_xlfn.XLOOKUP($C88,SEMANA29[COD],SEMANA29[Columna14],"")</f>
        <v>0</v>
      </c>
      <c r="F88" s="293">
        <f>_xlfn.XLOOKUP(C88,SEMANA29[COD],SEMANA29[Columna19],"")</f>
        <v>0</v>
      </c>
      <c r="G88" s="294" t="str">
        <f t="shared" si="12"/>
        <v>0,00</v>
      </c>
      <c r="H88" s="295">
        <f>_xlfn.XLOOKUP(C88,SEMANA29[COD],SEMANA29[Columna32],"")</f>
        <v>0</v>
      </c>
      <c r="I88" s="295">
        <f>_xlfn.XLOOKUP(C88,SEMANA29[COD],SEMANA29[Columna30],"")</f>
        <v>0</v>
      </c>
      <c r="J88" s="296" t="str">
        <f t="shared" si="13"/>
        <v>0,00</v>
      </c>
      <c r="K88" s="297">
        <f>_xlfn.XLOOKUP(C88,SEMANA29[COD],SEMANA29[Columna32],"")</f>
        <v>0</v>
      </c>
      <c r="L88" s="297">
        <f>_xlfn.XLOOKUP(C88,SEMANA29[COD],SEMANA29[Columna34],"")</f>
        <v>0</v>
      </c>
      <c r="M88" s="298" t="str">
        <f t="shared" si="14"/>
        <v>0,00</v>
      </c>
      <c r="N88" s="299">
        <f>_xlfn.XLOOKUP(C88,SEMANA29[COD],SEMANA29[Columna36],"")</f>
        <v>0</v>
      </c>
      <c r="O88" s="299">
        <f>_xlfn.XLOOKUP(C88,SEMANA29[COD],SEMANA29[Columna37],"")</f>
        <v>0</v>
      </c>
      <c r="P88" s="300" t="str">
        <f t="shared" si="15"/>
        <v>0,00</v>
      </c>
      <c r="Q88" s="301">
        <f>_xlfn.XLOOKUP(C88,SEMANA29[COD],SEMANA29[Columna1],"")</f>
        <v>0</v>
      </c>
      <c r="R88" s="3"/>
      <c r="U88" s="388" t="str">
        <v>COD 29</v>
      </c>
      <c r="V88" s="388" t="str">
        <f t="shared" si="16"/>
        <v>COD 29</v>
      </c>
    </row>
    <row r="89" spans="1:22" s="388" customFormat="1" ht="23.1" customHeight="1" outlineLevel="1" x14ac:dyDescent="0.35">
      <c r="A89" s="290"/>
      <c r="B89" s="302">
        <f t="shared" si="17"/>
        <v>30</v>
      </c>
      <c r="C89" s="543" t="str">
        <v>COD 30</v>
      </c>
      <c r="D89" s="464" t="str">
        <f>_xlfn.XLOOKUP(C89,CODIGOS_Y_PAGOS[CODIGO],CODIGOS_Y_PAGOS[NOMBRE PARTICIPANTE],"")</f>
        <v>CARIACO</v>
      </c>
      <c r="E89" s="293">
        <f>_xlfn.XLOOKUP($C89,SEMANA29[COD],SEMANA29[Columna14],"")</f>
        <v>0</v>
      </c>
      <c r="F89" s="293">
        <f>_xlfn.XLOOKUP(C89,SEMANA29[COD],SEMANA29[Columna19],"")</f>
        <v>0</v>
      </c>
      <c r="G89" s="294" t="str">
        <f t="shared" si="12"/>
        <v>0,00</v>
      </c>
      <c r="H89" s="295">
        <f>_xlfn.XLOOKUP(C89,SEMANA29[COD],SEMANA29[Columna32],"")</f>
        <v>0</v>
      </c>
      <c r="I89" s="295">
        <f>_xlfn.XLOOKUP(C89,SEMANA29[COD],SEMANA29[Columna30],"")</f>
        <v>0</v>
      </c>
      <c r="J89" s="296" t="str">
        <f t="shared" si="13"/>
        <v>0,00</v>
      </c>
      <c r="K89" s="297">
        <f>_xlfn.XLOOKUP(C89,SEMANA29[COD],SEMANA29[Columna32],"")</f>
        <v>0</v>
      </c>
      <c r="L89" s="297">
        <f>_xlfn.XLOOKUP(C89,SEMANA29[COD],SEMANA29[Columna34],"")</f>
        <v>0</v>
      </c>
      <c r="M89" s="298" t="str">
        <f t="shared" si="14"/>
        <v>0,00</v>
      </c>
      <c r="N89" s="299">
        <f>_xlfn.XLOOKUP(C89,SEMANA29[COD],SEMANA29[Columna36],"")</f>
        <v>0</v>
      </c>
      <c r="O89" s="299">
        <f>_xlfn.XLOOKUP(C89,SEMANA29[COD],SEMANA29[Columna37],"")</f>
        <v>0</v>
      </c>
      <c r="P89" s="300" t="str">
        <f t="shared" si="15"/>
        <v>0,00</v>
      </c>
      <c r="Q89" s="301">
        <f>_xlfn.XLOOKUP(C89,SEMANA29[COD],SEMANA29[Columna1],"")</f>
        <v>0</v>
      </c>
      <c r="R89" s="3"/>
      <c r="U89" s="388" t="str">
        <v>COD 30</v>
      </c>
      <c r="V89" s="388" t="str">
        <f t="shared" si="16"/>
        <v>COD 30</v>
      </c>
    </row>
    <row r="90" spans="1:22" s="388" customFormat="1" ht="23.1" customHeight="1" outlineLevel="1" x14ac:dyDescent="0.35">
      <c r="A90" s="290"/>
      <c r="B90" s="302">
        <f t="shared" si="17"/>
        <v>31</v>
      </c>
      <c r="C90" s="543" t="str">
        <v>COD 31</v>
      </c>
      <c r="D90" s="464" t="str">
        <f>_xlfn.XLOOKUP(C90,CODIGOS_Y_PAGOS[CODIGO],CODIGOS_Y_PAGOS[NOMBRE PARTICIPANTE],"")</f>
        <v>ALBIN</v>
      </c>
      <c r="E90" s="293">
        <f>_xlfn.XLOOKUP($C90,SEMANA29[COD],SEMANA29[Columna14],"")</f>
        <v>0</v>
      </c>
      <c r="F90" s="293">
        <f>_xlfn.XLOOKUP(C90,SEMANA29[COD],SEMANA29[Columna19],"")</f>
        <v>0</v>
      </c>
      <c r="G90" s="294" t="str">
        <f t="shared" si="12"/>
        <v>0,00</v>
      </c>
      <c r="H90" s="295">
        <f>_xlfn.XLOOKUP(C90,SEMANA29[COD],SEMANA29[Columna32],"")</f>
        <v>0</v>
      </c>
      <c r="I90" s="295">
        <f>_xlfn.XLOOKUP(C90,SEMANA29[COD],SEMANA29[Columna30],"")</f>
        <v>0</v>
      </c>
      <c r="J90" s="296" t="str">
        <f t="shared" si="13"/>
        <v>0,00</v>
      </c>
      <c r="K90" s="297">
        <f>_xlfn.XLOOKUP(C90,SEMANA29[COD],SEMANA29[Columna32],"")</f>
        <v>0</v>
      </c>
      <c r="L90" s="297">
        <f>_xlfn.XLOOKUP(C90,SEMANA29[COD],SEMANA29[Columna34],"")</f>
        <v>0</v>
      </c>
      <c r="M90" s="298" t="str">
        <f t="shared" si="14"/>
        <v>0,00</v>
      </c>
      <c r="N90" s="299">
        <f>_xlfn.XLOOKUP(C90,SEMANA29[COD],SEMANA29[Columna36],"")</f>
        <v>0</v>
      </c>
      <c r="O90" s="299">
        <f>_xlfn.XLOOKUP(C90,SEMANA29[COD],SEMANA29[Columna37],"")</f>
        <v>0</v>
      </c>
      <c r="P90" s="300" t="str">
        <f t="shared" si="15"/>
        <v>0,00</v>
      </c>
      <c r="Q90" s="301">
        <f>_xlfn.XLOOKUP(C90,SEMANA29[COD],SEMANA29[Columna1],"")</f>
        <v>0</v>
      </c>
      <c r="R90" s="3"/>
      <c r="U90" s="388" t="str">
        <v>COD 31</v>
      </c>
      <c r="V90" s="388" t="str">
        <f t="shared" si="16"/>
        <v>COD 31</v>
      </c>
    </row>
    <row r="91" spans="1:22" s="388" customFormat="1" ht="23.1" customHeight="1" outlineLevel="1" x14ac:dyDescent="0.35">
      <c r="A91" s="290"/>
      <c r="B91" s="302">
        <f t="shared" si="17"/>
        <v>32</v>
      </c>
      <c r="C91" s="543" t="str">
        <v>COD 32</v>
      </c>
      <c r="D91" s="464" t="str">
        <f>_xlfn.XLOOKUP(C91,CODIGOS_Y_PAGOS[CODIGO],CODIGOS_Y_PAGOS[NOMBRE PARTICIPANTE],"")</f>
        <v>TONY CURTIS</v>
      </c>
      <c r="E91" s="293">
        <f>_xlfn.XLOOKUP($C91,SEMANA29[COD],SEMANA29[Columna14],"")</f>
        <v>0</v>
      </c>
      <c r="F91" s="293">
        <f>_xlfn.XLOOKUP(C91,SEMANA29[COD],SEMANA29[Columna19],"")</f>
        <v>0</v>
      </c>
      <c r="G91" s="294" t="str">
        <f t="shared" si="12"/>
        <v>0,00</v>
      </c>
      <c r="H91" s="295">
        <f>_xlfn.XLOOKUP(C91,SEMANA29[COD],SEMANA29[Columna32],"")</f>
        <v>0</v>
      </c>
      <c r="I91" s="295">
        <f>_xlfn.XLOOKUP(C91,SEMANA29[COD],SEMANA29[Columna30],"")</f>
        <v>0</v>
      </c>
      <c r="J91" s="296" t="str">
        <f t="shared" si="13"/>
        <v>0,00</v>
      </c>
      <c r="K91" s="297">
        <f>_xlfn.XLOOKUP(C91,SEMANA29[COD],SEMANA29[Columna32],"")</f>
        <v>0</v>
      </c>
      <c r="L91" s="297">
        <f>_xlfn.XLOOKUP(C91,SEMANA29[COD],SEMANA29[Columna34],"")</f>
        <v>0</v>
      </c>
      <c r="M91" s="298" t="str">
        <f t="shared" si="14"/>
        <v>0,00</v>
      </c>
      <c r="N91" s="299">
        <f>_xlfn.XLOOKUP(C91,SEMANA29[COD],SEMANA29[Columna36],"")</f>
        <v>0</v>
      </c>
      <c r="O91" s="299">
        <f>_xlfn.XLOOKUP(C91,SEMANA29[COD],SEMANA29[Columna37],"")</f>
        <v>0</v>
      </c>
      <c r="P91" s="300" t="str">
        <f t="shared" si="15"/>
        <v>0,00</v>
      </c>
      <c r="Q91" s="301">
        <f>_xlfn.XLOOKUP(C91,SEMANA29[COD],SEMANA29[Columna1],"")</f>
        <v>0</v>
      </c>
      <c r="R91" s="3"/>
      <c r="U91" s="388" t="str">
        <v>COD 32</v>
      </c>
      <c r="V91" s="388" t="str">
        <f t="shared" si="16"/>
        <v>COD 32</v>
      </c>
    </row>
    <row r="92" spans="1:22" s="388" customFormat="1" ht="23.1" customHeight="1" outlineLevel="1" x14ac:dyDescent="0.35">
      <c r="A92" s="290"/>
      <c r="B92" s="302">
        <f t="shared" si="17"/>
        <v>33</v>
      </c>
      <c r="C92" s="543" t="str">
        <v>COD 33</v>
      </c>
      <c r="D92" s="464" t="str">
        <f>_xlfn.XLOOKUP(C92,CODIGOS_Y_PAGOS[CODIGO],CODIGOS_Y_PAGOS[NOMBRE PARTICIPANTE],"")</f>
        <v>JOSE LUIS ANTUNEZ</v>
      </c>
      <c r="E92" s="293">
        <f>_xlfn.XLOOKUP($C92,SEMANA29[COD],SEMANA29[Columna14],"")</f>
        <v>0</v>
      </c>
      <c r="F92" s="293">
        <f>_xlfn.XLOOKUP(C92,SEMANA29[COD],SEMANA29[Columna19],"")</f>
        <v>0</v>
      </c>
      <c r="G92" s="294" t="str">
        <f t="shared" ref="G92:G109" si="18">IFERROR(+F92/E92,"0,00")</f>
        <v>0,00</v>
      </c>
      <c r="H92" s="295">
        <f>_xlfn.XLOOKUP(C92,SEMANA29[COD],SEMANA29[Columna32],"")</f>
        <v>0</v>
      </c>
      <c r="I92" s="295">
        <f>_xlfn.XLOOKUP(C92,SEMANA29[COD],SEMANA29[Columna30],"")</f>
        <v>0</v>
      </c>
      <c r="J92" s="296" t="str">
        <f t="shared" ref="J92:J109" si="19">IFERROR(+I92/H92,"0,00")</f>
        <v>0,00</v>
      </c>
      <c r="K92" s="297">
        <f>_xlfn.XLOOKUP(C92,SEMANA29[COD],SEMANA29[Columna32],"")</f>
        <v>0</v>
      </c>
      <c r="L92" s="297">
        <f>_xlfn.XLOOKUP(C92,SEMANA29[COD],SEMANA29[Columna34],"")</f>
        <v>0</v>
      </c>
      <c r="M92" s="298" t="str">
        <f t="shared" ref="M92:M109" si="20">IFERROR(+L92/K92,"0,00")</f>
        <v>0,00</v>
      </c>
      <c r="N92" s="299">
        <f>_xlfn.XLOOKUP(C92,SEMANA29[COD],SEMANA29[Columna36],"")</f>
        <v>0</v>
      </c>
      <c r="O92" s="299">
        <f>_xlfn.XLOOKUP(C92,SEMANA29[COD],SEMANA29[Columna37],"")</f>
        <v>0</v>
      </c>
      <c r="P92" s="300" t="str">
        <f t="shared" ref="P92:P109" si="21">IFERROR(+O92/N92,"0,00")</f>
        <v>0,00</v>
      </c>
      <c r="Q92" s="301">
        <f>_xlfn.XLOOKUP(C92,SEMANA29[COD],SEMANA29[Columna1],"")</f>
        <v>0</v>
      </c>
      <c r="R92" s="3"/>
      <c r="U92" s="388" t="str">
        <v>COD 33</v>
      </c>
      <c r="V92" s="388" t="str">
        <f t="shared" ref="V92:V109" si="22">U92</f>
        <v>COD 33</v>
      </c>
    </row>
    <row r="93" spans="1:22" s="388" customFormat="1" ht="23.1" customHeight="1" outlineLevel="1" x14ac:dyDescent="0.35">
      <c r="A93" s="290"/>
      <c r="B93" s="302">
        <f t="shared" ref="B93:B109" si="23">+B92+1</f>
        <v>34</v>
      </c>
      <c r="C93" s="543" t="str">
        <v>COD 34</v>
      </c>
      <c r="D93" s="464" t="str">
        <f>_xlfn.XLOOKUP(C93,CODIGOS_Y_PAGOS[CODIGO],CODIGOS_Y_PAGOS[NOMBRE PARTICIPANTE],"")</f>
        <v>ROBERTO CARLOS</v>
      </c>
      <c r="E93" s="293">
        <f>_xlfn.XLOOKUP($C93,SEMANA29[COD],SEMANA29[Columna14],"")</f>
        <v>0</v>
      </c>
      <c r="F93" s="293">
        <f>_xlfn.XLOOKUP(C93,SEMANA29[COD],SEMANA29[Columna19],"")</f>
        <v>0</v>
      </c>
      <c r="G93" s="294" t="str">
        <f t="shared" si="18"/>
        <v>0,00</v>
      </c>
      <c r="H93" s="295">
        <f>_xlfn.XLOOKUP(C93,SEMANA29[COD],SEMANA29[Columna32],"")</f>
        <v>0</v>
      </c>
      <c r="I93" s="295">
        <f>_xlfn.XLOOKUP(C93,SEMANA29[COD],SEMANA29[Columna30],"")</f>
        <v>0</v>
      </c>
      <c r="J93" s="296" t="str">
        <f t="shared" si="19"/>
        <v>0,00</v>
      </c>
      <c r="K93" s="297">
        <f>_xlfn.XLOOKUP(C93,SEMANA29[COD],SEMANA29[Columna32],"")</f>
        <v>0</v>
      </c>
      <c r="L93" s="297">
        <f>_xlfn.XLOOKUP(C93,SEMANA29[COD],SEMANA29[Columna34],"")</f>
        <v>0</v>
      </c>
      <c r="M93" s="298" t="str">
        <f t="shared" si="20"/>
        <v>0,00</v>
      </c>
      <c r="N93" s="299">
        <f>_xlfn.XLOOKUP(C93,SEMANA29[COD],SEMANA29[Columna36],"")</f>
        <v>0</v>
      </c>
      <c r="O93" s="299">
        <f>_xlfn.XLOOKUP(C93,SEMANA29[COD],SEMANA29[Columna37],"")</f>
        <v>0</v>
      </c>
      <c r="P93" s="300" t="str">
        <f t="shared" si="21"/>
        <v>0,00</v>
      </c>
      <c r="Q93" s="301">
        <f>_xlfn.XLOOKUP(C93,SEMANA29[COD],SEMANA29[Columna1],"")</f>
        <v>0</v>
      </c>
      <c r="R93" s="3"/>
      <c r="U93" s="388" t="str">
        <v>COD 34</v>
      </c>
      <c r="V93" s="388" t="str">
        <f t="shared" si="22"/>
        <v>COD 34</v>
      </c>
    </row>
    <row r="94" spans="1:22" s="388" customFormat="1" ht="23.1" customHeight="1" outlineLevel="1" x14ac:dyDescent="0.35">
      <c r="A94" s="290"/>
      <c r="B94" s="302">
        <f t="shared" si="23"/>
        <v>35</v>
      </c>
      <c r="C94" s="543" t="str">
        <v>COD 35</v>
      </c>
      <c r="D94" s="464" t="str">
        <f>_xlfn.XLOOKUP(C94,CODIGOS_Y_PAGOS[CODIGO],CODIGOS_Y_PAGOS[NOMBRE PARTICIPANTE],"")</f>
        <v>YOVANNY</v>
      </c>
      <c r="E94" s="293">
        <f>_xlfn.XLOOKUP($C94,SEMANA29[COD],SEMANA29[Columna14],"")</f>
        <v>0</v>
      </c>
      <c r="F94" s="293">
        <f>_xlfn.XLOOKUP(C94,SEMANA29[COD],SEMANA29[Columna19],"")</f>
        <v>0</v>
      </c>
      <c r="G94" s="294" t="str">
        <f t="shared" si="18"/>
        <v>0,00</v>
      </c>
      <c r="H94" s="295">
        <f>_xlfn.XLOOKUP(C94,SEMANA29[COD],SEMANA29[Columna32],"")</f>
        <v>0</v>
      </c>
      <c r="I94" s="295">
        <f>_xlfn.XLOOKUP(C94,SEMANA29[COD],SEMANA29[Columna30],"")</f>
        <v>0</v>
      </c>
      <c r="J94" s="296" t="str">
        <f t="shared" si="19"/>
        <v>0,00</v>
      </c>
      <c r="K94" s="297">
        <f>_xlfn.XLOOKUP(C94,SEMANA29[COD],SEMANA29[Columna32],"")</f>
        <v>0</v>
      </c>
      <c r="L94" s="297">
        <f>_xlfn.XLOOKUP(C94,SEMANA29[COD],SEMANA29[Columna34],"")</f>
        <v>0</v>
      </c>
      <c r="M94" s="298" t="str">
        <f t="shared" si="20"/>
        <v>0,00</v>
      </c>
      <c r="N94" s="299">
        <f>_xlfn.XLOOKUP(C94,SEMANA29[COD],SEMANA29[Columna36],"")</f>
        <v>0</v>
      </c>
      <c r="O94" s="299">
        <f>_xlfn.XLOOKUP(C94,SEMANA29[COD],SEMANA29[Columna37],"")</f>
        <v>0</v>
      </c>
      <c r="P94" s="300" t="str">
        <f t="shared" si="21"/>
        <v>0,00</v>
      </c>
      <c r="Q94" s="301">
        <f>_xlfn.XLOOKUP(C94,SEMANA29[COD],SEMANA29[Columna1],"")</f>
        <v>0</v>
      </c>
      <c r="R94" s="3"/>
      <c r="U94" s="388" t="str">
        <v>COD 35</v>
      </c>
      <c r="V94" s="388" t="str">
        <f t="shared" si="22"/>
        <v>COD 35</v>
      </c>
    </row>
    <row r="95" spans="1:22" s="388" customFormat="1" ht="23.1" customHeight="1" outlineLevel="1" x14ac:dyDescent="0.35">
      <c r="A95" s="290"/>
      <c r="B95" s="302">
        <f t="shared" si="23"/>
        <v>36</v>
      </c>
      <c r="C95" s="543" t="str">
        <v>COD 36</v>
      </c>
      <c r="D95" s="464" t="str">
        <f>_xlfn.XLOOKUP(C95,CODIGOS_Y_PAGOS[CODIGO],CODIGOS_Y_PAGOS[NOMBRE PARTICIPANTE],"")</f>
        <v>EDGAR ALEXANDER</v>
      </c>
      <c r="E95" s="293">
        <f>_xlfn.XLOOKUP($C95,SEMANA29[COD],SEMANA29[Columna14],"")</f>
        <v>0</v>
      </c>
      <c r="F95" s="293">
        <f>_xlfn.XLOOKUP(C95,SEMANA29[COD],SEMANA29[Columna19],"")</f>
        <v>0</v>
      </c>
      <c r="G95" s="294" t="str">
        <f t="shared" si="18"/>
        <v>0,00</v>
      </c>
      <c r="H95" s="295">
        <f>_xlfn.XLOOKUP(C95,SEMANA29[COD],SEMANA29[Columna32],"")</f>
        <v>0</v>
      </c>
      <c r="I95" s="295">
        <f>_xlfn.XLOOKUP(C95,SEMANA29[COD],SEMANA29[Columna30],"")</f>
        <v>0</v>
      </c>
      <c r="J95" s="296" t="str">
        <f t="shared" si="19"/>
        <v>0,00</v>
      </c>
      <c r="K95" s="297">
        <f>_xlfn.XLOOKUP(C95,SEMANA29[COD],SEMANA29[Columna32],"")</f>
        <v>0</v>
      </c>
      <c r="L95" s="297">
        <f>_xlfn.XLOOKUP(C95,SEMANA29[COD],SEMANA29[Columna34],"")</f>
        <v>0</v>
      </c>
      <c r="M95" s="298" t="str">
        <f t="shared" si="20"/>
        <v>0,00</v>
      </c>
      <c r="N95" s="299">
        <f>_xlfn.XLOOKUP(C95,SEMANA29[COD],SEMANA29[Columna36],"")</f>
        <v>0</v>
      </c>
      <c r="O95" s="299">
        <f>_xlfn.XLOOKUP(C95,SEMANA29[COD],SEMANA29[Columna37],"")</f>
        <v>0</v>
      </c>
      <c r="P95" s="300" t="str">
        <f t="shared" si="21"/>
        <v>0,00</v>
      </c>
      <c r="Q95" s="301">
        <f>_xlfn.XLOOKUP(C95,SEMANA29[COD],SEMANA29[Columna1],"")</f>
        <v>0</v>
      </c>
      <c r="R95" s="3"/>
      <c r="U95" s="388" t="str">
        <v>COD 36</v>
      </c>
      <c r="V95" s="388" t="str">
        <f t="shared" si="22"/>
        <v>COD 36</v>
      </c>
    </row>
    <row r="96" spans="1:22" s="388" customFormat="1" ht="23.1" customHeight="1" outlineLevel="1" x14ac:dyDescent="0.35">
      <c r="A96" s="290"/>
      <c r="B96" s="302">
        <f t="shared" si="23"/>
        <v>37</v>
      </c>
      <c r="C96" s="543" t="str">
        <v>COD 37</v>
      </c>
      <c r="D96" s="464" t="str">
        <f>_xlfn.XLOOKUP(C96,CODIGOS_Y_PAGOS[CODIGO],CODIGOS_Y_PAGOS[NOMBRE PARTICIPANTE],"")</f>
        <v>GLADIADOR HIPICO</v>
      </c>
      <c r="E96" s="293">
        <f>_xlfn.XLOOKUP($C96,SEMANA29[COD],SEMANA29[Columna14],"")</f>
        <v>0</v>
      </c>
      <c r="F96" s="293">
        <f>_xlfn.XLOOKUP(C96,SEMANA29[COD],SEMANA29[Columna19],"")</f>
        <v>0</v>
      </c>
      <c r="G96" s="294" t="str">
        <f t="shared" si="18"/>
        <v>0,00</v>
      </c>
      <c r="H96" s="295">
        <f>_xlfn.XLOOKUP(C96,SEMANA29[COD],SEMANA29[Columna32],"")</f>
        <v>0</v>
      </c>
      <c r="I96" s="295">
        <f>_xlfn.XLOOKUP(C96,SEMANA29[COD],SEMANA29[Columna30],"")</f>
        <v>0</v>
      </c>
      <c r="J96" s="296" t="str">
        <f t="shared" si="19"/>
        <v>0,00</v>
      </c>
      <c r="K96" s="297">
        <f>_xlfn.XLOOKUP(C96,SEMANA29[COD],SEMANA29[Columna32],"")</f>
        <v>0</v>
      </c>
      <c r="L96" s="297">
        <f>_xlfn.XLOOKUP(C96,SEMANA29[COD],SEMANA29[Columna34],"")</f>
        <v>0</v>
      </c>
      <c r="M96" s="298" t="str">
        <f t="shared" si="20"/>
        <v>0,00</v>
      </c>
      <c r="N96" s="299">
        <f>_xlfn.XLOOKUP(C96,SEMANA29[COD],SEMANA29[Columna36],"")</f>
        <v>0</v>
      </c>
      <c r="O96" s="299">
        <f>_xlfn.XLOOKUP(C96,SEMANA29[COD],SEMANA29[Columna37],"")</f>
        <v>0</v>
      </c>
      <c r="P96" s="300" t="str">
        <f t="shared" si="21"/>
        <v>0,00</v>
      </c>
      <c r="Q96" s="301">
        <f>_xlfn.XLOOKUP(C96,SEMANA29[COD],SEMANA29[Columna1],"")</f>
        <v>0</v>
      </c>
      <c r="R96" s="3"/>
      <c r="U96" s="388" t="str">
        <v>COD 37</v>
      </c>
      <c r="V96" s="388" t="str">
        <f t="shared" si="22"/>
        <v>COD 37</v>
      </c>
    </row>
    <row r="97" spans="1:22" s="388" customFormat="1" ht="23.1" customHeight="1" outlineLevel="1" x14ac:dyDescent="0.35">
      <c r="A97" s="290"/>
      <c r="B97" s="302">
        <f t="shared" si="23"/>
        <v>38</v>
      </c>
      <c r="C97" s="543" t="str">
        <v>COD 38</v>
      </c>
      <c r="D97" s="464" t="str">
        <f>_xlfn.XLOOKUP(C97,CODIGOS_Y_PAGOS[CODIGO],CODIGOS_Y_PAGOS[NOMBRE PARTICIPANTE],"")</f>
        <v>DERVIN</v>
      </c>
      <c r="E97" s="293">
        <f>_xlfn.XLOOKUP($C97,SEMANA29[COD],SEMANA29[Columna14],"")</f>
        <v>0</v>
      </c>
      <c r="F97" s="293">
        <f>_xlfn.XLOOKUP(C97,SEMANA29[COD],SEMANA29[Columna19],"")</f>
        <v>0</v>
      </c>
      <c r="G97" s="294" t="str">
        <f t="shared" si="18"/>
        <v>0,00</v>
      </c>
      <c r="H97" s="295">
        <f>_xlfn.XLOOKUP(C97,SEMANA29[COD],SEMANA29[Columna32],"")</f>
        <v>0</v>
      </c>
      <c r="I97" s="295">
        <f>_xlfn.XLOOKUP(C97,SEMANA29[COD],SEMANA29[Columna30],"")</f>
        <v>0</v>
      </c>
      <c r="J97" s="296" t="str">
        <f t="shared" si="19"/>
        <v>0,00</v>
      </c>
      <c r="K97" s="297">
        <f>_xlfn.XLOOKUP(C97,SEMANA29[COD],SEMANA29[Columna32],"")</f>
        <v>0</v>
      </c>
      <c r="L97" s="297">
        <f>_xlfn.XLOOKUP(C97,SEMANA29[COD],SEMANA29[Columna34],"")</f>
        <v>0</v>
      </c>
      <c r="M97" s="298" t="str">
        <f t="shared" si="20"/>
        <v>0,00</v>
      </c>
      <c r="N97" s="299">
        <f>_xlfn.XLOOKUP(C97,SEMANA29[COD],SEMANA29[Columna36],"")</f>
        <v>0</v>
      </c>
      <c r="O97" s="299">
        <f>_xlfn.XLOOKUP(C97,SEMANA29[COD],SEMANA29[Columna37],"")</f>
        <v>0</v>
      </c>
      <c r="P97" s="300" t="str">
        <f t="shared" si="21"/>
        <v>0,00</v>
      </c>
      <c r="Q97" s="301">
        <f>_xlfn.XLOOKUP(C97,SEMANA29[COD],SEMANA29[Columna1],"")</f>
        <v>0</v>
      </c>
      <c r="R97" s="3"/>
      <c r="U97" s="388" t="str">
        <v>COD 38</v>
      </c>
      <c r="V97" s="388" t="str">
        <f t="shared" si="22"/>
        <v>COD 38</v>
      </c>
    </row>
    <row r="98" spans="1:22" s="388" customFormat="1" ht="23.1" customHeight="1" outlineLevel="1" x14ac:dyDescent="0.35">
      <c r="A98" s="290"/>
      <c r="B98" s="302">
        <f t="shared" si="23"/>
        <v>39</v>
      </c>
      <c r="C98" s="543" t="str">
        <v>COD 39</v>
      </c>
      <c r="D98" s="464" t="str">
        <f>_xlfn.XLOOKUP(C98,CODIGOS_Y_PAGOS[CODIGO],CODIGOS_Y_PAGOS[NOMBRE PARTICIPANTE],"")</f>
        <v>EL TAMAO</v>
      </c>
      <c r="E98" s="293">
        <f>_xlfn.XLOOKUP($C98,SEMANA29[COD],SEMANA29[Columna14],"")</f>
        <v>0</v>
      </c>
      <c r="F98" s="293">
        <f>_xlfn.XLOOKUP(C98,SEMANA29[COD],SEMANA29[Columna19],"")</f>
        <v>0</v>
      </c>
      <c r="G98" s="294" t="str">
        <f t="shared" si="18"/>
        <v>0,00</v>
      </c>
      <c r="H98" s="295">
        <f>_xlfn.XLOOKUP(C98,SEMANA29[COD],SEMANA29[Columna32],"")</f>
        <v>0</v>
      </c>
      <c r="I98" s="295">
        <f>_xlfn.XLOOKUP(C98,SEMANA29[COD],SEMANA29[Columna30],"")</f>
        <v>0</v>
      </c>
      <c r="J98" s="296" t="str">
        <f t="shared" si="19"/>
        <v>0,00</v>
      </c>
      <c r="K98" s="297">
        <f>_xlfn.XLOOKUP(C98,SEMANA29[COD],SEMANA29[Columna32],"")</f>
        <v>0</v>
      </c>
      <c r="L98" s="297">
        <f>_xlfn.XLOOKUP(C98,SEMANA29[COD],SEMANA29[Columna34],"")</f>
        <v>0</v>
      </c>
      <c r="M98" s="298" t="str">
        <f t="shared" si="20"/>
        <v>0,00</v>
      </c>
      <c r="N98" s="299">
        <f>_xlfn.XLOOKUP(C98,SEMANA29[COD],SEMANA29[Columna36],"")</f>
        <v>0</v>
      </c>
      <c r="O98" s="299">
        <f>_xlfn.XLOOKUP(C98,SEMANA29[COD],SEMANA29[Columna37],"")</f>
        <v>0</v>
      </c>
      <c r="P98" s="300" t="str">
        <f t="shared" si="21"/>
        <v>0,00</v>
      </c>
      <c r="Q98" s="301">
        <f>_xlfn.XLOOKUP(C98,SEMANA29[COD],SEMANA29[Columna1],"")</f>
        <v>0</v>
      </c>
      <c r="R98" s="3"/>
      <c r="U98" s="388" t="str">
        <v>COD 39</v>
      </c>
      <c r="V98" s="388" t="str">
        <f t="shared" si="22"/>
        <v>COD 39</v>
      </c>
    </row>
    <row r="99" spans="1:22" s="388" customFormat="1" ht="23.1" customHeight="1" outlineLevel="2" x14ac:dyDescent="0.35">
      <c r="A99" s="290"/>
      <c r="B99" s="302">
        <f t="shared" si="23"/>
        <v>40</v>
      </c>
      <c r="C99" s="543" t="str">
        <v>COD 40</v>
      </c>
      <c r="D99" s="292" t="str">
        <f>_xlfn.XLOOKUP(C99,CODIGOS_Y_PAGOS[CODIGO],CODIGOS_Y_PAGOS[NOMBRE PARTICIPANTE],"")</f>
        <v>FRED</v>
      </c>
      <c r="E99" s="293">
        <f>_xlfn.XLOOKUP($C99,SEMANA29[COD],SEMANA29[Columna14],"")</f>
        <v>0</v>
      </c>
      <c r="F99" s="293">
        <f>_xlfn.XLOOKUP(C99,SEMANA29[COD],SEMANA29[Columna19],"")</f>
        <v>0</v>
      </c>
      <c r="G99" s="294" t="str">
        <f t="shared" si="18"/>
        <v>0,00</v>
      </c>
      <c r="H99" s="295">
        <f>_xlfn.XLOOKUP(C99,SEMANA29[COD],SEMANA29[Columna32],"")</f>
        <v>0</v>
      </c>
      <c r="I99" s="295">
        <f>_xlfn.XLOOKUP(C99,SEMANA29[COD],SEMANA29[Columna30],"")</f>
        <v>0</v>
      </c>
      <c r="J99" s="296" t="str">
        <f t="shared" si="19"/>
        <v>0,00</v>
      </c>
      <c r="K99" s="297">
        <f>_xlfn.XLOOKUP(C99,SEMANA29[COD],SEMANA29[Columna32],"")</f>
        <v>0</v>
      </c>
      <c r="L99" s="297">
        <f>_xlfn.XLOOKUP(C99,SEMANA29[COD],SEMANA29[Columna34],"")</f>
        <v>0</v>
      </c>
      <c r="M99" s="298" t="str">
        <f t="shared" si="20"/>
        <v>0,00</v>
      </c>
      <c r="N99" s="299">
        <f>_xlfn.XLOOKUP(C99,SEMANA29[COD],SEMANA29[Columna36],"")</f>
        <v>0</v>
      </c>
      <c r="O99" s="299">
        <f>_xlfn.XLOOKUP(C99,SEMANA29[COD],SEMANA29[Columna37],"")</f>
        <v>0</v>
      </c>
      <c r="P99" s="300" t="str">
        <f t="shared" si="21"/>
        <v>0,00</v>
      </c>
      <c r="Q99" s="301">
        <f>_xlfn.XLOOKUP(C99,SEMANA29[COD],SEMANA29[Columna1],"")</f>
        <v>0</v>
      </c>
      <c r="R99" s="3"/>
      <c r="U99" s="388" t="str">
        <v>COD 40</v>
      </c>
      <c r="V99" s="388" t="str">
        <f t="shared" si="22"/>
        <v>COD 40</v>
      </c>
    </row>
    <row r="100" spans="1:22" s="388" customFormat="1" ht="23.1" customHeight="1" outlineLevel="2" x14ac:dyDescent="0.35">
      <c r="A100" s="290"/>
      <c r="B100" s="302">
        <f t="shared" si="23"/>
        <v>41</v>
      </c>
      <c r="C100" s="543" t="str">
        <v>COD 41</v>
      </c>
      <c r="D100" s="292" t="str">
        <f>_xlfn.XLOOKUP(C100,CODIGOS_Y_PAGOS[CODIGO],CODIGOS_Y_PAGOS[NOMBRE PARTICIPANTE],"")</f>
        <v>ENRIQUE LEFEBRE</v>
      </c>
      <c r="E100" s="293">
        <f>_xlfn.XLOOKUP($C100,SEMANA29[COD],SEMANA29[Columna14],"")</f>
        <v>0</v>
      </c>
      <c r="F100" s="293">
        <f>_xlfn.XLOOKUP(C100,SEMANA29[COD],SEMANA29[Columna19],"")</f>
        <v>0</v>
      </c>
      <c r="G100" s="294" t="str">
        <f t="shared" si="18"/>
        <v>0,00</v>
      </c>
      <c r="H100" s="295">
        <f>_xlfn.XLOOKUP(C100,SEMANA29[COD],SEMANA29[Columna32],"")</f>
        <v>0</v>
      </c>
      <c r="I100" s="295">
        <f>_xlfn.XLOOKUP(C100,SEMANA29[COD],SEMANA29[Columna30],"")</f>
        <v>0</v>
      </c>
      <c r="J100" s="296" t="str">
        <f t="shared" si="19"/>
        <v>0,00</v>
      </c>
      <c r="K100" s="297">
        <f>_xlfn.XLOOKUP(C100,SEMANA29[COD],SEMANA29[Columna32],"")</f>
        <v>0</v>
      </c>
      <c r="L100" s="297">
        <f>_xlfn.XLOOKUP(C100,SEMANA29[COD],SEMANA29[Columna34],"")</f>
        <v>0</v>
      </c>
      <c r="M100" s="298" t="str">
        <f t="shared" si="20"/>
        <v>0,00</v>
      </c>
      <c r="N100" s="299">
        <f>_xlfn.XLOOKUP(C100,SEMANA29[COD],SEMANA29[Columna36],"")</f>
        <v>0</v>
      </c>
      <c r="O100" s="299">
        <f>_xlfn.XLOOKUP(C100,SEMANA29[COD],SEMANA29[Columna37],"")</f>
        <v>0</v>
      </c>
      <c r="P100" s="300" t="str">
        <f t="shared" si="21"/>
        <v>0,00</v>
      </c>
      <c r="Q100" s="301">
        <f>_xlfn.XLOOKUP(C100,SEMANA29[COD],SEMANA29[Columna1],"")</f>
        <v>0</v>
      </c>
      <c r="R100" s="3"/>
      <c r="U100" s="388" t="str">
        <v>COD 41</v>
      </c>
      <c r="V100" s="388" t="str">
        <f t="shared" si="22"/>
        <v>COD 41</v>
      </c>
    </row>
    <row r="101" spans="1:22" s="388" customFormat="1" ht="23.1" customHeight="1" outlineLevel="2" x14ac:dyDescent="0.35">
      <c r="A101" s="290"/>
      <c r="B101" s="302">
        <f t="shared" si="23"/>
        <v>42</v>
      </c>
      <c r="C101" s="543" t="str">
        <v>COD 42</v>
      </c>
      <c r="D101" s="292">
        <f>_xlfn.XLOOKUP(C101,CODIGOS_Y_PAGOS[CODIGO],CODIGOS_Y_PAGOS[NOMBRE PARTICIPANTE],"")</f>
        <v>0</v>
      </c>
      <c r="E101" s="293">
        <f>_xlfn.XLOOKUP($C101,SEMANA29[COD],SEMANA29[Columna14],"")</f>
        <v>0</v>
      </c>
      <c r="F101" s="293">
        <f>_xlfn.XLOOKUP(C101,SEMANA29[COD],SEMANA29[Columna19],"")</f>
        <v>0</v>
      </c>
      <c r="G101" s="294" t="str">
        <f t="shared" si="18"/>
        <v>0,00</v>
      </c>
      <c r="H101" s="295">
        <f>_xlfn.XLOOKUP(C101,SEMANA29[COD],SEMANA29[Columna32],"")</f>
        <v>0</v>
      </c>
      <c r="I101" s="295">
        <f>_xlfn.XLOOKUP(C101,SEMANA29[COD],SEMANA29[Columna30],"")</f>
        <v>0</v>
      </c>
      <c r="J101" s="296" t="str">
        <f t="shared" si="19"/>
        <v>0,00</v>
      </c>
      <c r="K101" s="297">
        <f>_xlfn.XLOOKUP(C101,SEMANA29[COD],SEMANA29[Columna32],"")</f>
        <v>0</v>
      </c>
      <c r="L101" s="297">
        <f>_xlfn.XLOOKUP(C101,SEMANA29[COD],SEMANA29[Columna34],"")</f>
        <v>0</v>
      </c>
      <c r="M101" s="298" t="str">
        <f t="shared" si="20"/>
        <v>0,00</v>
      </c>
      <c r="N101" s="299">
        <f>_xlfn.XLOOKUP(C101,SEMANA29[COD],SEMANA29[Columna36],"")</f>
        <v>0</v>
      </c>
      <c r="O101" s="299">
        <f>_xlfn.XLOOKUP(C101,SEMANA29[COD],SEMANA29[Columna37],"")</f>
        <v>0</v>
      </c>
      <c r="P101" s="300" t="str">
        <f t="shared" si="21"/>
        <v>0,00</v>
      </c>
      <c r="Q101" s="301">
        <f>_xlfn.XLOOKUP(C101,SEMANA29[COD],SEMANA29[Columna1],"")</f>
        <v>0</v>
      </c>
      <c r="R101" s="3"/>
      <c r="U101" s="388" t="str">
        <v>COD 42</v>
      </c>
      <c r="V101" s="388" t="str">
        <f t="shared" si="22"/>
        <v>COD 42</v>
      </c>
    </row>
    <row r="102" spans="1:22" s="388" customFormat="1" ht="23.1" customHeight="1" outlineLevel="2" x14ac:dyDescent="0.35">
      <c r="A102" s="290"/>
      <c r="B102" s="304">
        <f t="shared" si="23"/>
        <v>43</v>
      </c>
      <c r="C102" s="543" t="str">
        <v>COD 43</v>
      </c>
      <c r="D102" s="292">
        <f>_xlfn.XLOOKUP(C102,CODIGOS_Y_PAGOS[CODIGO],CODIGOS_Y_PAGOS[NOMBRE PARTICIPANTE],"")</f>
        <v>0</v>
      </c>
      <c r="E102" s="293">
        <f>_xlfn.XLOOKUP($C102,SEMANA29[COD],SEMANA29[Columna14],"")</f>
        <v>0</v>
      </c>
      <c r="F102" s="293">
        <f>_xlfn.XLOOKUP(C102,SEMANA29[COD],SEMANA29[Columna19],"")</f>
        <v>0</v>
      </c>
      <c r="G102" s="294" t="str">
        <f t="shared" si="18"/>
        <v>0,00</v>
      </c>
      <c r="H102" s="295">
        <f>_xlfn.XLOOKUP(C102,SEMANA29[COD],SEMANA29[Columna32],"")</f>
        <v>0</v>
      </c>
      <c r="I102" s="295">
        <f>_xlfn.XLOOKUP(C102,SEMANA29[COD],SEMANA29[Columna30],"")</f>
        <v>0</v>
      </c>
      <c r="J102" s="296" t="str">
        <f t="shared" si="19"/>
        <v>0,00</v>
      </c>
      <c r="K102" s="297">
        <f>_xlfn.XLOOKUP(C102,SEMANA29[COD],SEMANA29[Columna32],"")</f>
        <v>0</v>
      </c>
      <c r="L102" s="297">
        <f>_xlfn.XLOOKUP(C102,SEMANA29[COD],SEMANA29[Columna34],"")</f>
        <v>0</v>
      </c>
      <c r="M102" s="298" t="str">
        <f t="shared" si="20"/>
        <v>0,00</v>
      </c>
      <c r="N102" s="299">
        <f>_xlfn.XLOOKUP(C102,SEMANA29[COD],SEMANA29[Columna36],"")</f>
        <v>0</v>
      </c>
      <c r="O102" s="299">
        <f>_xlfn.XLOOKUP(C102,SEMANA29[COD],SEMANA29[Columna37],"")</f>
        <v>0</v>
      </c>
      <c r="P102" s="300" t="str">
        <f t="shared" si="21"/>
        <v>0,00</v>
      </c>
      <c r="Q102" s="301">
        <f>_xlfn.XLOOKUP(C102,SEMANA29[COD],SEMANA29[Columna1],"")</f>
        <v>0</v>
      </c>
      <c r="R102" s="3"/>
      <c r="U102" s="388" t="str">
        <v>COD 43</v>
      </c>
      <c r="V102" s="388" t="str">
        <f t="shared" si="22"/>
        <v>COD 43</v>
      </c>
    </row>
    <row r="103" spans="1:22" s="388" customFormat="1" ht="23.1" customHeight="1" outlineLevel="2" x14ac:dyDescent="0.35">
      <c r="A103" s="290"/>
      <c r="B103" s="304">
        <f t="shared" si="23"/>
        <v>44</v>
      </c>
      <c r="C103" s="543" t="str">
        <v>COD 44</v>
      </c>
      <c r="D103" s="292">
        <f>_xlfn.XLOOKUP(C103,CODIGOS_Y_PAGOS[CODIGO],CODIGOS_Y_PAGOS[NOMBRE PARTICIPANTE],"")</f>
        <v>0</v>
      </c>
      <c r="E103" s="293">
        <f>_xlfn.XLOOKUP($C103,SEMANA29[COD],SEMANA29[Columna14],"")</f>
        <v>0</v>
      </c>
      <c r="F103" s="293">
        <f>_xlfn.XLOOKUP(C103,SEMANA29[COD],SEMANA29[Columna19],"")</f>
        <v>0</v>
      </c>
      <c r="G103" s="294" t="str">
        <f t="shared" si="18"/>
        <v>0,00</v>
      </c>
      <c r="H103" s="295">
        <f>_xlfn.XLOOKUP(C103,SEMANA29[COD],SEMANA29[Columna32],"")</f>
        <v>0</v>
      </c>
      <c r="I103" s="295">
        <f>_xlfn.XLOOKUP(C103,SEMANA29[COD],SEMANA29[Columna30],"")</f>
        <v>0</v>
      </c>
      <c r="J103" s="296" t="str">
        <f t="shared" si="19"/>
        <v>0,00</v>
      </c>
      <c r="K103" s="297">
        <f>_xlfn.XLOOKUP(C103,SEMANA29[COD],SEMANA29[Columna32],"")</f>
        <v>0</v>
      </c>
      <c r="L103" s="297">
        <f>_xlfn.XLOOKUP(C103,SEMANA29[COD],SEMANA29[Columna34],"")</f>
        <v>0</v>
      </c>
      <c r="M103" s="298" t="str">
        <f t="shared" si="20"/>
        <v>0,00</v>
      </c>
      <c r="N103" s="299">
        <f>_xlfn.XLOOKUP(C103,SEMANA29[COD],SEMANA29[Columna36],"")</f>
        <v>0</v>
      </c>
      <c r="O103" s="299">
        <f>_xlfn.XLOOKUP(C103,SEMANA29[COD],SEMANA29[Columna37],"")</f>
        <v>0</v>
      </c>
      <c r="P103" s="300" t="str">
        <f t="shared" si="21"/>
        <v>0,00</v>
      </c>
      <c r="Q103" s="301">
        <f>_xlfn.XLOOKUP(C103,SEMANA29[COD],SEMANA29[Columna1],"")</f>
        <v>0</v>
      </c>
      <c r="R103" s="3"/>
      <c r="U103" s="388" t="str">
        <v>COD 44</v>
      </c>
      <c r="V103" s="388" t="str">
        <f t="shared" si="22"/>
        <v>COD 44</v>
      </c>
    </row>
    <row r="104" spans="1:22" s="388" customFormat="1" ht="23.1" customHeight="1" outlineLevel="2" x14ac:dyDescent="0.35">
      <c r="A104" s="290"/>
      <c r="B104" s="304">
        <f t="shared" si="23"/>
        <v>45</v>
      </c>
      <c r="C104" s="543" t="str">
        <v>COD 45</v>
      </c>
      <c r="D104" s="292" t="str">
        <f>_xlfn.XLOOKUP(C104,CODIGOS_Y_PAGOS[CODIGO],CODIGOS_Y_PAGOS[NOMBRE PARTICIPANTE],"")</f>
        <v>GUADIZMI</v>
      </c>
      <c r="E104" s="293">
        <f>_xlfn.XLOOKUP($C104,SEMANA29[COD],SEMANA29[Columna14],"")</f>
        <v>0</v>
      </c>
      <c r="F104" s="293">
        <f>_xlfn.XLOOKUP(C104,SEMANA29[COD],SEMANA29[Columna19],"")</f>
        <v>0</v>
      </c>
      <c r="G104" s="294" t="str">
        <f t="shared" si="18"/>
        <v>0,00</v>
      </c>
      <c r="H104" s="295">
        <f>_xlfn.XLOOKUP(C104,SEMANA29[COD],SEMANA29[Columna32],"")</f>
        <v>0</v>
      </c>
      <c r="I104" s="295">
        <f>_xlfn.XLOOKUP(C104,SEMANA29[COD],SEMANA29[Columna30],"")</f>
        <v>0</v>
      </c>
      <c r="J104" s="296" t="str">
        <f t="shared" si="19"/>
        <v>0,00</v>
      </c>
      <c r="K104" s="297">
        <f>_xlfn.XLOOKUP(C104,SEMANA29[COD],SEMANA29[Columna32],"")</f>
        <v>0</v>
      </c>
      <c r="L104" s="297">
        <f>_xlfn.XLOOKUP(C104,SEMANA29[COD],SEMANA29[Columna34],"")</f>
        <v>0</v>
      </c>
      <c r="M104" s="298" t="str">
        <f t="shared" si="20"/>
        <v>0,00</v>
      </c>
      <c r="N104" s="299">
        <f>_xlfn.XLOOKUP(C104,SEMANA29[COD],SEMANA29[Columna36],"")</f>
        <v>0</v>
      </c>
      <c r="O104" s="299">
        <f>_xlfn.XLOOKUP(C104,SEMANA29[COD],SEMANA29[Columna37],"")</f>
        <v>0</v>
      </c>
      <c r="P104" s="300" t="str">
        <f t="shared" si="21"/>
        <v>0,00</v>
      </c>
      <c r="Q104" s="301">
        <f>_xlfn.XLOOKUP(C104,SEMANA29[COD],SEMANA29[Columna1],"")</f>
        <v>0</v>
      </c>
      <c r="R104" s="3"/>
      <c r="U104" s="388" t="str">
        <v>COD 45</v>
      </c>
      <c r="V104" s="388" t="str">
        <f t="shared" si="22"/>
        <v>COD 45</v>
      </c>
    </row>
    <row r="105" spans="1:22" s="388" customFormat="1" ht="23.1" customHeight="1" outlineLevel="2" x14ac:dyDescent="0.35">
      <c r="A105" s="290"/>
      <c r="B105" s="304">
        <f t="shared" si="23"/>
        <v>46</v>
      </c>
      <c r="C105" s="543" t="str">
        <v>COD 46</v>
      </c>
      <c r="D105" s="292">
        <f>_xlfn.XLOOKUP(C105,CODIGOS_Y_PAGOS[CODIGO],CODIGOS_Y_PAGOS[NOMBRE PARTICIPANTE],"")</f>
        <v>0</v>
      </c>
      <c r="E105" s="293">
        <f>_xlfn.XLOOKUP($C105,SEMANA29[COD],SEMANA29[Columna14],"")</f>
        <v>0</v>
      </c>
      <c r="F105" s="293">
        <f>_xlfn.XLOOKUP(C105,SEMANA29[COD],SEMANA29[Columna19],"")</f>
        <v>0</v>
      </c>
      <c r="G105" s="294" t="str">
        <f t="shared" si="18"/>
        <v>0,00</v>
      </c>
      <c r="H105" s="295">
        <f>_xlfn.XLOOKUP(C105,SEMANA29[COD],SEMANA29[Columna32],"")</f>
        <v>0</v>
      </c>
      <c r="I105" s="295">
        <f>_xlfn.XLOOKUP(C105,SEMANA29[COD],SEMANA29[Columna30],"")</f>
        <v>0</v>
      </c>
      <c r="J105" s="296" t="str">
        <f t="shared" si="19"/>
        <v>0,00</v>
      </c>
      <c r="K105" s="297">
        <f>_xlfn.XLOOKUP(C105,SEMANA29[COD],SEMANA29[Columna32],"")</f>
        <v>0</v>
      </c>
      <c r="L105" s="297">
        <f>_xlfn.XLOOKUP(C105,SEMANA29[COD],SEMANA29[Columna34],"")</f>
        <v>0</v>
      </c>
      <c r="M105" s="298" t="str">
        <f t="shared" si="20"/>
        <v>0,00</v>
      </c>
      <c r="N105" s="299">
        <f>_xlfn.XLOOKUP(C105,SEMANA29[COD],SEMANA29[Columna36],"")</f>
        <v>0</v>
      </c>
      <c r="O105" s="299">
        <f>_xlfn.XLOOKUP(C105,SEMANA29[COD],SEMANA29[Columna37],"")</f>
        <v>0</v>
      </c>
      <c r="P105" s="300" t="str">
        <f t="shared" si="21"/>
        <v>0,00</v>
      </c>
      <c r="Q105" s="301">
        <f>_xlfn.XLOOKUP(C105,SEMANA29[COD],SEMANA29[Columna1],"")</f>
        <v>0</v>
      </c>
      <c r="R105" s="3"/>
      <c r="U105" s="388" t="str">
        <v>COD 46</v>
      </c>
      <c r="V105" s="388" t="str">
        <f t="shared" si="22"/>
        <v>COD 46</v>
      </c>
    </row>
    <row r="106" spans="1:22" s="388" customFormat="1" ht="23.1" customHeight="1" outlineLevel="2" x14ac:dyDescent="0.35">
      <c r="A106" s="290"/>
      <c r="B106" s="304">
        <f t="shared" si="23"/>
        <v>47</v>
      </c>
      <c r="C106" s="543" t="str">
        <v>COD 47</v>
      </c>
      <c r="D106" s="292">
        <f>_xlfn.XLOOKUP(C106,CODIGOS_Y_PAGOS[CODIGO],CODIGOS_Y_PAGOS[NOMBRE PARTICIPANTE],"")</f>
        <v>0</v>
      </c>
      <c r="E106" s="293">
        <f>_xlfn.XLOOKUP($C106,SEMANA29[COD],SEMANA29[Columna14],"")</f>
        <v>0</v>
      </c>
      <c r="F106" s="293">
        <f>_xlfn.XLOOKUP(C106,SEMANA29[COD],SEMANA29[Columna19],"")</f>
        <v>0</v>
      </c>
      <c r="G106" s="294" t="str">
        <f t="shared" si="18"/>
        <v>0,00</v>
      </c>
      <c r="H106" s="295">
        <f>_xlfn.XLOOKUP(C106,SEMANA29[COD],SEMANA29[Columna32],"")</f>
        <v>0</v>
      </c>
      <c r="I106" s="295">
        <f>_xlfn.XLOOKUP(C106,SEMANA29[COD],SEMANA29[Columna30],"")</f>
        <v>0</v>
      </c>
      <c r="J106" s="296" t="str">
        <f t="shared" si="19"/>
        <v>0,00</v>
      </c>
      <c r="K106" s="297">
        <f>_xlfn.XLOOKUP(C106,SEMANA29[COD],SEMANA29[Columna32],"")</f>
        <v>0</v>
      </c>
      <c r="L106" s="297">
        <f>_xlfn.XLOOKUP(C106,SEMANA29[COD],SEMANA29[Columna34],"")</f>
        <v>0</v>
      </c>
      <c r="M106" s="298" t="str">
        <f t="shared" si="20"/>
        <v>0,00</v>
      </c>
      <c r="N106" s="299">
        <f>_xlfn.XLOOKUP(C106,SEMANA29[COD],SEMANA29[Columna36],"")</f>
        <v>0</v>
      </c>
      <c r="O106" s="299">
        <f>_xlfn.XLOOKUP(C106,SEMANA29[COD],SEMANA29[Columna37],"")</f>
        <v>0</v>
      </c>
      <c r="P106" s="300" t="str">
        <f t="shared" si="21"/>
        <v>0,00</v>
      </c>
      <c r="Q106" s="301">
        <f>_xlfn.XLOOKUP(C106,SEMANA29[COD],SEMANA29[Columna1],"")</f>
        <v>0</v>
      </c>
      <c r="R106" s="3"/>
      <c r="U106" s="388" t="str">
        <v>COD 47</v>
      </c>
      <c r="V106" s="388" t="str">
        <f t="shared" si="22"/>
        <v>COD 47</v>
      </c>
    </row>
    <row r="107" spans="1:22" s="388" customFormat="1" ht="23.1" customHeight="1" outlineLevel="2" x14ac:dyDescent="0.35">
      <c r="A107" s="290"/>
      <c r="B107" s="304">
        <f t="shared" si="23"/>
        <v>48</v>
      </c>
      <c r="C107" s="543" t="str">
        <v>COD 48</v>
      </c>
      <c r="D107" s="292">
        <f>_xlfn.XLOOKUP(C107,CODIGOS_Y_PAGOS[CODIGO],CODIGOS_Y_PAGOS[NOMBRE PARTICIPANTE],"")</f>
        <v>0</v>
      </c>
      <c r="E107" s="293">
        <f>_xlfn.XLOOKUP($C107,SEMANA29[COD],SEMANA29[Columna14],"")</f>
        <v>0</v>
      </c>
      <c r="F107" s="293">
        <f>_xlfn.XLOOKUP(C107,SEMANA29[COD],SEMANA29[Columna19],"")</f>
        <v>0</v>
      </c>
      <c r="G107" s="294" t="str">
        <f t="shared" si="18"/>
        <v>0,00</v>
      </c>
      <c r="H107" s="295">
        <f>_xlfn.XLOOKUP(C107,SEMANA29[COD],SEMANA29[Columna32],"")</f>
        <v>0</v>
      </c>
      <c r="I107" s="295">
        <f>_xlfn.XLOOKUP(C107,SEMANA29[COD],SEMANA29[Columna30],"")</f>
        <v>0</v>
      </c>
      <c r="J107" s="296" t="str">
        <f t="shared" si="19"/>
        <v>0,00</v>
      </c>
      <c r="K107" s="297">
        <f>_xlfn.XLOOKUP(C107,SEMANA29[COD],SEMANA29[Columna32],"")</f>
        <v>0</v>
      </c>
      <c r="L107" s="297">
        <f>_xlfn.XLOOKUP(C107,SEMANA29[COD],SEMANA29[Columna34],"")</f>
        <v>0</v>
      </c>
      <c r="M107" s="298" t="str">
        <f t="shared" si="20"/>
        <v>0,00</v>
      </c>
      <c r="N107" s="299">
        <f>_xlfn.XLOOKUP(C107,SEMANA29[COD],SEMANA29[Columna36],"")</f>
        <v>0</v>
      </c>
      <c r="O107" s="299">
        <f>_xlfn.XLOOKUP(C107,SEMANA29[COD],SEMANA29[Columna37],"")</f>
        <v>0</v>
      </c>
      <c r="P107" s="300" t="str">
        <f t="shared" si="21"/>
        <v>0,00</v>
      </c>
      <c r="Q107" s="301">
        <f>_xlfn.XLOOKUP(C107,SEMANA29[COD],SEMANA29[Columna1],"")</f>
        <v>0</v>
      </c>
      <c r="R107" s="3"/>
      <c r="U107" s="388" t="str">
        <v>COD 48</v>
      </c>
      <c r="V107" s="388" t="str">
        <f t="shared" si="22"/>
        <v>COD 48</v>
      </c>
    </row>
    <row r="108" spans="1:22" s="388" customFormat="1" ht="23.1" customHeight="1" outlineLevel="2" x14ac:dyDescent="0.35">
      <c r="A108" s="290"/>
      <c r="B108" s="304">
        <f t="shared" si="23"/>
        <v>49</v>
      </c>
      <c r="C108" s="543" t="str">
        <v>COD 49</v>
      </c>
      <c r="D108" s="292">
        <f>_xlfn.XLOOKUP(C108,CODIGOS_Y_PAGOS[CODIGO],CODIGOS_Y_PAGOS[NOMBRE PARTICIPANTE],"")</f>
        <v>0</v>
      </c>
      <c r="E108" s="293">
        <f>_xlfn.XLOOKUP($C108,SEMANA29[COD],SEMANA29[Columna14],"")</f>
        <v>0</v>
      </c>
      <c r="F108" s="293">
        <f>_xlfn.XLOOKUP(C108,SEMANA29[COD],SEMANA29[Columna19],"")</f>
        <v>0</v>
      </c>
      <c r="G108" s="294" t="str">
        <f t="shared" si="18"/>
        <v>0,00</v>
      </c>
      <c r="H108" s="295">
        <f>_xlfn.XLOOKUP(C108,SEMANA29[COD],SEMANA29[Columna32],"")</f>
        <v>0</v>
      </c>
      <c r="I108" s="295">
        <f>_xlfn.XLOOKUP(C108,SEMANA29[COD],SEMANA29[Columna30],"")</f>
        <v>0</v>
      </c>
      <c r="J108" s="296" t="str">
        <f t="shared" si="19"/>
        <v>0,00</v>
      </c>
      <c r="K108" s="297">
        <f>_xlfn.XLOOKUP(C108,SEMANA29[COD],SEMANA29[Columna32],"")</f>
        <v>0</v>
      </c>
      <c r="L108" s="297">
        <f>_xlfn.XLOOKUP(C108,SEMANA29[COD],SEMANA29[Columna34],"")</f>
        <v>0</v>
      </c>
      <c r="M108" s="298" t="str">
        <f t="shared" si="20"/>
        <v>0,00</v>
      </c>
      <c r="N108" s="299">
        <f>_xlfn.XLOOKUP(C108,SEMANA29[COD],SEMANA29[Columna36],"")</f>
        <v>0</v>
      </c>
      <c r="O108" s="299">
        <f>_xlfn.XLOOKUP(C108,SEMANA29[COD],SEMANA29[Columna37],"")</f>
        <v>0</v>
      </c>
      <c r="P108" s="300" t="str">
        <f t="shared" si="21"/>
        <v>0,00</v>
      </c>
      <c r="Q108" s="301">
        <f>_xlfn.XLOOKUP(C108,SEMANA29[COD],SEMANA29[Columna1],"")</f>
        <v>0</v>
      </c>
      <c r="R108" s="3"/>
      <c r="U108" s="388" t="str">
        <v>COD 49</v>
      </c>
      <c r="V108" s="388" t="str">
        <f t="shared" si="22"/>
        <v>COD 49</v>
      </c>
    </row>
    <row r="109" spans="1:22" s="388" customFormat="1" ht="23.1" customHeight="1" outlineLevel="2" x14ac:dyDescent="0.35">
      <c r="A109" s="290"/>
      <c r="B109" s="304">
        <f t="shared" si="23"/>
        <v>50</v>
      </c>
      <c r="C109" s="543" t="str">
        <v>COD 50</v>
      </c>
      <c r="D109" s="292">
        <f>_xlfn.XLOOKUP(C109,CODIGOS_Y_PAGOS[CODIGO],CODIGOS_Y_PAGOS[NOMBRE PARTICIPANTE],"")</f>
        <v>0</v>
      </c>
      <c r="E109" s="293">
        <f>_xlfn.XLOOKUP($C109,SEMANA29[COD],SEMANA29[Columna14],"")</f>
        <v>0</v>
      </c>
      <c r="F109" s="293">
        <f>_xlfn.XLOOKUP(C109,SEMANA29[COD],SEMANA29[Columna19],"")</f>
        <v>0</v>
      </c>
      <c r="G109" s="294" t="str">
        <f t="shared" si="18"/>
        <v>0,00</v>
      </c>
      <c r="H109" s="295">
        <f>_xlfn.XLOOKUP(C109,SEMANA29[COD],SEMANA29[Columna32],"")</f>
        <v>0</v>
      </c>
      <c r="I109" s="295">
        <f>_xlfn.XLOOKUP(C109,SEMANA29[COD],SEMANA29[Columna30],"")</f>
        <v>0</v>
      </c>
      <c r="J109" s="296" t="str">
        <f t="shared" si="19"/>
        <v>0,00</v>
      </c>
      <c r="K109" s="297">
        <f>_xlfn.XLOOKUP(C109,SEMANA29[COD],SEMANA29[Columna32],"")</f>
        <v>0</v>
      </c>
      <c r="L109" s="297">
        <f>_xlfn.XLOOKUP(C109,SEMANA29[COD],SEMANA29[Columna34],"")</f>
        <v>0</v>
      </c>
      <c r="M109" s="298" t="str">
        <f t="shared" si="20"/>
        <v>0,00</v>
      </c>
      <c r="N109" s="299">
        <f>_xlfn.XLOOKUP(C109,SEMANA29[COD],SEMANA29[Columna36],"")</f>
        <v>0</v>
      </c>
      <c r="O109" s="299">
        <f>_xlfn.XLOOKUP(C109,SEMANA29[COD],SEMANA29[Columna37],"")</f>
        <v>0</v>
      </c>
      <c r="P109" s="300" t="str">
        <f t="shared" si="21"/>
        <v>0,00</v>
      </c>
      <c r="Q109" s="301">
        <f>_xlfn.XLOOKUP(C109,SEMANA29[COD],SEMANA29[Columna1],"")</f>
        <v>0</v>
      </c>
      <c r="R109" s="3"/>
      <c r="U109" s="388" t="str">
        <v>COD 50</v>
      </c>
      <c r="V109" s="388" t="str">
        <f t="shared" si="22"/>
        <v>COD 50</v>
      </c>
    </row>
    <row r="110" spans="1:22" s="311" customFormat="1" ht="12" customHeight="1" outlineLevel="1" x14ac:dyDescent="0.35">
      <c r="A110" s="290"/>
      <c r="B110" s="305"/>
      <c r="C110" s="306"/>
      <c r="D110" s="307"/>
      <c r="E110" s="308"/>
      <c r="F110" s="308"/>
      <c r="G110" s="309"/>
      <c r="H110" s="308"/>
      <c r="I110" s="308"/>
      <c r="J110" s="309"/>
      <c r="K110" s="308"/>
      <c r="L110" s="308"/>
      <c r="M110" s="309"/>
      <c r="N110" s="308"/>
      <c r="O110" s="308"/>
      <c r="P110" s="310"/>
      <c r="Q110" s="305"/>
      <c r="R110" s="3"/>
    </row>
    <row r="111" spans="1:22" ht="21.75" customHeight="1" x14ac:dyDescent="0.25">
      <c r="A111" s="3"/>
      <c r="B111" s="312"/>
      <c r="C111" s="313"/>
      <c r="D111" s="313"/>
      <c r="E111" s="314"/>
      <c r="F111" s="314"/>
      <c r="G111" s="315"/>
      <c r="H111" s="314"/>
      <c r="I111" s="314"/>
      <c r="J111" s="316"/>
      <c r="K111" s="316"/>
      <c r="L111" s="345" t="str">
        <f>'SEM 1'!CG3</f>
        <v>SEMANA 1</v>
      </c>
      <c r="M111" s="356"/>
      <c r="N111" s="314"/>
      <c r="O111" s="314"/>
      <c r="P111" s="317"/>
      <c r="Q111" s="357" t="str">
        <f>+N58</f>
        <v>20/09/2026</v>
      </c>
      <c r="R111" s="3"/>
    </row>
    <row r="112" spans="1:22" ht="22.5" customHeight="1" x14ac:dyDescent="0.25">
      <c r="A112" s="1"/>
      <c r="B112" s="354" t="s">
        <v>298</v>
      </c>
      <c r="C112" s="511"/>
      <c r="D112" s="355"/>
      <c r="E112" s="511"/>
      <c r="F112" s="511"/>
      <c r="G112" s="511"/>
      <c r="H112" s="511"/>
      <c r="I112" s="511"/>
      <c r="J112" s="511"/>
      <c r="K112" s="511"/>
      <c r="L112" s="511"/>
      <c r="M112" s="318"/>
      <c r="N112" s="319"/>
      <c r="O112" s="319"/>
      <c r="P112" s="319"/>
      <c r="Q112" s="320"/>
      <c r="R112" s="3"/>
    </row>
    <row r="113" spans="1:46" s="515" customFormat="1" ht="18" customHeight="1" x14ac:dyDescent="0.25">
      <c r="A113" s="280"/>
      <c r="B113" s="321" t="s">
        <v>9</v>
      </c>
      <c r="C113" s="322"/>
      <c r="D113" s="323" t="s">
        <v>10</v>
      </c>
      <c r="E113" s="512" t="s">
        <v>299</v>
      </c>
      <c r="F113" s="512"/>
      <c r="G113" s="512"/>
      <c r="H113" s="512"/>
      <c r="I113" s="512"/>
      <c r="J113" s="512"/>
      <c r="K113" s="381" t="s">
        <v>300</v>
      </c>
      <c r="L113" s="382"/>
      <c r="M113" s="578"/>
      <c r="N113" s="579"/>
      <c r="O113" s="579"/>
      <c r="P113" s="513"/>
      <c r="Q113" s="324"/>
      <c r="R113" s="3"/>
      <c r="U113" s="515" t="s">
        <v>301</v>
      </c>
      <c r="Y113" s="515" t="s">
        <v>302</v>
      </c>
      <c r="AC113" s="515" t="s">
        <v>303</v>
      </c>
      <c r="AG113" s="515" t="s">
        <v>304</v>
      </c>
      <c r="AK113" s="515" t="s">
        <v>305</v>
      </c>
      <c r="AO113" s="515" t="s">
        <v>306</v>
      </c>
      <c r="AS113" s="515" t="s">
        <v>307</v>
      </c>
    </row>
    <row r="114" spans="1:46" s="388" customFormat="1" ht="23.1" customHeight="1" x14ac:dyDescent="0.35">
      <c r="A114" s="290"/>
      <c r="B114" s="548"/>
      <c r="C114" s="545" t="str">
        <f>U114</f>
        <v>COD 01</v>
      </c>
      <c r="D114" s="352" t="str">
        <f>_xlfn.XLOOKUP(C114,CODIGOS_Y_PAGOS[CODIGO],CODIGOS_Y_PAGOS[NOMBRE PARTICIPANTE],"")</f>
        <v>GANADORES Y PULSO</v>
      </c>
      <c r="E114" s="347" t="s">
        <v>308</v>
      </c>
      <c r="F114" s="347"/>
      <c r="G114" s="347"/>
      <c r="H114" s="347"/>
      <c r="I114" s="347"/>
      <c r="J114" s="379"/>
      <c r="K114" s="546">
        <f>MAX(Q$60:Q$109)</f>
        <v>0</v>
      </c>
      <c r="L114" s="547"/>
      <c r="M114" s="358"/>
      <c r="N114" s="358"/>
      <c r="O114" s="359"/>
      <c r="P114" s="359"/>
      <c r="Q114" s="325"/>
      <c r="R114" s="3"/>
      <c r="U114" s="388" t="str">
        <f t="array" ref="U114:V163">_xlfn._xlws.FILTER(C60:D109, Q60:Q109 = MAX(Q60:Q109))</f>
        <v>COD 01</v>
      </c>
      <c r="V114" s="388" t="str">
        <v>GANADORES Y PULSO</v>
      </c>
      <c r="Y114" s="388" t="str">
        <f t="array" ref="Y114:Z163">_xlfn._xlws.FILTER(C60:D109, F60:F109 = MAX(F60:F109))</f>
        <v>COD 01</v>
      </c>
      <c r="Z114" s="388" t="str">
        <v>GANADORES Y PULSO</v>
      </c>
      <c r="AC114" s="388" t="str">
        <f t="array" ref="AC114:AD163">_xlfn._xlws.FILTER(C60:D109, I60:I109 = MAX(I60:I109))</f>
        <v>COD 01</v>
      </c>
      <c r="AD114" s="388" t="str">
        <v>GANADORES Y PULSO</v>
      </c>
      <c r="AG114" s="388" t="str">
        <f t="array" ref="AG114:AH163">_xlfn._xlws.FILTER(C60:D109, L60:L109 = MAX(L60:L109))</f>
        <v>COD 01</v>
      </c>
      <c r="AH114" s="388" t="str">
        <v>GANADORES Y PULSO</v>
      </c>
      <c r="AK114" s="388">
        <f t="array" ref="AK114:AL114">_xlfn._xlws.FILTER('SEM 2'!CY27:CZ61, 'SEM 2'!DA27:DA61 = MIN('SEM 2'!DA27:DA62))</f>
        <v>7</v>
      </c>
      <c r="AL114" s="388" t="str">
        <v>COD 30</v>
      </c>
      <c r="AO114" s="388" t="e">
        <f t="array" ref="AO114:AP114">_xlfn._xlws.FILTER('SEM 2'!EI59:EJ61,'SEM 2'!EG59:EG61)</f>
        <v>#VALUE!</v>
      </c>
      <c r="AP114" s="388" t="e">
        <v>#VALUE!</v>
      </c>
      <c r="AS114" s="388" t="e">
        <f t="array" ref="AS114:AT114">_xlfn._xlws.FILTER('SEM 2'!DQ59:DR61,'SEM 2'!DO59:DO61)</f>
        <v>#VALUE!</v>
      </c>
      <c r="AT114" s="388" t="e">
        <v>#VALUE!</v>
      </c>
    </row>
    <row r="115" spans="1:46" s="388" customFormat="1" ht="23.1" customHeight="1" outlineLevel="1" x14ac:dyDescent="0.35">
      <c r="A115" s="290"/>
      <c r="B115" s="548"/>
      <c r="C115" s="545" t="str">
        <f>U115</f>
        <v>COD 02</v>
      </c>
      <c r="D115" s="352" t="str">
        <f>_xlfn.XLOOKUP(C115,CODIGOS_Y_PAGOS[CODIGO],CODIGOS_Y_PAGOS[NOMBRE PARTICIPANTE],"")</f>
        <v>JESUS QUERALES</v>
      </c>
      <c r="E115" s="347" t="s">
        <v>308</v>
      </c>
      <c r="F115" s="347"/>
      <c r="G115" s="347"/>
      <c r="H115" s="347"/>
      <c r="I115" s="347"/>
      <c r="J115" s="379"/>
      <c r="K115" s="546">
        <f>_xlfn.XLOOKUP(C115,'SEM 3'!$C$8:$C$57,'SEM 3'!$CS$8:$CS$57,"")</f>
        <v>0</v>
      </c>
      <c r="L115" s="547"/>
      <c r="M115" s="358"/>
      <c r="N115" s="358"/>
      <c r="O115" s="359"/>
      <c r="P115" s="359"/>
      <c r="Q115" s="325"/>
      <c r="R115" s="3"/>
      <c r="U115" s="388" t="str">
        <v>COD 02</v>
      </c>
      <c r="V115" s="388" t="str">
        <v>JESUS QUERALES</v>
      </c>
      <c r="Y115" s="388" t="str">
        <v>COD 02</v>
      </c>
      <c r="Z115" s="388" t="str">
        <v>JESUS QUERALES</v>
      </c>
      <c r="AC115" s="388" t="str">
        <v>COD 02</v>
      </c>
      <c r="AD115" s="388" t="str">
        <v>JESUS QUERALES</v>
      </c>
      <c r="AG115" s="388" t="str">
        <v>COD 02</v>
      </c>
      <c r="AH115" s="388" t="str">
        <v>JESUS QUERALES</v>
      </c>
    </row>
    <row r="116" spans="1:46" s="388" customFormat="1" ht="23.1" customHeight="1" outlineLevel="1" x14ac:dyDescent="0.35">
      <c r="A116" s="290"/>
      <c r="B116" s="548"/>
      <c r="C116" s="545" t="str">
        <f>U116</f>
        <v>COD 03</v>
      </c>
      <c r="D116" s="352" t="str">
        <f>_xlfn.XLOOKUP(C116,CODIGOS_Y_PAGOS[CODIGO],CODIGOS_Y_PAGOS[NOMBRE PARTICIPANTE],"")</f>
        <v>MUÑECA DEL HIPISMO</v>
      </c>
      <c r="E116" s="347" t="s">
        <v>308</v>
      </c>
      <c r="F116" s="347"/>
      <c r="G116" s="347"/>
      <c r="H116" s="347"/>
      <c r="I116" s="347"/>
      <c r="J116" s="379"/>
      <c r="K116" s="546">
        <f>_xlfn.XLOOKUP(C116,'SEM 3'!$C$8:$C$57,'SEM 3'!$CS$8:$CS$57,"")</f>
        <v>0</v>
      </c>
      <c r="L116" s="549"/>
      <c r="M116" s="358"/>
      <c r="N116" s="358"/>
      <c r="O116" s="359"/>
      <c r="P116" s="359"/>
      <c r="Q116" s="325"/>
      <c r="R116" s="3"/>
      <c r="U116" s="388" t="str">
        <v>COD 03</v>
      </c>
      <c r="V116" s="388" t="str">
        <v>MUÑECA DEL HIPISMO</v>
      </c>
      <c r="Y116" s="388" t="str">
        <v>COD 03</v>
      </c>
      <c r="Z116" s="388" t="str">
        <v>MUÑECA DEL HIPISMO</v>
      </c>
      <c r="AC116" s="388" t="str">
        <v>COD 03</v>
      </c>
      <c r="AD116" s="388" t="str">
        <v>MUÑECA DEL HIPISMO</v>
      </c>
      <c r="AG116" s="388" t="str">
        <v>COD 03</v>
      </c>
      <c r="AH116" s="388" t="str">
        <v>MUÑECA DEL HIPISMO</v>
      </c>
    </row>
    <row r="117" spans="1:46" s="388" customFormat="1" ht="23.1" customHeight="1" x14ac:dyDescent="0.35">
      <c r="A117" s="290"/>
      <c r="B117" s="550"/>
      <c r="C117" s="551" t="str">
        <f>Y114</f>
        <v>COD 01</v>
      </c>
      <c r="D117" s="352" t="str">
        <f>_xlfn.XLOOKUP(C117,CODIGOS_Y_PAGOS[CODIGO],CODIGOS_Y_PAGOS[NOMBRE PARTICIPANTE],"")</f>
        <v>GANADORES Y PULSO</v>
      </c>
      <c r="E117" s="347" t="s">
        <v>309</v>
      </c>
      <c r="F117" s="347"/>
      <c r="G117" s="347"/>
      <c r="H117" s="347"/>
      <c r="I117" s="347"/>
      <c r="J117" s="379"/>
      <c r="K117" s="462">
        <f>_xlfn.XLOOKUP(C117,'SEM 3'!$C$8:$C$57,'SEM 3'!$CH$8:$CH$57,"")</f>
        <v>0</v>
      </c>
      <c r="L117" s="547"/>
      <c r="M117" s="358"/>
      <c r="N117" s="358"/>
      <c r="O117" s="359"/>
      <c r="P117" s="359"/>
      <c r="Q117" s="325"/>
      <c r="R117" s="3"/>
      <c r="U117" s="388" t="str">
        <v>COD 04</v>
      </c>
      <c r="V117" s="388" t="str">
        <v>EL HIPICO 701</v>
      </c>
      <c r="Y117" s="388" t="str">
        <v>COD 04</v>
      </c>
      <c r="Z117" s="388" t="str">
        <v>EL HIPICO 701</v>
      </c>
      <c r="AC117" s="388" t="str">
        <v>COD 04</v>
      </c>
      <c r="AD117" s="388" t="str">
        <v>EL HIPICO 701</v>
      </c>
      <c r="AG117" s="388" t="str">
        <v>COD 04</v>
      </c>
      <c r="AH117" s="388" t="str">
        <v>EL HIPICO 701</v>
      </c>
    </row>
    <row r="118" spans="1:46" s="388" customFormat="1" ht="23.1" customHeight="1" outlineLevel="1" x14ac:dyDescent="0.35">
      <c r="A118" s="290"/>
      <c r="B118" s="550"/>
      <c r="C118" s="551" t="str">
        <f>Y115</f>
        <v>COD 02</v>
      </c>
      <c r="D118" s="352" t="str">
        <f>_xlfn.XLOOKUP(C118,CODIGOS_Y_PAGOS[CODIGO],CODIGOS_Y_PAGOS[NOMBRE PARTICIPANTE],"")</f>
        <v>JESUS QUERALES</v>
      </c>
      <c r="E118" s="347" t="s">
        <v>309</v>
      </c>
      <c r="F118" s="347"/>
      <c r="G118" s="347"/>
      <c r="H118" s="347"/>
      <c r="I118" s="347"/>
      <c r="J118" s="379"/>
      <c r="K118" s="462">
        <f>_xlfn.XLOOKUP(C118,'SEM 3'!$C$8:$C$57,'SEM 3'!$CH$8:$CH$57,"")</f>
        <v>0</v>
      </c>
      <c r="L118" s="549"/>
      <c r="M118" s="358"/>
      <c r="N118" s="358"/>
      <c r="O118" s="359"/>
      <c r="P118" s="359"/>
      <c r="Q118" s="325"/>
      <c r="R118" s="3"/>
      <c r="U118" s="388" t="str">
        <v>COD 05</v>
      </c>
      <c r="V118" s="388" t="str">
        <v>MARCOS HIDALGO</v>
      </c>
      <c r="Y118" s="388" t="str">
        <v>COD 05</v>
      </c>
      <c r="Z118" s="388" t="str">
        <v>MARCOS HIDALGO</v>
      </c>
      <c r="AC118" s="388" t="str">
        <v>COD 05</v>
      </c>
      <c r="AD118" s="388" t="str">
        <v>MARCOS HIDALGO</v>
      </c>
      <c r="AG118" s="388" t="str">
        <v>COD 05</v>
      </c>
      <c r="AH118" s="388" t="str">
        <v>MARCOS HIDALGO</v>
      </c>
    </row>
    <row r="119" spans="1:46" s="388" customFormat="1" ht="23.1" customHeight="1" outlineLevel="1" x14ac:dyDescent="0.35">
      <c r="A119" s="290"/>
      <c r="B119" s="550"/>
      <c r="C119" s="551" t="str">
        <f>Y116</f>
        <v>COD 03</v>
      </c>
      <c r="D119" s="352" t="str">
        <f>_xlfn.XLOOKUP(C119,CODIGOS_Y_PAGOS[CODIGO],CODIGOS_Y_PAGOS[NOMBRE PARTICIPANTE],"")</f>
        <v>MUÑECA DEL HIPISMO</v>
      </c>
      <c r="E119" s="347" t="s">
        <v>309</v>
      </c>
      <c r="F119" s="347"/>
      <c r="G119" s="347"/>
      <c r="H119" s="347"/>
      <c r="I119" s="347"/>
      <c r="J119" s="379"/>
      <c r="K119" s="462">
        <f>_xlfn.XLOOKUP(C119,'SEM 3'!$C$8:$C$57,'SEM 3'!$CH$8:$CH$57,"")</f>
        <v>0</v>
      </c>
      <c r="L119" s="549"/>
      <c r="M119" s="358"/>
      <c r="N119" s="358"/>
      <c r="O119" s="359"/>
      <c r="P119" s="359"/>
      <c r="Q119" s="325"/>
      <c r="R119" s="3"/>
      <c r="U119" s="388" t="str">
        <v>COD 06</v>
      </c>
      <c r="V119" s="388" t="str">
        <v>JESUS ROJAS</v>
      </c>
      <c r="Y119" s="388" t="str">
        <v>COD 06</v>
      </c>
      <c r="Z119" s="388" t="str">
        <v>JESUS ROJAS</v>
      </c>
      <c r="AC119" s="388" t="str">
        <v>COD 06</v>
      </c>
      <c r="AD119" s="388" t="str">
        <v>JESUS ROJAS</v>
      </c>
      <c r="AG119" s="388" t="str">
        <v>COD 06</v>
      </c>
      <c r="AH119" s="388" t="str">
        <v>JESUS ROJAS</v>
      </c>
    </row>
    <row r="120" spans="1:46" s="388" customFormat="1" ht="23.1" customHeight="1" x14ac:dyDescent="0.35">
      <c r="A120" s="290"/>
      <c r="B120" s="550"/>
      <c r="C120" s="551" t="str">
        <f>AC114</f>
        <v>COD 01</v>
      </c>
      <c r="D120" s="352" t="str">
        <f>_xlfn.XLOOKUP(C120,CODIGOS_Y_PAGOS[CODIGO],CODIGOS_Y_PAGOS[NOMBRE PARTICIPANTE],"")</f>
        <v>GANADORES Y PULSO</v>
      </c>
      <c r="E120" s="347" t="s">
        <v>310</v>
      </c>
      <c r="F120" s="347"/>
      <c r="G120" s="347"/>
      <c r="H120" s="347"/>
      <c r="I120" s="347"/>
      <c r="J120" s="379"/>
      <c r="K120" s="462">
        <f>_xlfn.XLOOKUP(C120,'SEM 3'!$C$8:$C$57,'SEM 3'!$CK$8:$CK$57,"")</f>
        <v>0</v>
      </c>
      <c r="L120" s="547"/>
      <c r="M120" s="358"/>
      <c r="N120" s="358"/>
      <c r="O120" s="359"/>
      <c r="P120" s="359"/>
      <c r="Q120" s="325"/>
      <c r="R120" s="3"/>
      <c r="U120" s="388" t="str">
        <v>COD 07</v>
      </c>
      <c r="V120" s="388" t="str">
        <v>NELSON OSORIO</v>
      </c>
      <c r="Y120" s="388" t="str">
        <v>COD 07</v>
      </c>
      <c r="Z120" s="388" t="str">
        <v>NELSON OSORIO</v>
      </c>
      <c r="AC120" s="388" t="str">
        <v>COD 07</v>
      </c>
      <c r="AD120" s="388" t="str">
        <v>NELSON OSORIO</v>
      </c>
      <c r="AG120" s="388" t="str">
        <v>COD 07</v>
      </c>
      <c r="AH120" s="388" t="str">
        <v>NELSON OSORIO</v>
      </c>
    </row>
    <row r="121" spans="1:46" s="388" customFormat="1" ht="23.1" customHeight="1" x14ac:dyDescent="0.35">
      <c r="A121" s="290"/>
      <c r="B121" s="550"/>
      <c r="C121" s="551" t="str">
        <f>AC115</f>
        <v>COD 02</v>
      </c>
      <c r="D121" s="352" t="str">
        <f>_xlfn.XLOOKUP(C121,CODIGOS_Y_PAGOS[CODIGO],CODIGOS_Y_PAGOS[NOMBRE PARTICIPANTE],"")</f>
        <v>JESUS QUERALES</v>
      </c>
      <c r="E121" s="347" t="s">
        <v>310</v>
      </c>
      <c r="F121" s="347"/>
      <c r="G121" s="347"/>
      <c r="H121" s="347"/>
      <c r="I121" s="347"/>
      <c r="J121" s="379"/>
      <c r="K121" s="462">
        <f>_xlfn.XLOOKUP(C121,'SEM 3'!$C$8:$C$57,'SEM 3'!$CK$8:$CK$57,"")</f>
        <v>0</v>
      </c>
      <c r="L121" s="383"/>
      <c r="M121" s="358"/>
      <c r="N121" s="358"/>
      <c r="O121" s="359"/>
      <c r="P121" s="359"/>
      <c r="Q121" s="325"/>
      <c r="R121" s="3"/>
      <c r="U121" s="388" t="str">
        <v>COD 08</v>
      </c>
      <c r="V121" s="388" t="str">
        <v>RUBEN DARIO CARDENAS</v>
      </c>
      <c r="Y121" s="388" t="str">
        <v>COD 08</v>
      </c>
      <c r="Z121" s="388" t="str">
        <v>RUBEN DARIO CARDENAS</v>
      </c>
      <c r="AC121" s="388" t="str">
        <v>COD 08</v>
      </c>
      <c r="AD121" s="388" t="str">
        <v>RUBEN DARIO CARDENAS</v>
      </c>
      <c r="AG121" s="388" t="str">
        <v>COD 08</v>
      </c>
      <c r="AH121" s="388" t="str">
        <v>RUBEN DARIO CARDENAS</v>
      </c>
    </row>
    <row r="122" spans="1:46" s="388" customFormat="1" ht="23.1" customHeight="1" outlineLevel="1" x14ac:dyDescent="0.35">
      <c r="A122" s="290"/>
      <c r="B122" s="550"/>
      <c r="C122" s="551" t="str">
        <f>AC116</f>
        <v>COD 03</v>
      </c>
      <c r="D122" s="352" t="str">
        <f>_xlfn.XLOOKUP(C122,CODIGOS_Y_PAGOS[CODIGO],CODIGOS_Y_PAGOS[NOMBRE PARTICIPANTE],"")</f>
        <v>MUÑECA DEL HIPISMO</v>
      </c>
      <c r="E122" s="347" t="s">
        <v>310</v>
      </c>
      <c r="F122" s="347"/>
      <c r="G122" s="347"/>
      <c r="H122" s="347"/>
      <c r="I122" s="347"/>
      <c r="J122" s="379"/>
      <c r="K122" s="462">
        <f>_xlfn.XLOOKUP(C122,'SEM 3'!$C$8:$C$57,'SEM 3'!$CK$8:$CK$57,"")</f>
        <v>0</v>
      </c>
      <c r="L122" s="383"/>
      <c r="M122" s="358"/>
      <c r="N122" s="358"/>
      <c r="O122" s="359"/>
      <c r="P122" s="359"/>
      <c r="Q122" s="325"/>
      <c r="R122" s="3"/>
      <c r="U122" s="388" t="str">
        <v>COD 09</v>
      </c>
      <c r="V122" s="388" t="str">
        <v>JESUS ARASME</v>
      </c>
      <c r="Y122" s="388" t="str">
        <v>COD 09</v>
      </c>
      <c r="Z122" s="388" t="str">
        <v>JESUS ARASME</v>
      </c>
      <c r="AC122" s="388" t="str">
        <v>COD 09</v>
      </c>
      <c r="AD122" s="388" t="str">
        <v>JESUS ARASME</v>
      </c>
      <c r="AG122" s="388" t="str">
        <v>COD 09</v>
      </c>
      <c r="AH122" s="388" t="str">
        <v>JESUS ARASME</v>
      </c>
    </row>
    <row r="123" spans="1:46" s="388" customFormat="1" ht="23.1" customHeight="1" x14ac:dyDescent="0.35">
      <c r="A123" s="290"/>
      <c r="B123" s="550"/>
      <c r="C123" s="551" t="str">
        <f>AG114</f>
        <v>COD 01</v>
      </c>
      <c r="D123" s="352" t="str">
        <f>_xlfn.XLOOKUP(C123,CODIGOS_Y_PAGOS[CODIGO],CODIGOS_Y_PAGOS[NOMBRE PARTICIPANTE],"")</f>
        <v>GANADORES Y PULSO</v>
      </c>
      <c r="E123" s="347" t="s">
        <v>311</v>
      </c>
      <c r="F123" s="348"/>
      <c r="G123" s="348"/>
      <c r="H123" s="348"/>
      <c r="I123" s="348"/>
      <c r="J123" s="380"/>
      <c r="K123" s="462">
        <f>_xlfn.XLOOKUP(C123,'SEM 3'!$C$8:$C$57,'SEM 3'!$CN$8:$CN$57,"")</f>
        <v>0</v>
      </c>
      <c r="L123" s="547"/>
      <c r="M123" s="360"/>
      <c r="N123" s="360"/>
      <c r="O123" s="361"/>
      <c r="P123" s="361"/>
      <c r="Q123" s="362"/>
      <c r="R123" s="3"/>
      <c r="U123" s="388" t="str">
        <v>COD 10</v>
      </c>
      <c r="V123" s="388" t="str">
        <v>JESUS CARAYACA</v>
      </c>
      <c r="Y123" s="388" t="str">
        <v>COD 10</v>
      </c>
      <c r="Z123" s="388" t="str">
        <v>JESUS CARAYACA</v>
      </c>
      <c r="AC123" s="388" t="str">
        <v>COD 10</v>
      </c>
      <c r="AD123" s="388" t="str">
        <v>JESUS CARAYACA</v>
      </c>
      <c r="AG123" s="388" t="str">
        <v>COD 10</v>
      </c>
      <c r="AH123" s="388" t="str">
        <v>JESUS CARAYACA</v>
      </c>
    </row>
    <row r="124" spans="1:46" s="388" customFormat="1" ht="23.1" customHeight="1" x14ac:dyDescent="0.35">
      <c r="A124" s="290"/>
      <c r="B124" s="550"/>
      <c r="C124" s="551" t="str">
        <f>AG115</f>
        <v>COD 02</v>
      </c>
      <c r="D124" s="352" t="str">
        <f>_xlfn.XLOOKUP(C124,CODIGOS_Y_PAGOS[CODIGO],CODIGOS_Y_PAGOS[NOMBRE PARTICIPANTE],"")</f>
        <v>JESUS QUERALES</v>
      </c>
      <c r="E124" s="347" t="s">
        <v>311</v>
      </c>
      <c r="F124" s="348"/>
      <c r="G124" s="348"/>
      <c r="H124" s="348"/>
      <c r="I124" s="348"/>
      <c r="J124" s="380"/>
      <c r="K124" s="462">
        <f>_xlfn.XLOOKUP(C124,'SEM 3'!$C$8:$C$57,'SEM 3'!$CN$8:$CN$57,"")</f>
        <v>0</v>
      </c>
      <c r="L124" s="398"/>
      <c r="M124" s="358"/>
      <c r="N124" s="358"/>
      <c r="O124" s="359"/>
      <c r="P124" s="359"/>
      <c r="Q124" s="325"/>
      <c r="R124" s="3"/>
      <c r="U124" s="388" t="str">
        <v>COD 11</v>
      </c>
      <c r="V124" s="388" t="str">
        <v>ANDERSON ZERPA</v>
      </c>
      <c r="Y124" s="388" t="str">
        <v>COD 11</v>
      </c>
      <c r="Z124" s="388" t="str">
        <v>ANDERSON ZERPA</v>
      </c>
      <c r="AC124" s="388" t="str">
        <v>COD 11</v>
      </c>
      <c r="AD124" s="388" t="str">
        <v>ANDERSON ZERPA</v>
      </c>
      <c r="AG124" s="388" t="str">
        <v>COD 11</v>
      </c>
      <c r="AH124" s="388" t="str">
        <v>ANDERSON ZERPA</v>
      </c>
    </row>
    <row r="125" spans="1:46" s="388" customFormat="1" ht="23.1" customHeight="1" outlineLevel="1" x14ac:dyDescent="0.35">
      <c r="A125" s="290"/>
      <c r="B125" s="550"/>
      <c r="C125" s="551" t="str">
        <f>AG116</f>
        <v>COD 03</v>
      </c>
      <c r="D125" s="352" t="str">
        <f>_xlfn.XLOOKUP(C125,CODIGOS_Y_PAGOS[CODIGO],CODIGOS_Y_PAGOS[NOMBRE PARTICIPANTE],"")</f>
        <v>MUÑECA DEL HIPISMO</v>
      </c>
      <c r="E125" s="347" t="s">
        <v>311</v>
      </c>
      <c r="F125" s="348"/>
      <c r="G125" s="348"/>
      <c r="H125" s="348"/>
      <c r="I125" s="348"/>
      <c r="J125" s="380"/>
      <c r="K125" s="462">
        <f>_xlfn.XLOOKUP(C125,'SEM 3'!$C$8:$C$57,'SEM 3'!$CN$8:$CN$57,"")</f>
        <v>0</v>
      </c>
      <c r="L125" s="383"/>
      <c r="M125" s="358"/>
      <c r="N125" s="358"/>
      <c r="O125" s="359"/>
      <c r="P125" s="359"/>
      <c r="Q125" s="325"/>
      <c r="R125" s="3"/>
      <c r="U125" s="388" t="str">
        <v>COD 12</v>
      </c>
      <c r="V125" s="388">
        <v>0</v>
      </c>
      <c r="Y125" s="388" t="str">
        <v>COD 12</v>
      </c>
      <c r="Z125" s="388">
        <v>0</v>
      </c>
      <c r="AC125" s="388" t="str">
        <v>COD 12</v>
      </c>
      <c r="AD125" s="388">
        <v>0</v>
      </c>
      <c r="AG125" s="388" t="str">
        <v>COD 12</v>
      </c>
      <c r="AH125" s="388">
        <v>0</v>
      </c>
    </row>
    <row r="126" spans="1:46" s="388" customFormat="1" ht="23.1" customHeight="1" x14ac:dyDescent="0.35">
      <c r="A126" s="290"/>
      <c r="B126" s="550"/>
      <c r="C126" s="551" t="str">
        <f>AL114</f>
        <v>COD 30</v>
      </c>
      <c r="D126" s="352" t="str">
        <f>_xlfn.XLOOKUP(C126,CODIGOS_Y_PAGOS[CODIGO],CODIGOS_Y_PAGOS[NOMBRE PARTICIPANTE],"")</f>
        <v>CARIACO</v>
      </c>
      <c r="E126" s="576" t="s">
        <v>312</v>
      </c>
      <c r="F126" s="556"/>
      <c r="G126" s="556"/>
      <c r="H126" s="556"/>
      <c r="I126" s="556"/>
      <c r="J126" s="577"/>
      <c r="K126" s="459">
        <f>IF(D126="","",'SEM 3'!$CZ$24)</f>
        <v>0</v>
      </c>
      <c r="L126" s="547"/>
      <c r="M126" s="552">
        <f>AK114</f>
        <v>7</v>
      </c>
      <c r="N126" s="363" t="str">
        <f>IF(M126="","",'SEM 3'!$DA$25)</f>
        <v>-</v>
      </c>
      <c r="O126" s="460" t="str">
        <f t="array" ref="O126">_xlfn._xlws.FILTER('[1]ALFABETICO SEM'!$M$1:$M$196, ('[1]ALFABETICO SEM'!$L$1:$L$196 = $M$126) * ('[1]ALFABETICO SEM'!$N$1:$N$196 = N126), " - ")</f>
        <v xml:space="preserve"> - </v>
      </c>
      <c r="P126" s="385"/>
      <c r="Q126" s="386"/>
      <c r="R126" s="3"/>
      <c r="T126" s="460" t="s">
        <v>328</v>
      </c>
      <c r="U126" s="385" t="str">
        <v>COD 13</v>
      </c>
      <c r="V126" s="386" t="str">
        <v>NOTAS HIPICAS</v>
      </c>
      <c r="Y126" s="388" t="str">
        <v>COD 13</v>
      </c>
      <c r="Z126" s="388" t="str">
        <v>NOTAS HIPICAS</v>
      </c>
      <c r="AC126" s="388" t="str">
        <v>COD 13</v>
      </c>
      <c r="AD126" s="388" t="str">
        <v>NOTAS HIPICAS</v>
      </c>
      <c r="AG126" s="388" t="str">
        <v>COD 13</v>
      </c>
      <c r="AH126" s="388" t="str">
        <v>NOTAS HIPICAS</v>
      </c>
    </row>
    <row r="127" spans="1:46" s="388" customFormat="1" ht="23.1" customHeight="1" outlineLevel="1" x14ac:dyDescent="0.35">
      <c r="A127" s="290"/>
      <c r="B127" s="550"/>
      <c r="C127" s="551">
        <f>AL115</f>
        <v>0</v>
      </c>
      <c r="D127" s="352" t="str">
        <f>_xlfn.XLOOKUP(C127,CODIGOS_Y_PAGOS[CODIGO],CODIGOS_Y_PAGOS[NOMBRE PARTICIPANTE],"")</f>
        <v/>
      </c>
      <c r="E127" s="576" t="s">
        <v>312</v>
      </c>
      <c r="F127" s="556"/>
      <c r="G127" s="556"/>
      <c r="H127" s="556"/>
      <c r="I127" s="556"/>
      <c r="J127" s="577"/>
      <c r="K127" s="459" t="str">
        <f>IF(D127="","",'SEM 3'!$CZ$24)</f>
        <v/>
      </c>
      <c r="L127" s="547"/>
      <c r="M127" s="552" t="str">
        <f>IF(D127="","",'SEM 3'!$CZ$25)</f>
        <v/>
      </c>
      <c r="N127" s="363" t="str">
        <f>IF(M127="","",'SEM 3'!$DA$25)</f>
        <v/>
      </c>
      <c r="O127" s="460" t="str">
        <f t="array" ref="O127">_xlfn._xlws.FILTER('[1]ALFABETICO SEM'!$M$1:$M$196, ('[1]ALFABETICO SEM'!$L$1:$L$196 = $M$126) * ('[1]ALFABETICO SEM'!$N$1:$N$196 = N127), " - ")</f>
        <v xml:space="preserve"> - </v>
      </c>
      <c r="P127" s="385"/>
      <c r="Q127" s="386"/>
      <c r="R127" s="3"/>
      <c r="T127" s="460" t="s">
        <v>329</v>
      </c>
      <c r="U127" s="385" t="str">
        <v>COD 14</v>
      </c>
      <c r="V127" s="386" t="str">
        <v>PEDRO ALVAREZ</v>
      </c>
      <c r="Y127" s="388" t="str">
        <v>COD 14</v>
      </c>
      <c r="Z127" s="388" t="str">
        <v>PEDRO ALVAREZ</v>
      </c>
      <c r="AC127" s="388" t="str">
        <v>COD 14</v>
      </c>
      <c r="AD127" s="388" t="str">
        <v>PEDRO ALVAREZ</v>
      </c>
      <c r="AG127" s="388" t="str">
        <v>COD 14</v>
      </c>
      <c r="AH127" s="388" t="str">
        <v>PEDRO ALVAREZ</v>
      </c>
    </row>
    <row r="128" spans="1:46" s="388" customFormat="1" ht="23.1" customHeight="1" outlineLevel="1" x14ac:dyDescent="0.35">
      <c r="A128" s="290"/>
      <c r="B128" s="550"/>
      <c r="C128" s="551">
        <f>AL116</f>
        <v>0</v>
      </c>
      <c r="D128" s="352" t="str">
        <f>_xlfn.XLOOKUP(C128,CODIGOS_Y_PAGOS[CODIGO],CODIGOS_Y_PAGOS[NOMBRE PARTICIPANTE],"")</f>
        <v/>
      </c>
      <c r="E128" s="576" t="s">
        <v>312</v>
      </c>
      <c r="F128" s="556"/>
      <c r="G128" s="556"/>
      <c r="H128" s="556"/>
      <c r="I128" s="556"/>
      <c r="J128" s="577"/>
      <c r="K128" s="459" t="str">
        <f>IF(D128="","",'SEM 3'!$CZ$24)</f>
        <v/>
      </c>
      <c r="L128" s="547"/>
      <c r="M128" s="552" t="str">
        <f>IF(D128="","",'SEM 3'!$CZ$25)</f>
        <v/>
      </c>
      <c r="N128" s="363" t="str">
        <f>IF(M128="","",'SEM 3'!$DA$25)</f>
        <v/>
      </c>
      <c r="O128" s="460" t="str">
        <f t="array" ref="O128">_xlfn._xlws.FILTER('[1]ALFABETICO SEM'!$M$1:$M$196, ('[1]ALFABETICO SEM'!$L$1:$L$196 = $M$126) * ('[1]ALFABETICO SEM'!$N$1:$N$196 = N128), " - ")</f>
        <v xml:space="preserve"> - </v>
      </c>
      <c r="P128" s="385"/>
      <c r="Q128" s="386"/>
      <c r="R128" s="3"/>
      <c r="T128" s="460" t="s">
        <v>329</v>
      </c>
      <c r="U128" s="385" t="str">
        <v>COD 15</v>
      </c>
      <c r="V128" s="386" t="str">
        <v>CARLOS SUAREZ</v>
      </c>
      <c r="Y128" s="388" t="str">
        <v>COD 15</v>
      </c>
      <c r="Z128" s="388" t="str">
        <v>CARLOS SUAREZ</v>
      </c>
      <c r="AC128" s="388" t="str">
        <v>COD 15</v>
      </c>
      <c r="AD128" s="388" t="str">
        <v>CARLOS SUAREZ</v>
      </c>
      <c r="AG128" s="388" t="str">
        <v>COD 15</v>
      </c>
      <c r="AH128" s="388" t="str">
        <v>CARLOS SUAREZ</v>
      </c>
    </row>
    <row r="129" spans="1:34" s="388" customFormat="1" ht="23.1" customHeight="1" outlineLevel="1" x14ac:dyDescent="0.35">
      <c r="A129" s="290"/>
      <c r="B129" s="550"/>
      <c r="C129" s="551"/>
      <c r="D129" s="352" t="str">
        <f>_xlfn.XLOOKUP(C129,CODIGOS_Y_PAGOS[CODIGO],CODIGOS_Y_PAGOS[NOMBRE PARTICIPANTE],"")</f>
        <v/>
      </c>
      <c r="E129" s="576" t="s">
        <v>314</v>
      </c>
      <c r="F129" s="556"/>
      <c r="G129" s="556"/>
      <c r="H129" s="556"/>
      <c r="I129" s="556"/>
      <c r="J129" s="577"/>
      <c r="K129" s="546"/>
      <c r="L129" s="547"/>
      <c r="M129" s="552"/>
      <c r="N129" s="363"/>
      <c r="O129" s="365"/>
      <c r="P129" s="364"/>
      <c r="Q129" s="366"/>
      <c r="R129" s="3"/>
      <c r="T129" s="365"/>
      <c r="U129" s="364" t="str">
        <v>COD 16</v>
      </c>
      <c r="V129" s="366" t="str">
        <v>PODER HIPICO</v>
      </c>
      <c r="Y129" s="388" t="str">
        <v>COD 16</v>
      </c>
      <c r="Z129" s="388" t="str">
        <v>PODER HIPICO</v>
      </c>
      <c r="AC129" s="388" t="str">
        <v>COD 16</v>
      </c>
      <c r="AD129" s="388" t="str">
        <v>PODER HIPICO</v>
      </c>
      <c r="AG129" s="388" t="str">
        <v>COD 16</v>
      </c>
      <c r="AH129" s="388" t="str">
        <v>PODER HIPICO</v>
      </c>
    </row>
    <row r="130" spans="1:34" s="388" customFormat="1" ht="23.1" customHeight="1" outlineLevel="1" x14ac:dyDescent="0.35">
      <c r="A130" s="290"/>
      <c r="B130" s="550"/>
      <c r="C130" s="551"/>
      <c r="D130" s="352" t="str">
        <f>_xlfn.XLOOKUP(C130,CODIGOS_Y_PAGOS[CODIGO],CODIGOS_Y_PAGOS[NOMBRE PARTICIPANTE],"")</f>
        <v/>
      </c>
      <c r="E130" s="576" t="s">
        <v>314</v>
      </c>
      <c r="F130" s="556"/>
      <c r="G130" s="556"/>
      <c r="H130" s="556"/>
      <c r="I130" s="556"/>
      <c r="J130" s="577"/>
      <c r="K130" s="546"/>
      <c r="L130" s="547"/>
      <c r="M130" s="552"/>
      <c r="N130" s="363"/>
      <c r="O130" s="384"/>
      <c r="P130" s="385"/>
      <c r="Q130" s="386"/>
      <c r="R130" s="3"/>
      <c r="T130" s="384"/>
      <c r="U130" s="385" t="str">
        <v>COD 17</v>
      </c>
      <c r="V130" s="386" t="str">
        <v>FERNANDO VALDIRIO</v>
      </c>
      <c r="Y130" s="388" t="str">
        <v>COD 17</v>
      </c>
      <c r="Z130" s="388" t="str">
        <v>FERNANDO VALDIRIO</v>
      </c>
      <c r="AC130" s="388" t="str">
        <v>COD 17</v>
      </c>
      <c r="AD130" s="388" t="str">
        <v>FERNANDO VALDIRIO</v>
      </c>
      <c r="AG130" s="388" t="str">
        <v>COD 17</v>
      </c>
      <c r="AH130" s="388" t="str">
        <v>FERNANDO VALDIRIO</v>
      </c>
    </row>
    <row r="131" spans="1:34" s="388" customFormat="1" ht="23.1" customHeight="1" outlineLevel="1" x14ac:dyDescent="0.35">
      <c r="A131" s="290"/>
      <c r="B131" s="550"/>
      <c r="C131" s="551"/>
      <c r="D131" s="352" t="str">
        <f>_xlfn.XLOOKUP(C131,CODIGOS_Y_PAGOS[CODIGO],CODIGOS_Y_PAGOS[NOMBRE PARTICIPANTE],"")</f>
        <v/>
      </c>
      <c r="E131" s="576" t="s">
        <v>314</v>
      </c>
      <c r="F131" s="556"/>
      <c r="G131" s="556"/>
      <c r="H131" s="556"/>
      <c r="I131" s="556"/>
      <c r="J131" s="577"/>
      <c r="K131" s="546"/>
      <c r="L131" s="547"/>
      <c r="M131" s="552"/>
      <c r="N131" s="363"/>
      <c r="O131" s="365"/>
      <c r="P131" s="364"/>
      <c r="Q131" s="366"/>
      <c r="R131" s="3"/>
      <c r="T131" s="365"/>
      <c r="U131" s="364" t="str">
        <v>COD 18</v>
      </c>
      <c r="V131" s="366" t="str">
        <v>CASTOR CHIRINOS</v>
      </c>
      <c r="Y131" s="388" t="str">
        <v>COD 18</v>
      </c>
      <c r="Z131" s="388" t="str">
        <v>CASTOR CHIRINOS</v>
      </c>
      <c r="AC131" s="388" t="str">
        <v>COD 18</v>
      </c>
      <c r="AD131" s="388" t="str">
        <v>CASTOR CHIRINOS</v>
      </c>
      <c r="AG131" s="388" t="str">
        <v>COD 18</v>
      </c>
      <c r="AH131" s="388" t="str">
        <v>CASTOR CHIRINOS</v>
      </c>
    </row>
    <row r="132" spans="1:34" s="388" customFormat="1" ht="23.1" customHeight="1" x14ac:dyDescent="0.35">
      <c r="A132" s="290"/>
      <c r="B132" s="550"/>
      <c r="C132" s="551" t="e">
        <f>AO114</f>
        <v>#VALUE!</v>
      </c>
      <c r="D132" s="352" t="e">
        <f>_xlfn.XLOOKUP(C132,CODIGOS_Y_PAGOS[CODIGO],CODIGOS_Y_PAGOS[NOMBRE PARTICIPANTE],"")</f>
        <v>#VALUE!</v>
      </c>
      <c r="E132" s="576" t="s">
        <v>315</v>
      </c>
      <c r="F132" s="556"/>
      <c r="G132" s="556"/>
      <c r="H132" s="556"/>
      <c r="I132" s="556"/>
      <c r="J132" s="577"/>
      <c r="K132" s="459" t="e">
        <f>IF(D132="","",'SEM 3'!EH59)</f>
        <v>#VALUE!</v>
      </c>
      <c r="L132" s="547"/>
      <c r="M132" s="552" t="e">
        <f>IF(D132="","",'SEM 3'!EJ59)</f>
        <v>#VALUE!</v>
      </c>
      <c r="N132" s="363" t="e">
        <f>IF(M132="","",'SEM 3'!$EG$59)</f>
        <v>#VALUE!</v>
      </c>
      <c r="O132" s="460" t="e">
        <f t="array" ref="O132">_xlfn._xlws.FILTER('[1]ALFABETICO SEM'!$M$1:$M$196, ('[1]ALFABETICO SEM'!$L$1:$L$196 = $M$132) * ('[1]ALFABETICO SEM'!$N$1:$N$196 = N132), " - ")</f>
        <v>#VALUE!</v>
      </c>
      <c r="P132" s="385"/>
      <c r="Q132" s="386"/>
      <c r="R132" s="3"/>
      <c r="T132" s="460" t="s">
        <v>330</v>
      </c>
      <c r="U132" s="385" t="str">
        <v>COD 19</v>
      </c>
      <c r="V132" s="386" t="str">
        <v>EL SAMURAI HIPICO</v>
      </c>
      <c r="Y132" s="388" t="str">
        <v>COD 19</v>
      </c>
      <c r="Z132" s="388" t="str">
        <v>EL SAMURAI HIPICO</v>
      </c>
      <c r="AC132" s="388" t="str">
        <v>COD 19</v>
      </c>
      <c r="AD132" s="388" t="str">
        <v>EL SAMURAI HIPICO</v>
      </c>
      <c r="AG132" s="388" t="str">
        <v>COD 19</v>
      </c>
      <c r="AH132" s="388" t="str">
        <v>EL SAMURAI HIPICO</v>
      </c>
    </row>
    <row r="133" spans="1:34" s="388" customFormat="1" ht="23.1" customHeight="1" outlineLevel="1" x14ac:dyDescent="0.35">
      <c r="A133" s="290"/>
      <c r="B133" s="550"/>
      <c r="C133" s="551">
        <f>AO115</f>
        <v>0</v>
      </c>
      <c r="D133" s="352" t="str">
        <f>_xlfn.XLOOKUP(C133,CODIGOS_Y_PAGOS[CODIGO],CODIGOS_Y_PAGOS[NOMBRE PARTICIPANTE],"")</f>
        <v/>
      </c>
      <c r="E133" s="576" t="s">
        <v>315</v>
      </c>
      <c r="F133" s="556"/>
      <c r="G133" s="556"/>
      <c r="H133" s="556"/>
      <c r="I133" s="556"/>
      <c r="J133" s="577"/>
      <c r="K133" s="459" t="str">
        <f>IF(D133="","",'SEM 3'!EH60)</f>
        <v/>
      </c>
      <c r="L133" s="547"/>
      <c r="M133" s="552" t="str">
        <f>IF(D133="","",'SEM 3'!EJ60)</f>
        <v/>
      </c>
      <c r="N133" s="363" t="str">
        <f>IF(M133="","",'SEM 3'!$EG$59)</f>
        <v/>
      </c>
      <c r="O133" s="460" t="e">
        <f t="array" ref="O133">_xlfn._xlws.FILTER('[1]ALFABETICO SEM'!$M$1:$M$196, ('[1]ALFABETICO SEM'!$L$1:$L$196 = $M$132) * ('[1]ALFABETICO SEM'!$N$1:$N$196 = N133), " - ")</f>
        <v>#VALUE!</v>
      </c>
      <c r="P133" s="364"/>
      <c r="Q133" s="366"/>
      <c r="R133" s="3"/>
      <c r="T133" s="460" t="s">
        <v>329</v>
      </c>
      <c r="U133" s="364" t="str">
        <v>COD 20</v>
      </c>
      <c r="V133" s="366" t="str">
        <v>CHINO</v>
      </c>
      <c r="Y133" s="388" t="str">
        <v>COD 20</v>
      </c>
      <c r="Z133" s="388" t="str">
        <v>CHINO</v>
      </c>
      <c r="AC133" s="388" t="str">
        <v>COD 20</v>
      </c>
      <c r="AD133" s="388" t="str">
        <v>CHINO</v>
      </c>
      <c r="AG133" s="388" t="str">
        <v>COD 20</v>
      </c>
      <c r="AH133" s="388" t="str">
        <v>CHINO</v>
      </c>
    </row>
    <row r="134" spans="1:34" s="388" customFormat="1" ht="23.1" customHeight="1" outlineLevel="1" x14ac:dyDescent="0.35">
      <c r="A134" s="290"/>
      <c r="B134" s="550"/>
      <c r="C134" s="551">
        <f>AO116</f>
        <v>0</v>
      </c>
      <c r="D134" s="352" t="str">
        <f>_xlfn.XLOOKUP(C134,CODIGOS_Y_PAGOS[CODIGO],CODIGOS_Y_PAGOS[NOMBRE PARTICIPANTE],"")</f>
        <v/>
      </c>
      <c r="E134" s="576" t="s">
        <v>315</v>
      </c>
      <c r="F134" s="556"/>
      <c r="G134" s="556"/>
      <c r="H134" s="556"/>
      <c r="I134" s="556"/>
      <c r="J134" s="577"/>
      <c r="K134" s="459" t="str">
        <f>IF(D134="","",'SEM 3'!EH61)</f>
        <v/>
      </c>
      <c r="L134" s="547"/>
      <c r="M134" s="552" t="str">
        <f>IF(D134="","",'SEM 3'!EJ61)</f>
        <v/>
      </c>
      <c r="N134" s="363" t="str">
        <f>IF(M134="","",'SEM 3'!$EG$59)</f>
        <v/>
      </c>
      <c r="O134" s="460" t="e">
        <f t="array" ref="O134">_xlfn._xlws.FILTER('[1]ALFABETICO SEM'!$M$1:$M$196, ('[1]ALFABETICO SEM'!$L$1:$L$196 = $M$132) * ('[1]ALFABETICO SEM'!$N$1:$N$196 = N134), " - ")</f>
        <v>#VALUE!</v>
      </c>
      <c r="P134" s="385"/>
      <c r="Q134" s="386"/>
      <c r="R134" s="3"/>
      <c r="T134" s="460" t="s">
        <v>329</v>
      </c>
      <c r="U134" s="385" t="str">
        <v>COD 21</v>
      </c>
      <c r="V134" s="386" t="str">
        <v>WILMER</v>
      </c>
      <c r="Y134" s="388" t="str">
        <v>COD 21</v>
      </c>
      <c r="Z134" s="388" t="str">
        <v>WILMER</v>
      </c>
      <c r="AC134" s="388" t="str">
        <v>COD 21</v>
      </c>
      <c r="AD134" s="388" t="str">
        <v>WILMER</v>
      </c>
      <c r="AG134" s="388" t="str">
        <v>COD 21</v>
      </c>
      <c r="AH134" s="388" t="str">
        <v>WILMER</v>
      </c>
    </row>
    <row r="135" spans="1:34" s="388" customFormat="1" ht="23.1" customHeight="1" x14ac:dyDescent="0.35">
      <c r="A135" s="290"/>
      <c r="B135" s="550"/>
      <c r="C135" s="551" t="str">
        <f>'SEM 2'!DQ59</f>
        <v>COD 38</v>
      </c>
      <c r="D135" s="352" t="str">
        <f>_xlfn.XLOOKUP(C135,CODIGOS_Y_PAGOS[CODIGO],CODIGOS_Y_PAGOS[NOMBRE PARTICIPANTE],"")</f>
        <v>DERVIN</v>
      </c>
      <c r="E135" s="576" t="s">
        <v>317</v>
      </c>
      <c r="F135" s="556"/>
      <c r="G135" s="556"/>
      <c r="H135" s="556"/>
      <c r="I135" s="556"/>
      <c r="J135" s="577"/>
      <c r="K135" s="459" t="str">
        <f>IF(D135="","",'SEM 3'!DP59)</f>
        <v>Esperando</v>
      </c>
      <c r="L135" s="547"/>
      <c r="M135" s="552" t="e">
        <f>IF(D135="","",'SEM 3'!DR59)</f>
        <v>#VALUE!</v>
      </c>
      <c r="N135" s="363" t="e">
        <f>IF(M135="","",'SEM 3'!$DO$59)</f>
        <v>#VALUE!</v>
      </c>
      <c r="O135" s="460" t="e">
        <f t="array" ref="O135">_xlfn._xlws.FILTER('[1]ALFABETICO SEM'!$M$1:$M$196, ('[1]ALFABETICO SEM'!$L$1:$L$196 = $M$135) * ('[1]ALFABETICO SEM'!$N$1:$N$196 = N135), " - ")</f>
        <v>#VALUE!</v>
      </c>
      <c r="P135" s="367"/>
      <c r="Q135" s="368"/>
      <c r="R135" s="3"/>
      <c r="T135" s="460" t="s">
        <v>331</v>
      </c>
      <c r="U135" s="367" t="str">
        <v>COD 22</v>
      </c>
      <c r="V135" s="368" t="str">
        <v>ROGER PIÑA</v>
      </c>
      <c r="Y135" s="388" t="str">
        <v>COD 22</v>
      </c>
      <c r="Z135" s="388" t="str">
        <v>ROGER PIÑA</v>
      </c>
      <c r="AC135" s="388" t="str">
        <v>COD 22</v>
      </c>
      <c r="AD135" s="388" t="str">
        <v>ROGER PIÑA</v>
      </c>
      <c r="AG135" s="388" t="str">
        <v>COD 22</v>
      </c>
      <c r="AH135" s="388" t="str">
        <v>ROGER PIÑA</v>
      </c>
    </row>
    <row r="136" spans="1:34" ht="23.1" customHeight="1" outlineLevel="1" x14ac:dyDescent="0.25">
      <c r="A136" s="3"/>
      <c r="B136" s="550"/>
      <c r="C136" s="551">
        <f>'SEM 2'!DQ60</f>
        <v>0</v>
      </c>
      <c r="D136" s="352" t="str">
        <f>_xlfn.XLOOKUP(C136,CODIGOS_Y_PAGOS[CODIGO],CODIGOS_Y_PAGOS[NOMBRE PARTICIPANTE],"")</f>
        <v/>
      </c>
      <c r="E136" s="576" t="s">
        <v>317</v>
      </c>
      <c r="F136" s="556"/>
      <c r="G136" s="556"/>
      <c r="H136" s="556"/>
      <c r="I136" s="556"/>
      <c r="J136" s="577"/>
      <c r="K136" s="459" t="str">
        <f>IF(D136="","",'SEM 2'!DP60)</f>
        <v/>
      </c>
      <c r="L136" s="547"/>
      <c r="M136" s="552" t="str">
        <f>IF(D136="","",'SEM 3'!DR60)</f>
        <v/>
      </c>
      <c r="N136" s="363" t="str">
        <f>IF(M136="","",'SEM 3'!$DO$59)</f>
        <v/>
      </c>
      <c r="O136" s="460" t="e">
        <f t="array" ref="O136">_xlfn._xlws.FILTER('[1]ALFABETICO SEM'!$M$1:$M$196, ('[1]ALFABETICO SEM'!$L$1:$L$196 = $M$135) * ('[1]ALFABETICO SEM'!$N$1:$N$196 = N136), " - ")</f>
        <v>#VALUE!</v>
      </c>
      <c r="P136" s="385"/>
      <c r="Q136" s="386"/>
      <c r="R136" s="3"/>
      <c r="U136" t="str">
        <v>COD 23</v>
      </c>
      <c r="V136" t="str">
        <v>GILBERT</v>
      </c>
      <c r="Y136" t="str">
        <v>COD 23</v>
      </c>
      <c r="Z136" t="str">
        <v>GILBERT</v>
      </c>
      <c r="AC136" t="str">
        <v>COD 23</v>
      </c>
      <c r="AD136" t="str">
        <v>GILBERT</v>
      </c>
      <c r="AG136" t="str">
        <v>COD 23</v>
      </c>
      <c r="AH136" t="str">
        <v>GILBERT</v>
      </c>
    </row>
    <row r="137" spans="1:34" ht="23.1" customHeight="1" outlineLevel="1" x14ac:dyDescent="0.25">
      <c r="A137" s="1"/>
      <c r="B137" s="550"/>
      <c r="C137" s="551">
        <f>'SEM 2'!DQ61</f>
        <v>0</v>
      </c>
      <c r="D137" s="352" t="str">
        <f>_xlfn.XLOOKUP(C137,CODIGOS_Y_PAGOS[CODIGO],CODIGOS_Y_PAGOS[NOMBRE PARTICIPANTE],"")</f>
        <v/>
      </c>
      <c r="E137" s="576" t="s">
        <v>317</v>
      </c>
      <c r="F137" s="556"/>
      <c r="G137" s="556"/>
      <c r="H137" s="556"/>
      <c r="I137" s="556"/>
      <c r="J137" s="577"/>
      <c r="K137" s="459" t="str">
        <f>IF(D137="","",'SEM 2'!DP61)</f>
        <v/>
      </c>
      <c r="L137" s="547"/>
      <c r="M137" s="552" t="str">
        <f>IF(D137="","",'SEM 3'!DR61)</f>
        <v/>
      </c>
      <c r="N137" s="363" t="str">
        <f>IF(M137="","",'SEM 3'!$DO$59)</f>
        <v/>
      </c>
      <c r="O137" s="460" t="e">
        <f t="array" ref="O137">_xlfn._xlws.FILTER('[1]ALFABETICO SEM'!$M$1:$M$196, ('[1]ALFABETICO SEM'!$L$1:$L$196 = $M$135) * ('[1]ALFABETICO SEM'!$N$1:$N$196 = N137), " - ")</f>
        <v>#VALUE!</v>
      </c>
      <c r="P137" s="367"/>
      <c r="Q137" s="368"/>
      <c r="R137" s="3"/>
      <c r="U137" t="str">
        <v>COD 24</v>
      </c>
      <c r="V137">
        <v>0</v>
      </c>
      <c r="Y137" t="str">
        <v>COD 24</v>
      </c>
      <c r="Z137">
        <v>0</v>
      </c>
      <c r="AC137" t="str">
        <v>COD 24</v>
      </c>
      <c r="AD137">
        <v>0</v>
      </c>
      <c r="AG137" t="str">
        <v>COD 24</v>
      </c>
      <c r="AH137">
        <v>0</v>
      </c>
    </row>
    <row r="138" spans="1:34" s="388" customFormat="1" ht="10.5" customHeight="1" x14ac:dyDescent="0.35">
      <c r="A138" s="290"/>
      <c r="B138" s="326"/>
      <c r="C138" s="3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R138" s="311"/>
      <c r="U138" s="388" t="str">
        <v>COD 25</v>
      </c>
      <c r="V138" s="388" t="str">
        <v>GLEY GARCIA</v>
      </c>
      <c r="Y138" s="388" t="str">
        <v>COD 25</v>
      </c>
      <c r="Z138" s="388" t="str">
        <v>GLEY GARCIA</v>
      </c>
      <c r="AC138" s="388" t="str">
        <v>COD 25</v>
      </c>
      <c r="AD138" s="388" t="str">
        <v>GLEY GARCIA</v>
      </c>
      <c r="AG138" s="388" t="str">
        <v>COD 25</v>
      </c>
      <c r="AH138" s="388" t="str">
        <v>GLEY GARCIA</v>
      </c>
    </row>
    <row r="139" spans="1:34" s="388" customFormat="1" ht="21.75" customHeight="1" thickBot="1" x14ac:dyDescent="0.4">
      <c r="A139" s="290"/>
      <c r="B139" s="467"/>
      <c r="C139" s="468"/>
      <c r="D139" s="469" t="str">
        <f>L111</f>
        <v>SEMANA 1</v>
      </c>
      <c r="E139" s="470"/>
      <c r="F139" s="471"/>
      <c r="G139" s="472" t="str">
        <f>+Q111</f>
        <v>20/09/2026</v>
      </c>
      <c r="H139" s="3"/>
      <c r="I139" s="371"/>
      <c r="J139" s="372"/>
      <c r="K139" s="372"/>
      <c r="L139" s="372"/>
      <c r="M139" s="372"/>
      <c r="N139" s="373" t="str">
        <f>D139</f>
        <v>SEMANA 1</v>
      </c>
      <c r="O139" s="373"/>
      <c r="P139" s="372"/>
      <c r="Q139" s="374" t="str">
        <f>+G139</f>
        <v>20/09/2026</v>
      </c>
      <c r="R139" s="311"/>
      <c r="U139" s="388" t="str">
        <v>COD 26</v>
      </c>
      <c r="V139" s="388" t="str">
        <v>PEDRO TABEROA</v>
      </c>
      <c r="Y139" s="388" t="str">
        <v>COD 26</v>
      </c>
      <c r="Z139" s="388" t="str">
        <v>PEDRO TABEROA</v>
      </c>
      <c r="AC139" s="388" t="str">
        <v>COD 26</v>
      </c>
      <c r="AD139" s="388" t="str">
        <v>PEDRO TABEROA</v>
      </c>
      <c r="AG139" s="388" t="str">
        <v>COD 26</v>
      </c>
      <c r="AH139" s="388" t="str">
        <v>PEDRO TABEROA</v>
      </c>
    </row>
    <row r="140" spans="1:34" s="388" customFormat="1" ht="21" customHeight="1" x14ac:dyDescent="0.35">
      <c r="A140" s="290"/>
      <c r="B140" s="473"/>
      <c r="C140" s="370"/>
      <c r="D140" s="370"/>
      <c r="E140" s="370"/>
      <c r="F140" s="370"/>
      <c r="G140" s="474" t="s">
        <v>319</v>
      </c>
      <c r="H140" s="3"/>
      <c r="I140" s="375"/>
      <c r="J140" s="369"/>
      <c r="K140" s="369"/>
      <c r="L140" s="369"/>
      <c r="M140" s="369"/>
      <c r="N140" s="369"/>
      <c r="O140" s="369"/>
      <c r="P140" s="369"/>
      <c r="Q140" s="376" t="s">
        <v>320</v>
      </c>
      <c r="R140" s="311"/>
      <c r="U140" s="388" t="str">
        <v>COD 27</v>
      </c>
      <c r="V140" s="388" t="str">
        <v>ANDERSON HERNANDEZ</v>
      </c>
      <c r="Y140" s="388" t="str">
        <v>COD 27</v>
      </c>
      <c r="Z140" s="388" t="str">
        <v>ANDERSON HERNANDEZ</v>
      </c>
      <c r="AC140" s="388" t="str">
        <v>COD 27</v>
      </c>
      <c r="AD140" s="388" t="str">
        <v>ANDERSON HERNANDEZ</v>
      </c>
      <c r="AG140" s="388" t="str">
        <v>COD 27</v>
      </c>
      <c r="AH140" s="388" t="str">
        <v>ANDERSON HERNANDEZ</v>
      </c>
    </row>
    <row r="141" spans="1:34" s="388" customFormat="1" ht="23.1" customHeight="1" x14ac:dyDescent="0.35">
      <c r="A141" s="290"/>
      <c r="B141" s="329">
        <v>0</v>
      </c>
      <c r="C141" s="282" t="s">
        <v>9</v>
      </c>
      <c r="D141" s="283" t="s">
        <v>10</v>
      </c>
      <c r="E141" s="330" t="s">
        <v>321</v>
      </c>
      <c r="F141" s="330" t="s">
        <v>322</v>
      </c>
      <c r="G141" s="330" t="s">
        <v>323</v>
      </c>
      <c r="H141" s="290"/>
      <c r="I141" s="377">
        <v>0</v>
      </c>
      <c r="J141" s="331" t="s">
        <v>9</v>
      </c>
      <c r="K141" s="332" t="s">
        <v>10</v>
      </c>
      <c r="L141" s="333"/>
      <c r="M141" s="333"/>
      <c r="N141" s="334"/>
      <c r="O141" s="335" t="s">
        <v>321</v>
      </c>
      <c r="P141" s="330" t="s">
        <v>322</v>
      </c>
      <c r="Q141" s="330" t="s">
        <v>324</v>
      </c>
      <c r="R141" s="311"/>
      <c r="U141" s="388" t="str">
        <v>COD 28</v>
      </c>
      <c r="V141" s="388" t="str">
        <v>FRANKLIN DELGADO</v>
      </c>
      <c r="Y141" s="388" t="str">
        <v>COD 28</v>
      </c>
      <c r="Z141" s="388" t="str">
        <v>FRANKLIN DELGADO</v>
      </c>
      <c r="AC141" s="388" t="str">
        <v>COD 28</v>
      </c>
      <c r="AD141" s="388" t="str">
        <v>FRANKLIN DELGADO</v>
      </c>
      <c r="AG141" s="388" t="str">
        <v>COD 28</v>
      </c>
      <c r="AH141" s="388" t="str">
        <v>FRANKLIN DELGADO</v>
      </c>
    </row>
    <row r="142" spans="1:34" s="388" customFormat="1" ht="23.1" customHeight="1" x14ac:dyDescent="0.35">
      <c r="A142" s="290"/>
      <c r="B142" s="302">
        <f t="shared" ref="B142:B151" si="24">+B141+1</f>
        <v>1</v>
      </c>
      <c r="C142" s="553" t="str">
        <f t="array" ref="C142:C191">_xlfn.SORTBY($C$5:$C$54,$L$5:$L$54,-1)</f>
        <v>COD 01</v>
      </c>
      <c r="D142" s="463" t="str">
        <f>_xlfn.XLOOKUP(C142,CODIGOS_Y_PAGOS[CODIGO],CODIGOS_Y_PAGOS[NOMBRE PARTICIPANTE],"")</f>
        <v>GANADORES Y PULSO</v>
      </c>
      <c r="E142" s="336">
        <f t="shared" ref="E142:E173" si="25">_xlfn.XLOOKUP(C142,$C$5:$C$54,$K$5:$K$54)</f>
        <v>27</v>
      </c>
      <c r="F142" s="336">
        <f t="shared" ref="F142:F173" si="26">_xlfn.XLOOKUP(C142,$C$5:$C$54,$L$5:$L$54)</f>
        <v>22</v>
      </c>
      <c r="G142" s="378">
        <f t="shared" ref="G142:G173" si="27">+F142/E142</f>
        <v>0.81481481481481477</v>
      </c>
      <c r="H142" s="311"/>
      <c r="I142" s="302">
        <f t="shared" ref="I142:I151" si="28">+I141+1</f>
        <v>1</v>
      </c>
      <c r="J142" s="553" t="str">
        <f t="array" ref="J142:J191">_xlfn.SORTBY($C$5:$C$54,$P$5:$P$54,-1)</f>
        <v>COD 23</v>
      </c>
      <c r="K142" s="463" t="str">
        <f>_xlfn.XLOOKUP(J142,CODIGOS_Y_PAGOS[CODIGO],CODIGOS_Y_PAGOS[NOMBRE PARTICIPANTE],"")</f>
        <v>GILBERT</v>
      </c>
      <c r="L142" s="338"/>
      <c r="M142" s="338"/>
      <c r="N142" s="339"/>
      <c r="O142" s="340">
        <f t="shared" ref="O142:O151" si="29">_xlfn.XLOOKUP(J142,$C$5:$C$54,$N$5:$N$54)</f>
        <v>6</v>
      </c>
      <c r="P142" s="340">
        <f t="shared" ref="P142:P151" si="30">_xlfn.XLOOKUP(J142,$C$5:$C$54,$O$5:$O$54)</f>
        <v>5</v>
      </c>
      <c r="Q142" s="378">
        <f t="shared" ref="Q142:Q151" si="31">+P142/O142</f>
        <v>0.83333333333333337</v>
      </c>
      <c r="R142" s="311"/>
      <c r="U142" s="388" t="str">
        <v>COD 29</v>
      </c>
      <c r="V142" s="388" t="str">
        <v>JEAN MARCO</v>
      </c>
      <c r="Y142" s="388" t="str">
        <v>COD 29</v>
      </c>
      <c r="Z142" s="388" t="str">
        <v>JEAN MARCO</v>
      </c>
      <c r="AC142" s="388" t="str">
        <v>COD 29</v>
      </c>
      <c r="AD142" s="388" t="str">
        <v>JEAN MARCO</v>
      </c>
      <c r="AG142" s="388" t="str">
        <v>COD 29</v>
      </c>
      <c r="AH142" s="388" t="str">
        <v>JEAN MARCO</v>
      </c>
    </row>
    <row r="143" spans="1:34" s="388" customFormat="1" ht="23.1" customHeight="1" x14ac:dyDescent="0.35">
      <c r="A143" s="290"/>
      <c r="B143" s="302">
        <f t="shared" si="24"/>
        <v>2</v>
      </c>
      <c r="C143" s="553" t="str">
        <v>COD 05</v>
      </c>
      <c r="D143" s="463" t="str">
        <f>_xlfn.XLOOKUP(C143,CODIGOS_Y_PAGOS[CODIGO],CODIGOS_Y_PAGOS[NOMBRE PARTICIPANTE],"")</f>
        <v>MARCOS HIDALGO</v>
      </c>
      <c r="E143" s="336">
        <f t="shared" si="25"/>
        <v>27</v>
      </c>
      <c r="F143" s="336">
        <f t="shared" si="26"/>
        <v>21</v>
      </c>
      <c r="G143" s="378">
        <f t="shared" si="27"/>
        <v>0.77777777777777779</v>
      </c>
      <c r="H143" s="311"/>
      <c r="I143" s="302">
        <f t="shared" si="28"/>
        <v>2</v>
      </c>
      <c r="J143" s="553" t="str">
        <v>COD 15</v>
      </c>
      <c r="K143" s="463" t="str">
        <f>_xlfn.XLOOKUP(J143,CODIGOS_Y_PAGOS[CODIGO],CODIGOS_Y_PAGOS[NOMBRE PARTICIPANTE],"")</f>
        <v>CARLOS SUAREZ</v>
      </c>
      <c r="L143" s="341"/>
      <c r="M143" s="341"/>
      <c r="N143" s="342"/>
      <c r="O143" s="340">
        <f t="shared" si="29"/>
        <v>6</v>
      </c>
      <c r="P143" s="340">
        <f t="shared" si="30"/>
        <v>5</v>
      </c>
      <c r="Q143" s="378">
        <f t="shared" si="31"/>
        <v>0.83333333333333337</v>
      </c>
      <c r="R143" s="311"/>
      <c r="U143" s="388" t="str">
        <v>COD 30</v>
      </c>
      <c r="V143" s="388" t="str">
        <v>CARIACO</v>
      </c>
      <c r="Y143" s="388" t="str">
        <v>COD 30</v>
      </c>
      <c r="Z143" s="388" t="str">
        <v>CARIACO</v>
      </c>
      <c r="AC143" s="388" t="str">
        <v>COD 30</v>
      </c>
      <c r="AD143" s="388" t="str">
        <v>CARIACO</v>
      </c>
      <c r="AG143" s="388" t="str">
        <v>COD 30</v>
      </c>
      <c r="AH143" s="388" t="str">
        <v>CARIACO</v>
      </c>
    </row>
    <row r="144" spans="1:34" s="388" customFormat="1" ht="23.1" customHeight="1" x14ac:dyDescent="0.35">
      <c r="A144" s="290"/>
      <c r="B144" s="302">
        <f t="shared" si="24"/>
        <v>3</v>
      </c>
      <c r="C144" s="553" t="str">
        <v>COD 21</v>
      </c>
      <c r="D144" s="463" t="str">
        <f>_xlfn.XLOOKUP(C144,CODIGOS_Y_PAGOS[CODIGO],CODIGOS_Y_PAGOS[NOMBRE PARTICIPANTE],"")</f>
        <v>WILMER</v>
      </c>
      <c r="E144" s="336">
        <f t="shared" si="25"/>
        <v>27</v>
      </c>
      <c r="F144" s="336">
        <f t="shared" si="26"/>
        <v>20</v>
      </c>
      <c r="G144" s="378">
        <f t="shared" si="27"/>
        <v>0.7407407407407407</v>
      </c>
      <c r="H144" s="311"/>
      <c r="I144" s="302">
        <f t="shared" si="28"/>
        <v>3</v>
      </c>
      <c r="J144" s="553" t="str">
        <v>COD 13</v>
      </c>
      <c r="K144" s="463" t="str">
        <f>_xlfn.XLOOKUP(J144,CODIGOS_Y_PAGOS[CODIGO],CODIGOS_Y_PAGOS[NOMBRE PARTICIPANTE],"")</f>
        <v>NOTAS HIPICAS</v>
      </c>
      <c r="L144" s="341"/>
      <c r="M144" s="341"/>
      <c r="N144" s="342"/>
      <c r="O144" s="340">
        <f t="shared" si="29"/>
        <v>5</v>
      </c>
      <c r="P144" s="340">
        <f t="shared" si="30"/>
        <v>4</v>
      </c>
      <c r="Q144" s="378">
        <f t="shared" si="31"/>
        <v>0.8</v>
      </c>
      <c r="R144" s="311"/>
      <c r="U144" s="388" t="str">
        <v>COD 31</v>
      </c>
      <c r="V144" s="388" t="str">
        <v>ALBIN</v>
      </c>
      <c r="Y144" s="388" t="str">
        <v>COD 31</v>
      </c>
      <c r="Z144" s="388" t="str">
        <v>ALBIN</v>
      </c>
      <c r="AC144" s="388" t="str">
        <v>COD 31</v>
      </c>
      <c r="AD144" s="388" t="str">
        <v>ALBIN</v>
      </c>
      <c r="AG144" s="388" t="str">
        <v>COD 31</v>
      </c>
      <c r="AH144" s="388" t="str">
        <v>ALBIN</v>
      </c>
    </row>
    <row r="145" spans="1:34" s="388" customFormat="1" ht="23.1" customHeight="1" x14ac:dyDescent="0.35">
      <c r="A145" s="290"/>
      <c r="B145" s="302">
        <f t="shared" si="24"/>
        <v>4</v>
      </c>
      <c r="C145" s="553" t="str">
        <v>COD 25</v>
      </c>
      <c r="D145" s="463" t="str">
        <f>_xlfn.XLOOKUP(C145,CODIGOS_Y_PAGOS[CODIGO],CODIGOS_Y_PAGOS[NOMBRE PARTICIPANTE],"")</f>
        <v>GLEY GARCIA</v>
      </c>
      <c r="E145" s="336">
        <f t="shared" si="25"/>
        <v>27</v>
      </c>
      <c r="F145" s="336">
        <f t="shared" si="26"/>
        <v>20</v>
      </c>
      <c r="G145" s="378">
        <f t="shared" si="27"/>
        <v>0.7407407407407407</v>
      </c>
      <c r="H145" s="311"/>
      <c r="I145" s="302">
        <f t="shared" si="28"/>
        <v>4</v>
      </c>
      <c r="J145" s="553" t="str">
        <v>COD 02</v>
      </c>
      <c r="K145" s="463" t="str">
        <f>_xlfn.XLOOKUP(J145,CODIGOS_Y_PAGOS[CODIGO],CODIGOS_Y_PAGOS[NOMBRE PARTICIPANTE],"")</f>
        <v>JESUS QUERALES</v>
      </c>
      <c r="L145" s="341"/>
      <c r="M145" s="341"/>
      <c r="N145" s="342"/>
      <c r="O145" s="340">
        <f t="shared" si="29"/>
        <v>6</v>
      </c>
      <c r="P145" s="340">
        <f t="shared" si="30"/>
        <v>4</v>
      </c>
      <c r="Q145" s="378">
        <f t="shared" si="31"/>
        <v>0.66666666666666663</v>
      </c>
      <c r="R145" s="311"/>
      <c r="U145" s="388" t="str">
        <v>COD 32</v>
      </c>
      <c r="V145" s="388" t="str">
        <v>TONY CURTIS</v>
      </c>
      <c r="Y145" s="388" t="str">
        <v>COD 32</v>
      </c>
      <c r="Z145" s="388" t="str">
        <v>TONY CURTIS</v>
      </c>
      <c r="AC145" s="388" t="str">
        <v>COD 32</v>
      </c>
      <c r="AD145" s="388" t="str">
        <v>TONY CURTIS</v>
      </c>
      <c r="AG145" s="388" t="str">
        <v>COD 32</v>
      </c>
      <c r="AH145" s="388" t="str">
        <v>TONY CURTIS</v>
      </c>
    </row>
    <row r="146" spans="1:34" s="388" customFormat="1" ht="23.1" customHeight="1" x14ac:dyDescent="0.35">
      <c r="A146" s="290"/>
      <c r="B146" s="302">
        <f t="shared" si="24"/>
        <v>5</v>
      </c>
      <c r="C146" s="553" t="str">
        <v>COD 09</v>
      </c>
      <c r="D146" s="463" t="str">
        <f>_xlfn.XLOOKUP(C146,CODIGOS_Y_PAGOS[CODIGO],CODIGOS_Y_PAGOS[NOMBRE PARTICIPANTE],"")</f>
        <v>JESUS ARASME</v>
      </c>
      <c r="E146" s="336">
        <f t="shared" si="25"/>
        <v>27</v>
      </c>
      <c r="F146" s="336">
        <f t="shared" si="26"/>
        <v>20</v>
      </c>
      <c r="G146" s="378">
        <f t="shared" si="27"/>
        <v>0.7407407407407407</v>
      </c>
      <c r="H146" s="311"/>
      <c r="I146" s="302">
        <f t="shared" si="28"/>
        <v>5</v>
      </c>
      <c r="J146" s="553" t="str">
        <v>COD 21</v>
      </c>
      <c r="K146" s="463" t="str">
        <f>_xlfn.XLOOKUP(J146,CODIGOS_Y_PAGOS[CODIGO],CODIGOS_Y_PAGOS[NOMBRE PARTICIPANTE],"")</f>
        <v>WILMER</v>
      </c>
      <c r="L146" s="341"/>
      <c r="M146" s="341"/>
      <c r="N146" s="342"/>
      <c r="O146" s="340">
        <f t="shared" si="29"/>
        <v>6</v>
      </c>
      <c r="P146" s="340">
        <f t="shared" si="30"/>
        <v>4</v>
      </c>
      <c r="Q146" s="378">
        <f t="shared" si="31"/>
        <v>0.66666666666666663</v>
      </c>
      <c r="R146" s="311"/>
      <c r="U146" s="388" t="str">
        <v>COD 33</v>
      </c>
      <c r="V146" s="388" t="str">
        <v>JOSE LUIS ANTUNEZ</v>
      </c>
      <c r="Y146" s="388" t="str">
        <v>COD 33</v>
      </c>
      <c r="Z146" s="388" t="str">
        <v>JOSE LUIS ANTUNEZ</v>
      </c>
      <c r="AC146" s="388" t="str">
        <v>COD 33</v>
      </c>
      <c r="AD146" s="388" t="str">
        <v>JOSE LUIS ANTUNEZ</v>
      </c>
      <c r="AG146" s="388" t="str">
        <v>COD 33</v>
      </c>
      <c r="AH146" s="388" t="str">
        <v>JOSE LUIS ANTUNEZ</v>
      </c>
    </row>
    <row r="147" spans="1:34" s="388" customFormat="1" ht="23.1" customHeight="1" x14ac:dyDescent="0.35">
      <c r="A147" s="290"/>
      <c r="B147" s="302">
        <f t="shared" si="24"/>
        <v>6</v>
      </c>
      <c r="C147" s="553" t="str">
        <v>COD 16</v>
      </c>
      <c r="D147" s="463" t="str">
        <f>_xlfn.XLOOKUP(C147,CODIGOS_Y_PAGOS[CODIGO],CODIGOS_Y_PAGOS[NOMBRE PARTICIPANTE],"")</f>
        <v>PODER HIPICO</v>
      </c>
      <c r="E147" s="336">
        <f t="shared" si="25"/>
        <v>27</v>
      </c>
      <c r="F147" s="336">
        <f t="shared" si="26"/>
        <v>20</v>
      </c>
      <c r="G147" s="378">
        <f t="shared" si="27"/>
        <v>0.7407407407407407</v>
      </c>
      <c r="H147" s="311"/>
      <c r="I147" s="302">
        <f t="shared" si="28"/>
        <v>6</v>
      </c>
      <c r="J147" s="553" t="str">
        <v>COD 10</v>
      </c>
      <c r="K147" s="463" t="str">
        <f>_xlfn.XLOOKUP(J147,CODIGOS_Y_PAGOS[CODIGO],CODIGOS_Y_PAGOS[NOMBRE PARTICIPANTE],"")</f>
        <v>JESUS CARAYACA</v>
      </c>
      <c r="L147" s="341"/>
      <c r="M147" s="341"/>
      <c r="N147" s="342"/>
      <c r="O147" s="340">
        <f t="shared" si="29"/>
        <v>6</v>
      </c>
      <c r="P147" s="340">
        <f t="shared" si="30"/>
        <v>4</v>
      </c>
      <c r="Q147" s="378">
        <f t="shared" si="31"/>
        <v>0.66666666666666663</v>
      </c>
      <c r="R147" s="311"/>
      <c r="U147" s="388" t="str">
        <v>COD 34</v>
      </c>
      <c r="V147" s="388" t="str">
        <v>ROBERTO CARLOS</v>
      </c>
      <c r="Y147" s="388" t="str">
        <v>COD 34</v>
      </c>
      <c r="Z147" s="388" t="str">
        <v>ROBERTO CARLOS</v>
      </c>
      <c r="AC147" s="388" t="str">
        <v>COD 34</v>
      </c>
      <c r="AD147" s="388" t="str">
        <v>ROBERTO CARLOS</v>
      </c>
      <c r="AG147" s="388" t="str">
        <v>COD 34</v>
      </c>
      <c r="AH147" s="388" t="str">
        <v>ROBERTO CARLOS</v>
      </c>
    </row>
    <row r="148" spans="1:34" ht="23.1" customHeight="1" x14ac:dyDescent="0.35">
      <c r="A148" s="3"/>
      <c r="B148" s="302">
        <f t="shared" si="24"/>
        <v>7</v>
      </c>
      <c r="C148" s="553" t="str">
        <v>COD 28</v>
      </c>
      <c r="D148" s="463" t="str">
        <f>_xlfn.XLOOKUP(C148,CODIGOS_Y_PAGOS[CODIGO],CODIGOS_Y_PAGOS[NOMBRE PARTICIPANTE],"")</f>
        <v>FRANKLIN DELGADO</v>
      </c>
      <c r="E148" s="336">
        <f t="shared" si="25"/>
        <v>27</v>
      </c>
      <c r="F148" s="336">
        <f t="shared" si="26"/>
        <v>20</v>
      </c>
      <c r="G148" s="378">
        <f t="shared" si="27"/>
        <v>0.7407407407407407</v>
      </c>
      <c r="H148" s="311"/>
      <c r="I148" s="302">
        <f t="shared" si="28"/>
        <v>7</v>
      </c>
      <c r="J148" s="553" t="str">
        <v>COD 25</v>
      </c>
      <c r="K148" s="463" t="str">
        <f>_xlfn.XLOOKUP(J148,CODIGOS_Y_PAGOS[CODIGO],CODIGOS_Y_PAGOS[NOMBRE PARTICIPANTE],"")</f>
        <v>GLEY GARCIA</v>
      </c>
      <c r="L148" s="341"/>
      <c r="M148" s="341"/>
      <c r="N148" s="342"/>
      <c r="O148" s="340">
        <f t="shared" si="29"/>
        <v>6</v>
      </c>
      <c r="P148" s="340">
        <f t="shared" si="30"/>
        <v>4</v>
      </c>
      <c r="Q148" s="378">
        <f t="shared" si="31"/>
        <v>0.66666666666666663</v>
      </c>
      <c r="R148" s="3"/>
      <c r="U148" t="str">
        <v>COD 35</v>
      </c>
      <c r="V148" t="str">
        <v>YOVANNY</v>
      </c>
      <c r="Y148" t="str">
        <v>COD 35</v>
      </c>
      <c r="Z148" t="str">
        <v>YOVANNY</v>
      </c>
      <c r="AC148" t="str">
        <v>COD 35</v>
      </c>
      <c r="AD148" t="str">
        <v>YOVANNY</v>
      </c>
      <c r="AG148" t="str">
        <v>COD 35</v>
      </c>
      <c r="AH148" t="str">
        <v>YOVANNY</v>
      </c>
    </row>
    <row r="149" spans="1:34" ht="23.1" customHeight="1" x14ac:dyDescent="0.35">
      <c r="B149" s="302">
        <f t="shared" si="24"/>
        <v>8</v>
      </c>
      <c r="C149" s="553" t="str">
        <v>COD 29</v>
      </c>
      <c r="D149" s="463" t="str">
        <f>_xlfn.XLOOKUP(C149,CODIGOS_Y_PAGOS[CODIGO],CODIGOS_Y_PAGOS[NOMBRE PARTICIPANTE],"")</f>
        <v>JEAN MARCO</v>
      </c>
      <c r="E149" s="336">
        <f t="shared" si="25"/>
        <v>27</v>
      </c>
      <c r="F149" s="336">
        <f t="shared" si="26"/>
        <v>20</v>
      </c>
      <c r="G149" s="378">
        <f t="shared" si="27"/>
        <v>0.7407407407407407</v>
      </c>
      <c r="H149" s="311"/>
      <c r="I149" s="302">
        <f t="shared" si="28"/>
        <v>8</v>
      </c>
      <c r="J149" s="553" t="str">
        <v>COD 05</v>
      </c>
      <c r="K149" s="463" t="str">
        <f>_xlfn.XLOOKUP(J149,CODIGOS_Y_PAGOS[CODIGO],CODIGOS_Y_PAGOS[NOMBRE PARTICIPANTE],"")</f>
        <v>MARCOS HIDALGO</v>
      </c>
      <c r="L149" s="341"/>
      <c r="M149" s="341"/>
      <c r="N149" s="342"/>
      <c r="O149" s="340">
        <f t="shared" si="29"/>
        <v>6</v>
      </c>
      <c r="P149" s="340">
        <f t="shared" si="30"/>
        <v>4</v>
      </c>
      <c r="Q149" s="378">
        <f t="shared" si="31"/>
        <v>0.66666666666666663</v>
      </c>
      <c r="R149" s="3"/>
      <c r="U149" t="str">
        <v>COD 36</v>
      </c>
      <c r="V149" t="str">
        <v>EDGAR ALEXANDER</v>
      </c>
      <c r="Y149" t="str">
        <v>COD 36</v>
      </c>
      <c r="Z149" t="str">
        <v>EDGAR ALEXANDER</v>
      </c>
      <c r="AC149" t="str">
        <v>COD 36</v>
      </c>
      <c r="AD149" t="str">
        <v>EDGAR ALEXANDER</v>
      </c>
      <c r="AG149" t="str">
        <v>COD 36</v>
      </c>
      <c r="AH149" t="str">
        <v>EDGAR ALEXANDER</v>
      </c>
    </row>
    <row r="150" spans="1:34" ht="23.1" customHeight="1" x14ac:dyDescent="0.35">
      <c r="B150" s="302">
        <f t="shared" si="24"/>
        <v>9</v>
      </c>
      <c r="C150" s="553" t="str">
        <v>COD 02</v>
      </c>
      <c r="D150" s="463" t="str">
        <f>_xlfn.XLOOKUP(C150,CODIGOS_Y_PAGOS[CODIGO],CODIGOS_Y_PAGOS[NOMBRE PARTICIPANTE],"")</f>
        <v>JESUS QUERALES</v>
      </c>
      <c r="E150" s="336">
        <f t="shared" si="25"/>
        <v>27</v>
      </c>
      <c r="F150" s="336">
        <f t="shared" si="26"/>
        <v>19</v>
      </c>
      <c r="G150" s="378">
        <f t="shared" si="27"/>
        <v>0.70370370370370372</v>
      </c>
      <c r="H150" s="311"/>
      <c r="I150" s="302">
        <f t="shared" si="28"/>
        <v>9</v>
      </c>
      <c r="J150" s="553" t="str">
        <v>COD 27</v>
      </c>
      <c r="K150" s="463" t="str">
        <f>_xlfn.XLOOKUP(J150,CODIGOS_Y_PAGOS[CODIGO],CODIGOS_Y_PAGOS[NOMBRE PARTICIPANTE],"")</f>
        <v>ANDERSON HERNANDEZ</v>
      </c>
      <c r="L150" s="341"/>
      <c r="M150" s="341"/>
      <c r="N150" s="342"/>
      <c r="O150" s="340">
        <f t="shared" si="29"/>
        <v>6</v>
      </c>
      <c r="P150" s="340">
        <f t="shared" si="30"/>
        <v>4</v>
      </c>
      <c r="Q150" s="378">
        <f t="shared" si="31"/>
        <v>0.66666666666666663</v>
      </c>
      <c r="R150" s="3"/>
      <c r="U150" t="str">
        <v>COD 37</v>
      </c>
      <c r="V150" t="str">
        <v>GLADIADOR HIPICO</v>
      </c>
      <c r="Y150" t="str">
        <v>COD 37</v>
      </c>
      <c r="Z150" t="str">
        <v>GLADIADOR HIPICO</v>
      </c>
      <c r="AC150" t="str">
        <v>COD 37</v>
      </c>
      <c r="AD150" t="str">
        <v>GLADIADOR HIPICO</v>
      </c>
      <c r="AG150" t="str">
        <v>COD 37</v>
      </c>
      <c r="AH150" t="str">
        <v>GLADIADOR HIPICO</v>
      </c>
    </row>
    <row r="151" spans="1:34" ht="23.1" customHeight="1" x14ac:dyDescent="0.35">
      <c r="B151" s="302">
        <f t="shared" si="24"/>
        <v>10</v>
      </c>
      <c r="C151" s="553" t="str">
        <v>COD 10</v>
      </c>
      <c r="D151" s="463" t="str">
        <f>_xlfn.XLOOKUP(C151,CODIGOS_Y_PAGOS[CODIGO],CODIGOS_Y_PAGOS[NOMBRE PARTICIPANTE],"")</f>
        <v>JESUS CARAYACA</v>
      </c>
      <c r="E151" s="336">
        <f t="shared" si="25"/>
        <v>27</v>
      </c>
      <c r="F151" s="336">
        <f t="shared" si="26"/>
        <v>19</v>
      </c>
      <c r="G151" s="378">
        <f t="shared" si="27"/>
        <v>0.70370370370370372</v>
      </c>
      <c r="H151" s="311"/>
      <c r="I151" s="302">
        <f t="shared" si="28"/>
        <v>10</v>
      </c>
      <c r="J151" s="553" t="str">
        <v>COD 08</v>
      </c>
      <c r="K151" s="463" t="str">
        <f>_xlfn.XLOOKUP(J151,CODIGOS_Y_PAGOS[CODIGO],CODIGOS_Y_PAGOS[NOMBRE PARTICIPANTE],"")</f>
        <v>RUBEN DARIO CARDENAS</v>
      </c>
      <c r="L151" s="341"/>
      <c r="M151" s="341"/>
      <c r="N151" s="342"/>
      <c r="O151" s="340">
        <f t="shared" si="29"/>
        <v>6</v>
      </c>
      <c r="P151" s="340">
        <f t="shared" si="30"/>
        <v>4</v>
      </c>
      <c r="Q151" s="378">
        <f t="shared" si="31"/>
        <v>0.66666666666666663</v>
      </c>
      <c r="R151" s="3"/>
      <c r="U151" t="str">
        <v>COD 38</v>
      </c>
      <c r="V151" t="str">
        <v>DERVIN</v>
      </c>
      <c r="Y151" t="str">
        <v>COD 38</v>
      </c>
      <c r="Z151" t="str">
        <v>DERVIN</v>
      </c>
      <c r="AC151" t="str">
        <v>COD 38</v>
      </c>
      <c r="AD151" t="str">
        <v>DERVIN</v>
      </c>
      <c r="AG151" t="str">
        <v>COD 38</v>
      </c>
      <c r="AH151" t="str">
        <v>DERVIN</v>
      </c>
    </row>
    <row r="152" spans="1:34" ht="21" customHeight="1" x14ac:dyDescent="0.25">
      <c r="B152" s="326"/>
      <c r="C152" s="346" t="str">
        <v>COD 11</v>
      </c>
      <c r="D152" s="475" t="str">
        <f>_xlfn.XLOOKUP(C152,CODIGOS_Y_PAGOS[CODIGO],CODIGOS_Y_PAGOS[NOMBRE PARTICIPANTE],"")</f>
        <v>ANDERSON ZERPA</v>
      </c>
      <c r="E152" s="465">
        <f t="shared" si="25"/>
        <v>27</v>
      </c>
      <c r="F152" s="465">
        <f t="shared" si="26"/>
        <v>19</v>
      </c>
      <c r="G152" s="466">
        <f t="shared" si="27"/>
        <v>0.70370370370370372</v>
      </c>
      <c r="H152" s="3"/>
      <c r="I152" s="3"/>
      <c r="J152" s="346" t="str">
        <v>COD 16</v>
      </c>
      <c r="K152" s="3"/>
      <c r="L152" s="3"/>
      <c r="M152" s="3"/>
      <c r="N152" s="3"/>
      <c r="O152" s="3"/>
      <c r="P152" s="3"/>
      <c r="Q152" s="3"/>
      <c r="R152" s="3"/>
      <c r="U152" t="str">
        <v>COD 39</v>
      </c>
      <c r="V152" t="str">
        <v>EL TAMAO</v>
      </c>
      <c r="Y152" t="str">
        <v>COD 39</v>
      </c>
      <c r="Z152" t="str">
        <v>EL TAMAO</v>
      </c>
      <c r="AC152" t="str">
        <v>COD 39</v>
      </c>
      <c r="AD152" t="str">
        <v>EL TAMAO</v>
      </c>
      <c r="AG152" t="str">
        <v>COD 39</v>
      </c>
      <c r="AH152" t="str">
        <v>EL TAMAO</v>
      </c>
    </row>
    <row r="153" spans="1:34" ht="21" customHeight="1" x14ac:dyDescent="0.25">
      <c r="C153" s="72" t="str">
        <v>COD 37</v>
      </c>
      <c r="D153" s="475" t="str">
        <f>_xlfn.XLOOKUP(C153,CODIGOS_Y_PAGOS[CODIGO],CODIGOS_Y_PAGOS[NOMBRE PARTICIPANTE],"")</f>
        <v>GLADIADOR HIPICO</v>
      </c>
      <c r="E153" s="465">
        <f t="shared" si="25"/>
        <v>27</v>
      </c>
      <c r="F153" s="465">
        <f t="shared" si="26"/>
        <v>19</v>
      </c>
      <c r="G153" s="466">
        <f t="shared" si="27"/>
        <v>0.70370370370370372</v>
      </c>
      <c r="J153" s="72" t="str">
        <v>COD 34</v>
      </c>
      <c r="R153" s="3"/>
      <c r="U153" t="str">
        <v>COD 40</v>
      </c>
      <c r="V153" t="str">
        <v>FRED</v>
      </c>
      <c r="Y153" t="str">
        <v>COD 40</v>
      </c>
      <c r="Z153" t="str">
        <v>FRED</v>
      </c>
      <c r="AC153" t="str">
        <v>COD 40</v>
      </c>
      <c r="AD153" t="str">
        <v>FRED</v>
      </c>
      <c r="AG153" t="str">
        <v>COD 40</v>
      </c>
      <c r="AH153" t="str">
        <v>FRED</v>
      </c>
    </row>
    <row r="154" spans="1:34" ht="21" customHeight="1" x14ac:dyDescent="0.25">
      <c r="C154" s="72" t="str">
        <v>COD 14</v>
      </c>
      <c r="D154" s="475" t="str">
        <f>_xlfn.XLOOKUP(C154,CODIGOS_Y_PAGOS[CODIGO],CODIGOS_Y_PAGOS[NOMBRE PARTICIPANTE],"")</f>
        <v>PEDRO ALVAREZ</v>
      </c>
      <c r="E154" s="465">
        <f t="shared" si="25"/>
        <v>27</v>
      </c>
      <c r="F154" s="465">
        <f t="shared" si="26"/>
        <v>19</v>
      </c>
      <c r="G154" s="466">
        <f t="shared" si="27"/>
        <v>0.70370370370370372</v>
      </c>
      <c r="J154" s="72" t="str">
        <v>COD 37</v>
      </c>
      <c r="R154" s="3"/>
      <c r="U154" t="str">
        <v>COD 41</v>
      </c>
      <c r="V154" t="str">
        <v>ENRIQUE LEFEBRE</v>
      </c>
      <c r="Y154" t="str">
        <v>COD 41</v>
      </c>
      <c r="Z154" t="str">
        <v>ENRIQUE LEFEBRE</v>
      </c>
      <c r="AC154" t="str">
        <v>COD 41</v>
      </c>
      <c r="AD154" t="str">
        <v>ENRIQUE LEFEBRE</v>
      </c>
      <c r="AG154" t="str">
        <v>COD 41</v>
      </c>
      <c r="AH154" t="str">
        <v>ENRIQUE LEFEBRE</v>
      </c>
    </row>
    <row r="155" spans="1:34" ht="21" customHeight="1" x14ac:dyDescent="0.25">
      <c r="C155" s="72" t="str">
        <v>COD 18</v>
      </c>
      <c r="D155" s="475" t="str">
        <f>_xlfn.XLOOKUP(C155,CODIGOS_Y_PAGOS[CODIGO],CODIGOS_Y_PAGOS[NOMBRE PARTICIPANTE],"")</f>
        <v>CASTOR CHIRINOS</v>
      </c>
      <c r="E155" s="465">
        <f t="shared" si="25"/>
        <v>27</v>
      </c>
      <c r="F155" s="465">
        <f t="shared" si="26"/>
        <v>19</v>
      </c>
      <c r="G155" s="466">
        <f t="shared" si="27"/>
        <v>0.70370370370370372</v>
      </c>
      <c r="J155" s="72" t="str">
        <v>COD 07</v>
      </c>
      <c r="R155" s="3"/>
      <c r="U155" t="str">
        <v>COD 42</v>
      </c>
      <c r="V155">
        <v>0</v>
      </c>
      <c r="Y155" t="str">
        <v>COD 42</v>
      </c>
      <c r="Z155">
        <v>0</v>
      </c>
      <c r="AC155" t="str">
        <v>COD 42</v>
      </c>
      <c r="AD155">
        <v>0</v>
      </c>
      <c r="AG155" t="str">
        <v>COD 42</v>
      </c>
      <c r="AH155">
        <v>0</v>
      </c>
    </row>
    <row r="156" spans="1:34" ht="21" customHeight="1" x14ac:dyDescent="0.25">
      <c r="C156" s="72" t="str">
        <v>COD 26</v>
      </c>
      <c r="D156" s="475" t="str">
        <f>_xlfn.XLOOKUP(C156,CODIGOS_Y_PAGOS[CODIGO],CODIGOS_Y_PAGOS[NOMBRE PARTICIPANTE],"")</f>
        <v>PEDRO TABEROA</v>
      </c>
      <c r="E156" s="465">
        <f t="shared" si="25"/>
        <v>27</v>
      </c>
      <c r="F156" s="465">
        <f t="shared" si="26"/>
        <v>19</v>
      </c>
      <c r="G156" s="466">
        <f t="shared" si="27"/>
        <v>0.70370370370370372</v>
      </c>
      <c r="J156" s="72" t="str">
        <v>COD 35</v>
      </c>
      <c r="R156" s="3"/>
      <c r="U156" t="str">
        <v>COD 43</v>
      </c>
      <c r="V156">
        <v>0</v>
      </c>
      <c r="Y156" t="str">
        <v>COD 43</v>
      </c>
      <c r="Z156">
        <v>0</v>
      </c>
      <c r="AC156" t="str">
        <v>COD 43</v>
      </c>
      <c r="AD156">
        <v>0</v>
      </c>
      <c r="AG156" t="str">
        <v>COD 43</v>
      </c>
      <c r="AH156">
        <v>0</v>
      </c>
    </row>
    <row r="157" spans="1:34" ht="21" customHeight="1" x14ac:dyDescent="0.25">
      <c r="C157" s="72" t="str">
        <v>COD 22</v>
      </c>
      <c r="D157" s="475" t="str">
        <f>_xlfn.XLOOKUP(C157,CODIGOS_Y_PAGOS[CODIGO],CODIGOS_Y_PAGOS[NOMBRE PARTICIPANTE],"")</f>
        <v>ROGER PIÑA</v>
      </c>
      <c r="E157" s="465">
        <f t="shared" si="25"/>
        <v>27</v>
      </c>
      <c r="F157" s="465">
        <f t="shared" si="26"/>
        <v>18</v>
      </c>
      <c r="G157" s="466">
        <f t="shared" si="27"/>
        <v>0.66666666666666663</v>
      </c>
      <c r="J157" s="72" t="str">
        <v>COD 17</v>
      </c>
      <c r="R157" s="3"/>
      <c r="U157" t="str">
        <v>COD 44</v>
      </c>
      <c r="V157">
        <v>0</v>
      </c>
      <c r="Y157" t="str">
        <v>COD 44</v>
      </c>
      <c r="Z157">
        <v>0</v>
      </c>
      <c r="AC157" t="str">
        <v>COD 44</v>
      </c>
      <c r="AD157">
        <v>0</v>
      </c>
      <c r="AG157" t="str">
        <v>COD 44</v>
      </c>
      <c r="AH157">
        <v>0</v>
      </c>
    </row>
    <row r="158" spans="1:34" ht="21" customHeight="1" x14ac:dyDescent="0.25">
      <c r="C158" s="72" t="str">
        <v>COD 23</v>
      </c>
      <c r="D158" s="475" t="str">
        <f>_xlfn.XLOOKUP(C158,CODIGOS_Y_PAGOS[CODIGO],CODIGOS_Y_PAGOS[NOMBRE PARTICIPANTE],"")</f>
        <v>GILBERT</v>
      </c>
      <c r="E158" s="465">
        <f t="shared" si="25"/>
        <v>27</v>
      </c>
      <c r="F158" s="465">
        <f t="shared" si="26"/>
        <v>18</v>
      </c>
      <c r="G158" s="466">
        <f t="shared" si="27"/>
        <v>0.66666666666666663</v>
      </c>
      <c r="J158" s="72" t="str">
        <v>COD 18</v>
      </c>
      <c r="R158" s="3"/>
      <c r="U158" t="str">
        <v>COD 45</v>
      </c>
      <c r="V158" t="str">
        <v>GUADIZMI</v>
      </c>
      <c r="Y158" t="str">
        <v>COD 45</v>
      </c>
      <c r="Z158" t="str">
        <v>GUADIZMI</v>
      </c>
      <c r="AC158" t="str">
        <v>COD 45</v>
      </c>
      <c r="AD158" t="str">
        <v>GUADIZMI</v>
      </c>
      <c r="AG158" t="str">
        <v>COD 45</v>
      </c>
      <c r="AH158" t="str">
        <v>GUADIZMI</v>
      </c>
    </row>
    <row r="159" spans="1:34" ht="21" customHeight="1" x14ac:dyDescent="0.25">
      <c r="C159" s="72" t="str">
        <v>COD 03</v>
      </c>
      <c r="D159" s="475" t="str">
        <f>_xlfn.XLOOKUP(C159,CODIGOS_Y_PAGOS[CODIGO],CODIGOS_Y_PAGOS[NOMBRE PARTICIPANTE],"")</f>
        <v>MUÑECA DEL HIPISMO</v>
      </c>
      <c r="E159" s="465">
        <f t="shared" si="25"/>
        <v>27</v>
      </c>
      <c r="F159" s="465">
        <f t="shared" si="26"/>
        <v>18</v>
      </c>
      <c r="G159" s="466">
        <f t="shared" si="27"/>
        <v>0.66666666666666663</v>
      </c>
      <c r="J159" s="72" t="str">
        <v>COD 26</v>
      </c>
      <c r="U159" t="str">
        <v>COD 46</v>
      </c>
      <c r="V159">
        <v>0</v>
      </c>
      <c r="Y159" t="str">
        <v>COD 46</v>
      </c>
      <c r="Z159">
        <v>0</v>
      </c>
      <c r="AC159" t="str">
        <v>COD 46</v>
      </c>
      <c r="AD159">
        <v>0</v>
      </c>
      <c r="AG159" t="str">
        <v>COD 46</v>
      </c>
      <c r="AH159">
        <v>0</v>
      </c>
    </row>
    <row r="160" spans="1:34" ht="21" customHeight="1" x14ac:dyDescent="0.25">
      <c r="C160" s="72" t="str">
        <v>COD 15</v>
      </c>
      <c r="D160" s="475" t="str">
        <f>_xlfn.XLOOKUP(C160,CODIGOS_Y_PAGOS[CODIGO],CODIGOS_Y_PAGOS[NOMBRE PARTICIPANTE],"")</f>
        <v>CARLOS SUAREZ</v>
      </c>
      <c r="E160" s="465">
        <f t="shared" si="25"/>
        <v>27</v>
      </c>
      <c r="F160" s="465">
        <f t="shared" si="26"/>
        <v>18</v>
      </c>
      <c r="G160" s="466">
        <f t="shared" si="27"/>
        <v>0.66666666666666663</v>
      </c>
      <c r="J160" s="72" t="str">
        <v>COD 24</v>
      </c>
      <c r="U160" t="str">
        <v>COD 47</v>
      </c>
      <c r="V160">
        <v>0</v>
      </c>
      <c r="Y160" t="str">
        <v>COD 47</v>
      </c>
      <c r="Z160">
        <v>0</v>
      </c>
      <c r="AC160" t="str">
        <v>COD 47</v>
      </c>
      <c r="AD160">
        <v>0</v>
      </c>
      <c r="AG160" t="str">
        <v>COD 47</v>
      </c>
      <c r="AH160">
        <v>0</v>
      </c>
    </row>
    <row r="161" spans="3:34" ht="21" customHeight="1" x14ac:dyDescent="0.25">
      <c r="C161" s="72" t="str">
        <v>COD 34</v>
      </c>
      <c r="D161" s="475" t="str">
        <f>_xlfn.XLOOKUP(C161,CODIGOS_Y_PAGOS[CODIGO],CODIGOS_Y_PAGOS[NOMBRE PARTICIPANTE],"")</f>
        <v>ROBERTO CARLOS</v>
      </c>
      <c r="E161" s="465">
        <f t="shared" si="25"/>
        <v>27</v>
      </c>
      <c r="F161" s="465">
        <f t="shared" si="26"/>
        <v>18</v>
      </c>
      <c r="G161" s="466">
        <f t="shared" si="27"/>
        <v>0.66666666666666663</v>
      </c>
      <c r="J161" s="72" t="str">
        <v>COD 22</v>
      </c>
      <c r="U161" t="str">
        <v>COD 48</v>
      </c>
      <c r="V161">
        <v>0</v>
      </c>
      <c r="Y161" t="str">
        <v>COD 48</v>
      </c>
      <c r="Z161">
        <v>0</v>
      </c>
      <c r="AC161" t="str">
        <v>COD 48</v>
      </c>
      <c r="AD161">
        <v>0</v>
      </c>
      <c r="AG161" t="str">
        <v>COD 48</v>
      </c>
      <c r="AH161">
        <v>0</v>
      </c>
    </row>
    <row r="162" spans="3:34" ht="21" customHeight="1" x14ac:dyDescent="0.25">
      <c r="C162" s="72" t="str">
        <v>COD 35</v>
      </c>
      <c r="D162" s="475" t="str">
        <f>_xlfn.XLOOKUP(C162,CODIGOS_Y_PAGOS[CODIGO],CODIGOS_Y_PAGOS[NOMBRE PARTICIPANTE],"")</f>
        <v>YOVANNY</v>
      </c>
      <c r="E162" s="465">
        <f t="shared" si="25"/>
        <v>27</v>
      </c>
      <c r="F162" s="465">
        <f t="shared" si="26"/>
        <v>18</v>
      </c>
      <c r="G162" s="466">
        <f t="shared" si="27"/>
        <v>0.66666666666666663</v>
      </c>
      <c r="J162" s="72" t="str">
        <v>COD 06</v>
      </c>
      <c r="U162" t="str">
        <v>COD 49</v>
      </c>
      <c r="V162">
        <v>0</v>
      </c>
      <c r="Y162" t="str">
        <v>COD 49</v>
      </c>
      <c r="Z162">
        <v>0</v>
      </c>
      <c r="AC162" t="str">
        <v>COD 49</v>
      </c>
      <c r="AD162">
        <v>0</v>
      </c>
      <c r="AG162" t="str">
        <v>COD 49</v>
      </c>
      <c r="AH162">
        <v>0</v>
      </c>
    </row>
    <row r="163" spans="3:34" ht="21" customHeight="1" x14ac:dyDescent="0.25">
      <c r="C163" s="72" t="str">
        <v>COD 20</v>
      </c>
      <c r="D163" s="475" t="str">
        <f>_xlfn.XLOOKUP(C163,CODIGOS_Y_PAGOS[CODIGO],CODIGOS_Y_PAGOS[NOMBRE PARTICIPANTE],"")</f>
        <v>CHINO</v>
      </c>
      <c r="E163" s="465">
        <f t="shared" si="25"/>
        <v>27</v>
      </c>
      <c r="F163" s="465">
        <f t="shared" si="26"/>
        <v>18</v>
      </c>
      <c r="G163" s="466">
        <f t="shared" si="27"/>
        <v>0.66666666666666663</v>
      </c>
      <c r="J163" s="72" t="str">
        <v>COD 09</v>
      </c>
      <c r="U163" t="str">
        <v>COD 50</v>
      </c>
      <c r="V163">
        <v>0</v>
      </c>
      <c r="Y163" t="str">
        <v>COD 50</v>
      </c>
      <c r="Z163">
        <v>0</v>
      </c>
      <c r="AC163" t="str">
        <v>COD 50</v>
      </c>
      <c r="AD163">
        <v>0</v>
      </c>
      <c r="AG163" t="str">
        <v>COD 50</v>
      </c>
      <c r="AH163">
        <v>0</v>
      </c>
    </row>
    <row r="164" spans="3:34" ht="21" customHeight="1" x14ac:dyDescent="0.25">
      <c r="C164" s="72" t="str">
        <v>COD 27</v>
      </c>
      <c r="D164" s="475" t="str">
        <f>_xlfn.XLOOKUP(C164,CODIGOS_Y_PAGOS[CODIGO],CODIGOS_Y_PAGOS[NOMBRE PARTICIPANTE],"")</f>
        <v>ANDERSON HERNANDEZ</v>
      </c>
      <c r="E164" s="465">
        <f t="shared" si="25"/>
        <v>27</v>
      </c>
      <c r="F164" s="465">
        <f t="shared" si="26"/>
        <v>17</v>
      </c>
      <c r="G164" s="466">
        <f t="shared" si="27"/>
        <v>0.62962962962962965</v>
      </c>
      <c r="J164" s="72" t="str">
        <v>COD 01</v>
      </c>
    </row>
    <row r="165" spans="3:34" ht="21" customHeight="1" x14ac:dyDescent="0.25">
      <c r="C165" s="72" t="str">
        <v>COD 19</v>
      </c>
      <c r="D165" s="475" t="str">
        <f>_xlfn.XLOOKUP(C165,CODIGOS_Y_PAGOS[CODIGO],CODIGOS_Y_PAGOS[NOMBRE PARTICIPANTE],"")</f>
        <v>EL SAMURAI HIPICO</v>
      </c>
      <c r="E165" s="465">
        <f t="shared" si="25"/>
        <v>27</v>
      </c>
      <c r="F165" s="465">
        <f t="shared" si="26"/>
        <v>17</v>
      </c>
      <c r="G165" s="466">
        <f t="shared" si="27"/>
        <v>0.62962962962962965</v>
      </c>
      <c r="J165" s="72" t="str">
        <v>COD 11</v>
      </c>
    </row>
    <row r="166" spans="3:34" ht="21" customHeight="1" x14ac:dyDescent="0.25">
      <c r="C166" s="72" t="str">
        <v>COD 32</v>
      </c>
      <c r="D166" s="475" t="str">
        <f>_xlfn.XLOOKUP(C166,CODIGOS_Y_PAGOS[CODIGO],CODIGOS_Y_PAGOS[NOMBRE PARTICIPANTE],"")</f>
        <v>TONY CURTIS</v>
      </c>
      <c r="E166" s="465">
        <f t="shared" si="25"/>
        <v>27</v>
      </c>
      <c r="F166" s="465">
        <f t="shared" si="26"/>
        <v>17</v>
      </c>
      <c r="G166" s="466">
        <f t="shared" si="27"/>
        <v>0.62962962962962965</v>
      </c>
      <c r="J166" s="72" t="str">
        <v>COD 03</v>
      </c>
    </row>
    <row r="167" spans="3:34" ht="21" customHeight="1" x14ac:dyDescent="0.25">
      <c r="C167" s="72" t="str">
        <v>COD 07</v>
      </c>
      <c r="D167" s="475" t="str">
        <f>_xlfn.XLOOKUP(C167,CODIGOS_Y_PAGOS[CODIGO],CODIGOS_Y_PAGOS[NOMBRE PARTICIPANTE],"")</f>
        <v>NELSON OSORIO</v>
      </c>
      <c r="E167" s="465">
        <f t="shared" si="25"/>
        <v>27</v>
      </c>
      <c r="F167" s="465">
        <f t="shared" si="26"/>
        <v>17</v>
      </c>
      <c r="G167" s="466">
        <f t="shared" si="27"/>
        <v>0.62962962962962965</v>
      </c>
      <c r="J167" s="72" t="str">
        <v>COD 28</v>
      </c>
    </row>
    <row r="168" spans="3:34" ht="21" customHeight="1" x14ac:dyDescent="0.25">
      <c r="C168" s="72" t="str">
        <v>COD 31</v>
      </c>
      <c r="D168" s="475" t="str">
        <f>_xlfn.XLOOKUP(C168,CODIGOS_Y_PAGOS[CODIGO],CODIGOS_Y_PAGOS[NOMBRE PARTICIPANTE],"")</f>
        <v>ALBIN</v>
      </c>
      <c r="E168" s="465">
        <f t="shared" si="25"/>
        <v>27</v>
      </c>
      <c r="F168" s="465">
        <f t="shared" si="26"/>
        <v>17</v>
      </c>
      <c r="G168" s="466">
        <f t="shared" si="27"/>
        <v>0.62962962962962965</v>
      </c>
      <c r="J168" s="72" t="str">
        <v>COD 29</v>
      </c>
    </row>
    <row r="169" spans="3:34" ht="21" customHeight="1" x14ac:dyDescent="0.25">
      <c r="C169" s="72" t="str">
        <v>COD 12</v>
      </c>
      <c r="D169" s="475">
        <f>_xlfn.XLOOKUP(C169,CODIGOS_Y_PAGOS[CODIGO],CODIGOS_Y_PAGOS[NOMBRE PARTICIPANTE],"")</f>
        <v>0</v>
      </c>
      <c r="E169" s="465">
        <f t="shared" si="25"/>
        <v>27</v>
      </c>
      <c r="F169" s="465">
        <f t="shared" si="26"/>
        <v>17</v>
      </c>
      <c r="G169" s="466">
        <f t="shared" si="27"/>
        <v>0.62962962962962965</v>
      </c>
      <c r="J169" s="72" t="str">
        <v>COD 32</v>
      </c>
    </row>
    <row r="170" spans="3:34" ht="21" customHeight="1" x14ac:dyDescent="0.25">
      <c r="C170" s="72" t="str">
        <v>COD 38</v>
      </c>
      <c r="D170" s="475" t="str">
        <f>_xlfn.XLOOKUP(C170,CODIGOS_Y_PAGOS[CODIGO],CODIGOS_Y_PAGOS[NOMBRE PARTICIPANTE],"")</f>
        <v>DERVIN</v>
      </c>
      <c r="E170" s="465">
        <f t="shared" si="25"/>
        <v>27</v>
      </c>
      <c r="F170" s="465">
        <f t="shared" si="26"/>
        <v>17</v>
      </c>
      <c r="G170" s="466">
        <f t="shared" si="27"/>
        <v>0.62962962962962965</v>
      </c>
      <c r="J170" s="72" t="str">
        <v>COD 04</v>
      </c>
    </row>
    <row r="171" spans="3:34" ht="21" customHeight="1" x14ac:dyDescent="0.25">
      <c r="C171" s="72" t="str">
        <v>COD 30</v>
      </c>
      <c r="D171" s="475" t="str">
        <f>_xlfn.XLOOKUP(C171,CODIGOS_Y_PAGOS[CODIGO],CODIGOS_Y_PAGOS[NOMBRE PARTICIPANTE],"")</f>
        <v>CARIACO</v>
      </c>
      <c r="E171" s="465">
        <f t="shared" si="25"/>
        <v>27</v>
      </c>
      <c r="F171" s="465">
        <f t="shared" si="26"/>
        <v>17</v>
      </c>
      <c r="G171" s="466">
        <f t="shared" si="27"/>
        <v>0.62962962962962965</v>
      </c>
      <c r="J171" s="72" t="str">
        <v>COD 36</v>
      </c>
    </row>
    <row r="172" spans="3:34" ht="21" customHeight="1" x14ac:dyDescent="0.25">
      <c r="C172" s="72" t="str">
        <v>COD 08</v>
      </c>
      <c r="D172" s="475" t="str">
        <f>_xlfn.XLOOKUP(C172,CODIGOS_Y_PAGOS[CODIGO],CODIGOS_Y_PAGOS[NOMBRE PARTICIPANTE],"")</f>
        <v>RUBEN DARIO CARDENAS</v>
      </c>
      <c r="E172" s="465">
        <f t="shared" si="25"/>
        <v>27</v>
      </c>
      <c r="F172" s="465">
        <f t="shared" si="26"/>
        <v>16</v>
      </c>
      <c r="G172" s="466">
        <f t="shared" si="27"/>
        <v>0.59259259259259256</v>
      </c>
      <c r="J172" s="72" t="str">
        <v>COD 33</v>
      </c>
    </row>
    <row r="173" spans="3:34" ht="21" customHeight="1" x14ac:dyDescent="0.25">
      <c r="C173" s="72" t="str">
        <v>COD 04</v>
      </c>
      <c r="D173" s="475" t="str">
        <f>_xlfn.XLOOKUP(C173,CODIGOS_Y_PAGOS[CODIGO],CODIGOS_Y_PAGOS[NOMBRE PARTICIPANTE],"")</f>
        <v>EL HIPICO 701</v>
      </c>
      <c r="E173" s="465">
        <f t="shared" si="25"/>
        <v>27</v>
      </c>
      <c r="F173" s="465">
        <f t="shared" si="26"/>
        <v>16</v>
      </c>
      <c r="G173" s="466">
        <f t="shared" si="27"/>
        <v>0.59259259259259256</v>
      </c>
      <c r="J173" s="72" t="str">
        <v>COD 38</v>
      </c>
    </row>
    <row r="174" spans="3:34" ht="21" customHeight="1" x14ac:dyDescent="0.25">
      <c r="C174" s="72" t="str">
        <v>COD 06</v>
      </c>
      <c r="D174" s="475" t="str">
        <f>_xlfn.XLOOKUP(C174,CODIGOS_Y_PAGOS[CODIGO],CODIGOS_Y_PAGOS[NOMBRE PARTICIPANTE],"")</f>
        <v>JESUS ROJAS</v>
      </c>
      <c r="E174" s="465">
        <f t="shared" ref="E174:E191" si="32">_xlfn.XLOOKUP(C174,$C$5:$C$54,$K$5:$K$54)</f>
        <v>27</v>
      </c>
      <c r="F174" s="465">
        <f t="shared" ref="F174:F191" si="33">_xlfn.XLOOKUP(C174,$C$5:$C$54,$L$5:$L$54)</f>
        <v>16</v>
      </c>
      <c r="G174" s="466">
        <f t="shared" ref="G174:G191" si="34">+F174/E174</f>
        <v>0.59259259259259256</v>
      </c>
      <c r="J174" s="72" t="str">
        <v>COD 30</v>
      </c>
    </row>
    <row r="175" spans="3:34" ht="21" customHeight="1" x14ac:dyDescent="0.25">
      <c r="C175" s="72" t="str">
        <v>COD 36</v>
      </c>
      <c r="D175" s="475" t="str">
        <f>_xlfn.XLOOKUP(C175,CODIGOS_Y_PAGOS[CODIGO],CODIGOS_Y_PAGOS[NOMBRE PARTICIPANTE],"")</f>
        <v>EDGAR ALEXANDER</v>
      </c>
      <c r="E175" s="465">
        <f t="shared" si="32"/>
        <v>27</v>
      </c>
      <c r="F175" s="465">
        <f t="shared" si="33"/>
        <v>16</v>
      </c>
      <c r="G175" s="466">
        <f t="shared" si="34"/>
        <v>0.59259259259259256</v>
      </c>
      <c r="J175" s="72" t="str">
        <v>COD 12</v>
      </c>
    </row>
    <row r="176" spans="3:34" ht="21" customHeight="1" x14ac:dyDescent="0.25">
      <c r="C176" s="72" t="str">
        <v>COD 33</v>
      </c>
      <c r="D176" s="475" t="str">
        <f>_xlfn.XLOOKUP(C176,CODIGOS_Y_PAGOS[CODIGO],CODIGOS_Y_PAGOS[NOMBRE PARTICIPANTE],"")</f>
        <v>JOSE LUIS ANTUNEZ</v>
      </c>
      <c r="E176" s="465">
        <f t="shared" si="32"/>
        <v>27</v>
      </c>
      <c r="F176" s="465">
        <f t="shared" si="33"/>
        <v>16</v>
      </c>
      <c r="G176" s="466">
        <f t="shared" si="34"/>
        <v>0.59259259259259256</v>
      </c>
      <c r="J176" s="72" t="str">
        <v>COD 19</v>
      </c>
    </row>
    <row r="177" spans="3:10" ht="21" customHeight="1" x14ac:dyDescent="0.25">
      <c r="C177" s="72" t="str">
        <v>COD 13</v>
      </c>
      <c r="D177" s="475" t="str">
        <f>_xlfn.XLOOKUP(C177,CODIGOS_Y_PAGOS[CODIGO],CODIGOS_Y_PAGOS[NOMBRE PARTICIPANTE],"")</f>
        <v>NOTAS HIPICAS</v>
      </c>
      <c r="E177" s="465">
        <f t="shared" si="32"/>
        <v>27</v>
      </c>
      <c r="F177" s="465">
        <f t="shared" si="33"/>
        <v>16</v>
      </c>
      <c r="G177" s="466">
        <f t="shared" si="34"/>
        <v>0.59259259259259256</v>
      </c>
      <c r="J177" s="72" t="str">
        <v>COD 31</v>
      </c>
    </row>
    <row r="178" spans="3:10" ht="21" customHeight="1" x14ac:dyDescent="0.25">
      <c r="C178" s="72" t="str">
        <v>COD 17</v>
      </c>
      <c r="D178" s="475" t="str">
        <f>_xlfn.XLOOKUP(C178,CODIGOS_Y_PAGOS[CODIGO],CODIGOS_Y_PAGOS[NOMBRE PARTICIPANTE],"")</f>
        <v>FERNANDO VALDIRIO</v>
      </c>
      <c r="E178" s="465">
        <f t="shared" si="32"/>
        <v>27</v>
      </c>
      <c r="F178" s="465">
        <f t="shared" si="33"/>
        <v>16</v>
      </c>
      <c r="G178" s="466">
        <f t="shared" si="34"/>
        <v>0.59259259259259256</v>
      </c>
      <c r="J178" s="72" t="str">
        <v>COD 14</v>
      </c>
    </row>
    <row r="179" spans="3:10" ht="21" customHeight="1" x14ac:dyDescent="0.25">
      <c r="C179" s="72" t="str">
        <v>COD 24</v>
      </c>
      <c r="D179" s="475">
        <f>_xlfn.XLOOKUP(C179,CODIGOS_Y_PAGOS[CODIGO],CODIGOS_Y_PAGOS[NOMBRE PARTICIPANTE],"")</f>
        <v>0</v>
      </c>
      <c r="E179" s="465">
        <f t="shared" si="32"/>
        <v>27</v>
      </c>
      <c r="F179" s="465">
        <f t="shared" si="33"/>
        <v>15</v>
      </c>
      <c r="G179" s="466">
        <f t="shared" si="34"/>
        <v>0.55555555555555558</v>
      </c>
      <c r="J179" s="72" t="str">
        <v>COD 20</v>
      </c>
    </row>
    <row r="180" spans="3:10" ht="21" customHeight="1" x14ac:dyDescent="0.25">
      <c r="C180" s="72" t="str">
        <v>COD 39</v>
      </c>
      <c r="D180" s="475" t="str">
        <f>_xlfn.XLOOKUP(C180,CODIGOS_Y_PAGOS[CODIGO],CODIGOS_Y_PAGOS[NOMBRE PARTICIPANTE],"")</f>
        <v>EL TAMAO</v>
      </c>
      <c r="E180" s="465">
        <f t="shared" si="32"/>
        <v>14</v>
      </c>
      <c r="F180" s="465">
        <f t="shared" si="33"/>
        <v>7</v>
      </c>
      <c r="G180" s="466">
        <f t="shared" si="34"/>
        <v>0.5</v>
      </c>
      <c r="J180" s="72" t="str">
        <v>COD 39</v>
      </c>
    </row>
    <row r="181" spans="3:10" ht="21" customHeight="1" x14ac:dyDescent="0.25">
      <c r="C181" s="72" t="str">
        <v>COD 40</v>
      </c>
      <c r="D181" s="475" t="str">
        <f>_xlfn.XLOOKUP(C181,CODIGOS_Y_PAGOS[CODIGO],CODIGOS_Y_PAGOS[NOMBRE PARTICIPANTE],"")</f>
        <v>FRED</v>
      </c>
      <c r="E181" s="465">
        <f t="shared" si="32"/>
        <v>0</v>
      </c>
      <c r="F181" s="465">
        <f t="shared" si="33"/>
        <v>0</v>
      </c>
      <c r="G181" s="466" t="e">
        <f t="shared" si="34"/>
        <v>#DIV/0!</v>
      </c>
      <c r="J181" s="72" t="str">
        <v>COD 40</v>
      </c>
    </row>
    <row r="182" spans="3:10" ht="21" customHeight="1" x14ac:dyDescent="0.25">
      <c r="C182" s="72" t="str">
        <v>COD 41</v>
      </c>
      <c r="D182" s="475" t="str">
        <f>_xlfn.XLOOKUP(C182,CODIGOS_Y_PAGOS[CODIGO],CODIGOS_Y_PAGOS[NOMBRE PARTICIPANTE],"")</f>
        <v>ENRIQUE LEFEBRE</v>
      </c>
      <c r="E182" s="465">
        <f t="shared" si="32"/>
        <v>0</v>
      </c>
      <c r="F182" s="465">
        <f t="shared" si="33"/>
        <v>0</v>
      </c>
      <c r="G182" s="466" t="e">
        <f t="shared" si="34"/>
        <v>#DIV/0!</v>
      </c>
      <c r="J182" s="72" t="str">
        <v>COD 41</v>
      </c>
    </row>
    <row r="183" spans="3:10" ht="21" customHeight="1" x14ac:dyDescent="0.25">
      <c r="C183" s="72" t="str">
        <v>COD 42</v>
      </c>
      <c r="D183" s="475">
        <f>_xlfn.XLOOKUP(C183,CODIGOS_Y_PAGOS[CODIGO],CODIGOS_Y_PAGOS[NOMBRE PARTICIPANTE],"")</f>
        <v>0</v>
      </c>
      <c r="E183" s="465">
        <f t="shared" si="32"/>
        <v>0</v>
      </c>
      <c r="F183" s="465">
        <f t="shared" si="33"/>
        <v>0</v>
      </c>
      <c r="G183" s="466" t="e">
        <f t="shared" si="34"/>
        <v>#DIV/0!</v>
      </c>
      <c r="J183" s="72" t="str">
        <v>COD 42</v>
      </c>
    </row>
    <row r="184" spans="3:10" ht="21" customHeight="1" x14ac:dyDescent="0.25">
      <c r="C184" s="72" t="str">
        <v>COD 43</v>
      </c>
      <c r="D184" s="475">
        <f>_xlfn.XLOOKUP(C184,CODIGOS_Y_PAGOS[CODIGO],CODIGOS_Y_PAGOS[NOMBRE PARTICIPANTE],"")</f>
        <v>0</v>
      </c>
      <c r="E184" s="465">
        <f t="shared" si="32"/>
        <v>0</v>
      </c>
      <c r="F184" s="465">
        <f t="shared" si="33"/>
        <v>0</v>
      </c>
      <c r="G184" s="466" t="e">
        <f t="shared" si="34"/>
        <v>#DIV/0!</v>
      </c>
      <c r="J184" t="str">
        <v>COD 43</v>
      </c>
    </row>
    <row r="185" spans="3:10" ht="21" customHeight="1" x14ac:dyDescent="0.25">
      <c r="C185" s="72" t="str">
        <v>COD 44</v>
      </c>
      <c r="D185" s="475">
        <f>_xlfn.XLOOKUP(C185,CODIGOS_Y_PAGOS[CODIGO],CODIGOS_Y_PAGOS[NOMBRE PARTICIPANTE],"")</f>
        <v>0</v>
      </c>
      <c r="E185" s="465">
        <f t="shared" si="32"/>
        <v>0</v>
      </c>
      <c r="F185" s="465">
        <f t="shared" si="33"/>
        <v>0</v>
      </c>
      <c r="G185" s="466" t="e">
        <f t="shared" si="34"/>
        <v>#DIV/0!</v>
      </c>
      <c r="J185" t="str">
        <v>COD 44</v>
      </c>
    </row>
    <row r="186" spans="3:10" ht="21" customHeight="1" x14ac:dyDescent="0.25">
      <c r="C186" s="72" t="str">
        <v>COD 45</v>
      </c>
      <c r="D186" s="475" t="str">
        <f>_xlfn.XLOOKUP(C186,CODIGOS_Y_PAGOS[CODIGO],CODIGOS_Y_PAGOS[NOMBRE PARTICIPANTE],"")</f>
        <v>GUADIZMI</v>
      </c>
      <c r="E186" s="465">
        <f t="shared" si="32"/>
        <v>0</v>
      </c>
      <c r="F186" s="465">
        <f t="shared" si="33"/>
        <v>0</v>
      </c>
      <c r="G186" s="466" t="e">
        <f t="shared" si="34"/>
        <v>#DIV/0!</v>
      </c>
      <c r="J186" t="str">
        <v>COD 45</v>
      </c>
    </row>
    <row r="187" spans="3:10" ht="21" customHeight="1" x14ac:dyDescent="0.25">
      <c r="C187" s="72" t="str">
        <v>COD 46</v>
      </c>
      <c r="D187" s="475">
        <f>_xlfn.XLOOKUP(C187,CODIGOS_Y_PAGOS[CODIGO],CODIGOS_Y_PAGOS[NOMBRE PARTICIPANTE],"")</f>
        <v>0</v>
      </c>
      <c r="E187" s="465">
        <f t="shared" si="32"/>
        <v>0</v>
      </c>
      <c r="F187" s="465">
        <f t="shared" si="33"/>
        <v>0</v>
      </c>
      <c r="G187" s="466" t="e">
        <f t="shared" si="34"/>
        <v>#DIV/0!</v>
      </c>
      <c r="J187" t="str">
        <v>COD 46</v>
      </c>
    </row>
    <row r="188" spans="3:10" ht="21" customHeight="1" x14ac:dyDescent="0.25">
      <c r="C188" s="72" t="str">
        <v>COD 47</v>
      </c>
      <c r="D188" s="475">
        <f>_xlfn.XLOOKUP(C188,CODIGOS_Y_PAGOS[CODIGO],CODIGOS_Y_PAGOS[NOMBRE PARTICIPANTE],"")</f>
        <v>0</v>
      </c>
      <c r="E188" s="465">
        <f t="shared" si="32"/>
        <v>0</v>
      </c>
      <c r="F188" s="465">
        <f t="shared" si="33"/>
        <v>0</v>
      </c>
      <c r="G188" s="466" t="e">
        <f t="shared" si="34"/>
        <v>#DIV/0!</v>
      </c>
      <c r="J188" t="str">
        <v>COD 47</v>
      </c>
    </row>
    <row r="189" spans="3:10" ht="21" customHeight="1" x14ac:dyDescent="0.25">
      <c r="C189" s="72" t="str">
        <v>COD 48</v>
      </c>
      <c r="D189" s="475">
        <f>_xlfn.XLOOKUP(C189,CODIGOS_Y_PAGOS[CODIGO],CODIGOS_Y_PAGOS[NOMBRE PARTICIPANTE],"")</f>
        <v>0</v>
      </c>
      <c r="E189" s="465">
        <f t="shared" si="32"/>
        <v>0</v>
      </c>
      <c r="F189" s="465">
        <f t="shared" si="33"/>
        <v>0</v>
      </c>
      <c r="G189" s="466" t="e">
        <f t="shared" si="34"/>
        <v>#DIV/0!</v>
      </c>
      <c r="J189" t="str">
        <v>COD 48</v>
      </c>
    </row>
    <row r="190" spans="3:10" ht="21" customHeight="1" x14ac:dyDescent="0.25">
      <c r="C190" s="72" t="str">
        <v>COD 49</v>
      </c>
      <c r="D190" s="475">
        <f>_xlfn.XLOOKUP(C190,CODIGOS_Y_PAGOS[CODIGO],CODIGOS_Y_PAGOS[NOMBRE PARTICIPANTE],"")</f>
        <v>0</v>
      </c>
      <c r="E190" s="465">
        <f t="shared" si="32"/>
        <v>0</v>
      </c>
      <c r="F190" s="465">
        <f t="shared" si="33"/>
        <v>0</v>
      </c>
      <c r="G190" s="466" t="e">
        <f t="shared" si="34"/>
        <v>#DIV/0!</v>
      </c>
      <c r="J190" t="str">
        <v>COD 49</v>
      </c>
    </row>
    <row r="191" spans="3:10" ht="21" customHeight="1" x14ac:dyDescent="0.25">
      <c r="C191" s="72" t="str">
        <v>COD 50</v>
      </c>
      <c r="D191" s="475">
        <f>_xlfn.XLOOKUP(C191,CODIGOS_Y_PAGOS[CODIGO],CODIGOS_Y_PAGOS[NOMBRE PARTICIPANTE],"")</f>
        <v>0</v>
      </c>
      <c r="E191" s="465">
        <f t="shared" si="32"/>
        <v>0</v>
      </c>
      <c r="F191" s="465">
        <f t="shared" si="33"/>
        <v>0</v>
      </c>
      <c r="G191" s="466" t="e">
        <f t="shared" si="34"/>
        <v>#DIV/0!</v>
      </c>
      <c r="J191" t="str">
        <v>COD 50</v>
      </c>
    </row>
  </sheetData>
  <mergeCells count="17">
    <mergeCell ref="B2:Q2"/>
    <mergeCell ref="E130:J130"/>
    <mergeCell ref="N3:Q3"/>
    <mergeCell ref="E132:J132"/>
    <mergeCell ref="E126:J126"/>
    <mergeCell ref="B57:Q57"/>
    <mergeCell ref="N58:Q58"/>
    <mergeCell ref="E135:J135"/>
    <mergeCell ref="E131:J131"/>
    <mergeCell ref="E137:J137"/>
    <mergeCell ref="M113:O113"/>
    <mergeCell ref="E127:J127"/>
    <mergeCell ref="E128:J128"/>
    <mergeCell ref="E136:J136"/>
    <mergeCell ref="E134:J134"/>
    <mergeCell ref="E129:J129"/>
    <mergeCell ref="E133:J133"/>
  </mergeCells>
  <conditionalFormatting sqref="B4">
    <cfRule type="containsText" priority="2" operator="containsText" text="0">
      <formula>NOT(ISERROR(SEARCH("0",B4)))</formula>
    </cfRule>
  </conditionalFormatting>
  <conditionalFormatting sqref="B59">
    <cfRule type="containsText" priority="20" operator="containsText" text="0">
      <formula>NOT(ISERROR(SEARCH("0",B59)))</formula>
    </cfRule>
  </conditionalFormatting>
  <conditionalFormatting sqref="D5:D54">
    <cfRule type="expression" dxfId="17" priority="1">
      <formula>$K5=$L5</formula>
    </cfRule>
  </conditionalFormatting>
  <conditionalFormatting sqref="D60:D109">
    <cfRule type="expression" dxfId="16" priority="17">
      <formula>$K60=$L60</formula>
    </cfRule>
  </conditionalFormatting>
  <conditionalFormatting sqref="M126:M137">
    <cfRule type="cellIs" dxfId="15" priority="18" operator="between">
      <formula>1</formula>
      <formula>18</formula>
    </cfRule>
    <cfRule type="containsText" dxfId="14" priority="19" operator="containsText" text="V">
      <formula>NOT(ISERROR(SEARCH("V",M126)))</formula>
    </cfRule>
  </conditionalFormatting>
  <conditionalFormatting sqref="N126:N137">
    <cfRule type="cellIs" dxfId="13" priority="3" operator="equal">
      <formula>14</formula>
    </cfRule>
    <cfRule type="cellIs" dxfId="12" priority="4" operator="equal">
      <formula>13</formula>
    </cfRule>
    <cfRule type="cellIs" dxfId="11" priority="5" operator="equal">
      <formula>12</formula>
    </cfRule>
    <cfRule type="cellIs" dxfId="10" priority="6" operator="equal">
      <formula>11</formula>
    </cfRule>
    <cfRule type="cellIs" dxfId="9" priority="7" operator="equal">
      <formula>10</formula>
    </cfRule>
    <cfRule type="cellIs" dxfId="8" priority="8" operator="equal">
      <formula>9</formula>
    </cfRule>
    <cfRule type="cellIs" dxfId="7" priority="9" operator="equal">
      <formula>8</formula>
    </cfRule>
    <cfRule type="cellIs" dxfId="6" priority="10" operator="equal">
      <formula>7</formula>
    </cfRule>
    <cfRule type="cellIs" dxfId="5" priority="11" operator="equal">
      <formula>6</formula>
    </cfRule>
    <cfRule type="cellIs" dxfId="4" priority="12" operator="equal">
      <formula>5</formula>
    </cfRule>
    <cfRule type="cellIs" dxfId="3" priority="13" operator="equal">
      <formula>4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ageMargins left="0.23622047244094491" right="0.23622047244094491" top="0.35433070866141742" bottom="0.35433070866141742" header="0" footer="0"/>
  <pageSetup paperSize="3" scale="72" fitToHeight="0" orientation="portrait"/>
  <rowBreaks count="1" manualBreakCount="1">
    <brk id="151" max="17" man="1"/>
  </rowBreaks>
  <colBreaks count="1" manualBreakCount="1">
    <brk id="18" max="1048575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3"/>
  <sheetViews>
    <sheetView workbookViewId="0"/>
  </sheetViews>
  <sheetFormatPr baseColWidth="10" defaultColWidth="9.140625" defaultRowHeight="15" x14ac:dyDescent="0.25"/>
  <sheetData>
    <row r="1" spans="1:57" x14ac:dyDescent="0.25">
      <c r="A1" t="s">
        <v>333</v>
      </c>
      <c r="B1" t="s">
        <v>10</v>
      </c>
      <c r="C1" t="s">
        <v>334</v>
      </c>
      <c r="D1" t="s">
        <v>335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342</v>
      </c>
      <c r="L1" t="s">
        <v>343</v>
      </c>
      <c r="M1" t="s">
        <v>344</v>
      </c>
      <c r="N1" t="s">
        <v>345</v>
      </c>
      <c r="O1" t="s">
        <v>346</v>
      </c>
      <c r="P1" t="s">
        <v>347</v>
      </c>
      <c r="Q1" t="s">
        <v>348</v>
      </c>
      <c r="R1" t="s">
        <v>349</v>
      </c>
    </row>
    <row r="2" spans="1:57" x14ac:dyDescent="0.25">
      <c r="A2" t="s">
        <v>161</v>
      </c>
      <c r="B2" t="s">
        <v>161</v>
      </c>
      <c r="C2" t="s">
        <v>162</v>
      </c>
      <c r="D2" t="s">
        <v>164</v>
      </c>
      <c r="E2" t="s">
        <v>350</v>
      </c>
      <c r="F2" t="s">
        <v>164</v>
      </c>
      <c r="G2" t="s">
        <v>162</v>
      </c>
      <c r="H2" t="s">
        <v>161</v>
      </c>
      <c r="I2" t="s">
        <v>254</v>
      </c>
      <c r="J2" t="s">
        <v>162</v>
      </c>
      <c r="M2" t="s">
        <v>255</v>
      </c>
      <c r="Q2" t="s">
        <v>350</v>
      </c>
      <c r="U2" t="s">
        <v>350</v>
      </c>
      <c r="Y2" t="s">
        <v>350</v>
      </c>
      <c r="AC2" t="s">
        <v>350</v>
      </c>
      <c r="AG2" t="s">
        <v>350</v>
      </c>
      <c r="AK2" t="s">
        <v>350</v>
      </c>
      <c r="AO2" t="s">
        <v>350</v>
      </c>
      <c r="AS2" t="s">
        <v>350</v>
      </c>
      <c r="AW2" t="s">
        <v>350</v>
      </c>
      <c r="BA2" t="s">
        <v>350</v>
      </c>
      <c r="BE2" t="s">
        <v>350</v>
      </c>
    </row>
    <row r="3" spans="1:57" x14ac:dyDescent="0.25">
      <c r="A3" t="s">
        <v>34</v>
      </c>
      <c r="B3" t="s">
        <v>161</v>
      </c>
      <c r="C3" t="s">
        <v>162</v>
      </c>
      <c r="D3" t="s">
        <v>164</v>
      </c>
      <c r="E3" t="s">
        <v>350</v>
      </c>
      <c r="F3" t="s">
        <v>161</v>
      </c>
      <c r="G3" t="s">
        <v>162</v>
      </c>
      <c r="H3" t="s">
        <v>164</v>
      </c>
      <c r="I3" t="s">
        <v>254</v>
      </c>
      <c r="J3" t="s">
        <v>162</v>
      </c>
      <c r="M3" t="s">
        <v>350</v>
      </c>
      <c r="Q3" t="s">
        <v>350</v>
      </c>
      <c r="U3" t="s">
        <v>350</v>
      </c>
      <c r="Y3" t="s">
        <v>350</v>
      </c>
      <c r="AC3" t="s">
        <v>350</v>
      </c>
      <c r="AG3" t="s">
        <v>350</v>
      </c>
      <c r="AK3" t="s">
        <v>350</v>
      </c>
      <c r="AO3" t="s">
        <v>350</v>
      </c>
      <c r="AS3" t="s">
        <v>350</v>
      </c>
      <c r="AW3" t="s">
        <v>350</v>
      </c>
      <c r="BA3" t="s">
        <v>350</v>
      </c>
      <c r="BE3" t="s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CONTROL</vt:lpstr>
      <vt:lpstr>SEM 1</vt:lpstr>
      <vt:lpstr>6-9-26</vt:lpstr>
      <vt:lpstr>SEM 2</vt:lpstr>
      <vt:lpstr>13-9-26</vt:lpstr>
      <vt:lpstr>SEM 3</vt:lpstr>
      <vt:lpstr>20-9-26</vt:lpstr>
      <vt:lpstr>19-09-2026</vt:lpstr>
      <vt:lpstr>'13-9-26'!Área_de_impresión</vt:lpstr>
      <vt:lpstr>'20-9-26'!Área_de_impresión</vt:lpstr>
      <vt:lpstr>'6-9-26'!Área_de_impresión</vt:lpstr>
      <vt:lpstr>'SEM 1'!Área_de_impresión</vt:lpstr>
      <vt:lpstr>'SEM 2'!Área_de_impresión</vt:lpstr>
      <vt:lpstr>'SEM 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venezuela maracay</dc:creator>
  <cp:lastModifiedBy>venezuela maracay</cp:lastModifiedBy>
  <cp:lastPrinted>2026-09-14T19:07:01Z</cp:lastPrinted>
  <dcterms:created xsi:type="dcterms:W3CDTF">2026-09-11T01:37:01Z</dcterms:created>
  <dcterms:modified xsi:type="dcterms:W3CDTF">2026-09-20T00:05:24Z</dcterms:modified>
</cp:coreProperties>
</file>