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ennstateoffice365-my.sharepoint.com/personal/epb5360_psu_edu/Documents/Ganda-Rogers Collaborations/Projects/Bifidobac-Lit-Review/Meta-Analysis/"/>
    </mc:Choice>
  </mc:AlternateContent>
  <xr:revisionPtr revIDLastSave="113" documentId="13_ncr:1_{A46A7FDD-5381-4F49-8237-8DE3B5702074}" xr6:coauthVersionLast="47" xr6:coauthVersionMax="47" xr10:uidLastSave="{539ED497-BEE5-7748-B9FE-AE2AD2B67994}"/>
  <bookViews>
    <workbookView xWindow="-67200" yWindow="1360" windowWidth="28800" windowHeight="17500" firstSheet="1" activeTab="2" xr2:uid="{D14E2D3D-5F13-644A-A2B3-D163D7292A2B}"/>
  </bookViews>
  <sheets>
    <sheet name="README" sheetId="4" r:id="rId1"/>
    <sheet name="animal_random-effects" sheetId="3" r:id="rId2"/>
    <sheet name="animal_data" sheetId="2" r:id="rId3"/>
    <sheet name="human_random-effects" sheetId="6" r:id="rId4"/>
    <sheet name="human_data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1" i="2" l="1"/>
  <c r="H31" i="2"/>
  <c r="J30" i="2"/>
  <c r="H30" i="2"/>
  <c r="J26" i="2"/>
  <c r="H26" i="2"/>
  <c r="J8" i="2"/>
  <c r="I8" i="2"/>
  <c r="H8" i="2"/>
  <c r="G8" i="2"/>
  <c r="J24" i="2"/>
  <c r="H24" i="2"/>
  <c r="J17" i="2"/>
  <c r="I17" i="2"/>
  <c r="H17" i="2"/>
  <c r="G17" i="2"/>
  <c r="J33" i="2"/>
  <c r="I33" i="2"/>
  <c r="H33" i="2"/>
  <c r="G33" i="2"/>
  <c r="J21" i="2"/>
  <c r="I21" i="2"/>
  <c r="H21" i="2"/>
  <c r="G21" i="2"/>
  <c r="J5" i="2"/>
  <c r="H5" i="2"/>
  <c r="J23" i="2"/>
  <c r="H23" i="2"/>
  <c r="J13" i="2"/>
  <c r="I13" i="2"/>
  <c r="H13" i="2"/>
  <c r="G13" i="2"/>
  <c r="E23" i="3"/>
  <c r="D24" i="3"/>
  <c r="J29" i="2"/>
  <c r="H29" i="2"/>
  <c r="J25" i="2"/>
  <c r="H25" i="2"/>
  <c r="J7" i="2"/>
  <c r="I7" i="2"/>
  <c r="H7" i="2"/>
  <c r="G7" i="2"/>
  <c r="E22" i="3"/>
  <c r="L13" i="5"/>
  <c r="K13" i="5"/>
  <c r="J13" i="5"/>
  <c r="I13" i="5"/>
  <c r="H13" i="5"/>
  <c r="G13" i="5"/>
  <c r="F13" i="5"/>
  <c r="E13" i="5"/>
  <c r="L12" i="5"/>
  <c r="K12" i="5"/>
  <c r="J12" i="5"/>
  <c r="I12" i="5"/>
  <c r="H12" i="5"/>
  <c r="G12" i="5"/>
  <c r="F12" i="5"/>
  <c r="E12" i="5"/>
  <c r="D10" i="6"/>
  <c r="D9" i="6"/>
  <c r="E9" i="6"/>
  <c r="F9" i="5"/>
  <c r="E9" i="5"/>
  <c r="L15" i="5"/>
  <c r="K15" i="5"/>
  <c r="J15" i="5"/>
  <c r="I15" i="5"/>
  <c r="H15" i="5"/>
  <c r="G15" i="5"/>
  <c r="F15" i="5"/>
  <c r="E15" i="5"/>
  <c r="L14" i="5"/>
  <c r="K14" i="5"/>
  <c r="J14" i="5"/>
  <c r="I14" i="5"/>
  <c r="H14" i="5"/>
  <c r="G14" i="5"/>
  <c r="F14" i="5"/>
  <c r="E14" i="5"/>
  <c r="E8" i="6"/>
  <c r="D7" i="6"/>
  <c r="L6" i="5"/>
  <c r="K6" i="5"/>
  <c r="I6" i="5"/>
  <c r="J6" i="5"/>
  <c r="H6" i="5"/>
  <c r="G5" i="5"/>
  <c r="G6" i="5"/>
  <c r="F6" i="5"/>
  <c r="E6" i="5"/>
  <c r="L5" i="5"/>
  <c r="K5" i="5"/>
  <c r="J5" i="5"/>
  <c r="I5" i="5"/>
  <c r="H5" i="5"/>
  <c r="F5" i="5"/>
  <c r="E5" i="5"/>
  <c r="D6" i="6"/>
  <c r="J16" i="2"/>
  <c r="I16" i="2"/>
  <c r="H16" i="2"/>
  <c r="G16" i="2"/>
  <c r="D20" i="3"/>
  <c r="J35" i="2"/>
  <c r="I35" i="2"/>
  <c r="H35" i="2"/>
  <c r="G35" i="2"/>
  <c r="J32" i="2"/>
  <c r="I32" i="2"/>
  <c r="H32" i="2"/>
  <c r="G32" i="2"/>
  <c r="J20" i="2"/>
  <c r="H20" i="2"/>
  <c r="L8" i="5"/>
  <c r="J8" i="5"/>
  <c r="H8" i="5"/>
  <c r="F8" i="5"/>
  <c r="L7" i="5"/>
  <c r="K7" i="5"/>
  <c r="J7" i="5"/>
  <c r="I7" i="5"/>
  <c r="H7" i="5"/>
  <c r="G7" i="5"/>
  <c r="F7" i="5"/>
  <c r="E7" i="5"/>
  <c r="D5" i="6"/>
  <c r="E16" i="3"/>
  <c r="E15" i="3"/>
  <c r="E14" i="3"/>
  <c r="K10" i="5"/>
  <c r="L10" i="5"/>
  <c r="J10" i="5"/>
  <c r="I10" i="5"/>
  <c r="H10" i="5"/>
  <c r="G10" i="5"/>
  <c r="F10" i="5"/>
  <c r="E10" i="5"/>
  <c r="L9" i="5"/>
  <c r="K9" i="5"/>
  <c r="J9" i="5"/>
  <c r="I9" i="5"/>
  <c r="E16" i="5"/>
  <c r="F16" i="5"/>
  <c r="J16" i="5"/>
  <c r="I16" i="5"/>
  <c r="H9" i="5"/>
  <c r="G9" i="5"/>
  <c r="D2" i="6"/>
  <c r="D4" i="6"/>
  <c r="J4" i="2"/>
  <c r="H4" i="2"/>
  <c r="E13" i="3"/>
  <c r="D13" i="3"/>
  <c r="E12" i="3"/>
  <c r="D12" i="3"/>
  <c r="J6" i="2"/>
  <c r="H6" i="2"/>
  <c r="D10" i="3"/>
  <c r="J22" i="2"/>
  <c r="H22" i="2"/>
  <c r="J12" i="2"/>
  <c r="I12" i="2"/>
  <c r="H12" i="2"/>
  <c r="G12" i="2"/>
  <c r="D8" i="3"/>
  <c r="D2" i="3"/>
  <c r="D6" i="3"/>
  <c r="D3" i="6"/>
  <c r="E2" i="3"/>
</calcChain>
</file>

<file path=xl/sharedStrings.xml><?xml version="1.0" encoding="utf-8"?>
<sst xmlns="http://schemas.openxmlformats.org/spreadsheetml/2006/main" count="458" uniqueCount="187">
  <si>
    <t>studyID</t>
  </si>
  <si>
    <t>desc_exp</t>
  </si>
  <si>
    <t>desc_control</t>
  </si>
  <si>
    <t>n_exp</t>
  </si>
  <si>
    <t>mean_exp</t>
  </si>
  <si>
    <t>sd_exp</t>
  </si>
  <si>
    <t>n_cont</t>
  </si>
  <si>
    <t>mean_cont</t>
  </si>
  <si>
    <t>sd_cont</t>
  </si>
  <si>
    <t>dose</t>
  </si>
  <si>
    <t>duration_weeks</t>
  </si>
  <si>
    <t>variable</t>
  </si>
  <si>
    <t>EXTRACTING DATA INTO EFFECT SIZES FOR META-ANALYSIS</t>
  </si>
  <si>
    <t>Pre-Convert SEM to SD and units</t>
  </si>
  <si>
    <t>Where:</t>
  </si>
  <si>
    <t>SD = SEM * sqrt(n)</t>
  </si>
  <si>
    <t>UNITS:</t>
  </si>
  <si>
    <t>HbA1c: %</t>
  </si>
  <si>
    <t>COLUMN DESCRIPTIONS FOR R</t>
  </si>
  <si>
    <t>Sheet: "animal_prob-SD"</t>
  </si>
  <si>
    <t>study identifier</t>
  </si>
  <si>
    <t xml:space="preserve">e.g. FBG, Hba1c </t>
  </si>
  <si>
    <t>descriptor of experimental (e.g. "STZ-T2D" or "HFD")</t>
  </si>
  <si>
    <t>descriptor of control (e.g. "SD")</t>
  </si>
  <si>
    <t>sample size of experimental</t>
  </si>
  <si>
    <t>sample size of control</t>
  </si>
  <si>
    <t>SD of experimental</t>
  </si>
  <si>
    <t>mean of experimental</t>
  </si>
  <si>
    <t>mean of control</t>
  </si>
  <si>
    <t>SD of control</t>
  </si>
  <si>
    <t>Sheet: "animal_random-effects"</t>
  </si>
  <si>
    <t xml:space="preserve">Convert "days" to "weeks" for probiotic duration </t>
  </si>
  <si>
    <t>animal sex</t>
  </si>
  <si>
    <t>bif.species</t>
  </si>
  <si>
    <t>bif.strain</t>
  </si>
  <si>
    <t>animal.species</t>
  </si>
  <si>
    <t>animal.sex</t>
  </si>
  <si>
    <t>probiotic species</t>
  </si>
  <si>
    <t>probiotic strain (if given)</t>
  </si>
  <si>
    <t>probiotic dose (in daily CFU)</t>
  </si>
  <si>
    <t>duration of prob treatment (in weeks)</t>
  </si>
  <si>
    <t>animal species</t>
  </si>
  <si>
    <t>SHARMA2016</t>
  </si>
  <si>
    <t>FBG</t>
  </si>
  <si>
    <t>SD</t>
  </si>
  <si>
    <t>HbA1c</t>
  </si>
  <si>
    <t>https://handbook-5-1.cochrane.org/chapter_7/7_7_3_2_obtaining_standard_deviations_from_standard_errors_and.htm</t>
  </si>
  <si>
    <t>Sheet: "animal_prob-PC"</t>
  </si>
  <si>
    <t>SAME COLUMNS EXCEPT "CONTROL" REFERS TO POSITIVE CONTROL (i.e. HFD, STZ-T2D, HFD+STZ-T2D)</t>
  </si>
  <si>
    <t>bifidum</t>
  </si>
  <si>
    <t>NCDC-231</t>
  </si>
  <si>
    <t>Wistar rats</t>
  </si>
  <si>
    <t>male</t>
  </si>
  <si>
    <t>ZHANG2020</t>
  </si>
  <si>
    <t>Sprague-Dawley rats</t>
  </si>
  <si>
    <t>animalis</t>
  </si>
  <si>
    <t>mg/dL = 18 * mmol/L</t>
  </si>
  <si>
    <t>https://www.diabetes.co.uk/blood-sugar-converter.html</t>
  </si>
  <si>
    <t>AN2011</t>
  </si>
  <si>
    <t>SPM 1204; SPM 1205; SPM 1207</t>
  </si>
  <si>
    <t>KONDO2010</t>
  </si>
  <si>
    <t>breve</t>
  </si>
  <si>
    <t>B-3 (MCC1274)</t>
  </si>
  <si>
    <t>C57Bl/6J mice</t>
  </si>
  <si>
    <t>BERNIER2021</t>
  </si>
  <si>
    <t>delivery</t>
  </si>
  <si>
    <t>app_sexratio_m-f</t>
  </si>
  <si>
    <t>MCC 1274</t>
  </si>
  <si>
    <t>capsule</t>
  </si>
  <si>
    <t>age_range</t>
  </si>
  <si>
    <t>50-79</t>
  </si>
  <si>
    <t>mean_exp_baseline</t>
  </si>
  <si>
    <t>sd_exp_baseline</t>
  </si>
  <si>
    <t>mean_cont_baseline</t>
  </si>
  <si>
    <t>sd_cont_baseline</t>
  </si>
  <si>
    <t>WANG2019</t>
  </si>
  <si>
    <t>TMC 3115</t>
  </si>
  <si>
    <t>drink</t>
  </si>
  <si>
    <t>45-75</t>
  </si>
  <si>
    <t>NA</t>
  </si>
  <si>
    <t>CANO2013</t>
  </si>
  <si>
    <t>psuedocatenulatum</t>
  </si>
  <si>
    <t>CECT 7765</t>
  </si>
  <si>
    <t>RAY2018</t>
  </si>
  <si>
    <t>sp MKK4</t>
  </si>
  <si>
    <t>Albino mice</t>
  </si>
  <si>
    <t>CHEN2011</t>
  </si>
  <si>
    <t>longum</t>
  </si>
  <si>
    <t>CGMCC NO2107</t>
  </si>
  <si>
    <t>MOYA2015</t>
  </si>
  <si>
    <t>LE2015</t>
  </si>
  <si>
    <t>ATCC 15700; NA; NA; NA</t>
  </si>
  <si>
    <t>BOMHOF2014</t>
  </si>
  <si>
    <t>animalis spp lactis</t>
  </si>
  <si>
    <t>BB-12</t>
  </si>
  <si>
    <t>FBG and 2-hr OGTT: mg/dL</t>
  </si>
  <si>
    <t>OGTTAUC</t>
  </si>
  <si>
    <t>DEABREU2022</t>
  </si>
  <si>
    <t>Swiss mice</t>
  </si>
  <si>
    <t>** to keep this spreadsheet R-friendly, comments are made on the "Data Abstraction" spreadsheet</t>
  </si>
  <si>
    <t>Sheet: "human_random-effects</t>
  </si>
  <si>
    <t>study identifer</t>
  </si>
  <si>
    <t>i.e. sachet, capsule, drink</t>
  </si>
  <si>
    <t>ratio of males to females in randomized or ITT population (i.e. 2, 2:1 male: female ratio - this is approximated)</t>
  </si>
  <si>
    <t>range of ages in inclusion criteria</t>
  </si>
  <si>
    <t>BEN2020</t>
  </si>
  <si>
    <t>BR-108</t>
  </si>
  <si>
    <t>TSOD and Tsmura Suzuki non-obese (TSNO - control) mice</t>
  </si>
  <si>
    <t>MING2021</t>
  </si>
  <si>
    <t>adolescentis</t>
  </si>
  <si>
    <t>18-70</t>
  </si>
  <si>
    <t>OGTT2hr</t>
  </si>
  <si>
    <t>MOUNTS2015</t>
  </si>
  <si>
    <t>BB36</t>
  </si>
  <si>
    <t>Zucker rats</t>
  </si>
  <si>
    <t>female</t>
  </si>
  <si>
    <t>SD+P</t>
  </si>
  <si>
    <t>SALAZAR2014a</t>
  </si>
  <si>
    <t>IPLA-E44</t>
  </si>
  <si>
    <t>SALAZAR2014b</t>
  </si>
  <si>
    <t>IPLA-R1</t>
  </si>
  <si>
    <t>MINAMI2015</t>
  </si>
  <si>
    <t>B-3</t>
  </si>
  <si>
    <t>40-69</t>
  </si>
  <si>
    <t>MACHADO2021</t>
  </si>
  <si>
    <t>STENMAN2014</t>
  </si>
  <si>
    <t>STENMAN2015</t>
  </si>
  <si>
    <t>IPGTTAUC</t>
  </si>
  <si>
    <t>HAO2022</t>
  </si>
  <si>
    <t>BL21</t>
  </si>
  <si>
    <t>Kunming mice</t>
  </si>
  <si>
    <t>subtilis</t>
  </si>
  <si>
    <t>R0179</t>
  </si>
  <si>
    <t>35-65</t>
  </si>
  <si>
    <t>CULPEPPER2019b</t>
  </si>
  <si>
    <t>CULPEPPER2019a</t>
  </si>
  <si>
    <t>animalis  spp lactis</t>
  </si>
  <si>
    <t>B94</t>
  </si>
  <si>
    <t>STENMAN2016</t>
  </si>
  <si>
    <t>sachet into drink</t>
  </si>
  <si>
    <t>18-65</t>
  </si>
  <si>
    <t>https://diabetessociety.com.au/documents/HbA1cConversionTable.pdf</t>
  </si>
  <si>
    <t xml:space="preserve">% = 0,0915 mmol/mol + 2,15% </t>
  </si>
  <si>
    <t>HUANG2020</t>
  </si>
  <si>
    <t>OLP-01</t>
  </si>
  <si>
    <t>Institute of Cancer Research mice</t>
  </si>
  <si>
    <t>unknown</t>
  </si>
  <si>
    <t>BERNINI2016</t>
  </si>
  <si>
    <t>16-60</t>
  </si>
  <si>
    <t>nov HN019</t>
  </si>
  <si>
    <t>q1_exp</t>
  </si>
  <si>
    <t>q3_exp</t>
  </si>
  <si>
    <t>q1_cont</t>
  </si>
  <si>
    <t>q1_exp_baseline</t>
  </si>
  <si>
    <t>q3_exp_baseline</t>
  </si>
  <si>
    <t>q1_cont_baseline</t>
  </si>
  <si>
    <t>q3_cont_baseline</t>
  </si>
  <si>
    <t>q3_cont</t>
  </si>
  <si>
    <t>median_exp</t>
  </si>
  <si>
    <t>min_exp</t>
  </si>
  <si>
    <t>max_exp</t>
  </si>
  <si>
    <t>median_exp_baseline</t>
  </si>
  <si>
    <t>min_exp_baseline</t>
  </si>
  <si>
    <t>max_exp_baseline</t>
  </si>
  <si>
    <t>SCHELLEKENS2021</t>
  </si>
  <si>
    <t>APC1472</t>
  </si>
  <si>
    <t>CAIMARI2017</t>
  </si>
  <si>
    <t>CECT 8145</t>
  </si>
  <si>
    <t>PLAZA2014</t>
  </si>
  <si>
    <t>REICHOLD2014</t>
  </si>
  <si>
    <t>ATCC 15705</t>
  </si>
  <si>
    <t>CNCM I-4035</t>
  </si>
  <si>
    <t>Zucker-lepr and Zucker-lean rats</t>
  </si>
  <si>
    <t>age_range_inclusion</t>
  </si>
  <si>
    <t>T2D+P</t>
  </si>
  <si>
    <t>T2D</t>
  </si>
  <si>
    <t>mixture</t>
  </si>
  <si>
    <t>DIO+P</t>
  </si>
  <si>
    <t>DIO</t>
  </si>
  <si>
    <t>DIO+STZ-T2D+P</t>
  </si>
  <si>
    <t>DIO+STZ-T2D</t>
  </si>
  <si>
    <t>DIO+STZ-T2D-P</t>
  </si>
  <si>
    <t>DIO-STZ-T2D</t>
  </si>
  <si>
    <t>MetS+P</t>
  </si>
  <si>
    <t>MetS</t>
  </si>
  <si>
    <t>PLAZA-DIAZ2014</t>
  </si>
  <si>
    <t>MOYA-PEREZ2015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</si>
</sst>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2"/>
      <color theme="4" tint="-0.249977111117893"/>
      <name val="Calibri"/>
      <family val="2"/>
      <scheme val="minor"/>
    </font>
    <font>
      <b/>
      <sz val="12"/>
      <color rgb="FF305496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theme="4"/>
      </bottom>
      <diagonal/>
    </border>
    <border>
      <left style="thin">
        <color rgb="FFED7D31"/>
      </left>
      <right style="thin">
        <color rgb="FFED7D31"/>
      </right>
      <top style="thin">
        <color rgb="FF4472C4"/>
      </top>
      <bottom style="thin">
        <color rgb="FF4472C4"/>
      </bottom>
      <diagonal/>
    </border>
    <border>
      <left style="thin">
        <color rgb="FF70AD47"/>
      </left>
      <right style="thin">
        <color rgb="FF70AD47"/>
      </right>
      <top style="thin">
        <color rgb="FF70AD47"/>
      </top>
      <bottom style="medium">
        <color rgb="FF70AD47"/>
      </bottom>
      <diagonal/>
    </border>
    <border>
      <left style="thin">
        <color rgb="FF70AD47"/>
      </left>
      <right style="thin">
        <color rgb="FF70AD47"/>
      </right>
      <top/>
      <bottom/>
      <diagonal/>
    </border>
    <border>
      <left style="thin">
        <color rgb="FFED7D31"/>
      </left>
      <right style="thin">
        <color rgb="FFED7D31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4" fillId="0" borderId="9" xfId="0" applyFont="1" applyBorder="1"/>
    <xf numFmtId="11" fontId="0" fillId="0" borderId="0" xfId="0" applyNumberFormat="1"/>
    <xf numFmtId="0" fontId="5" fillId="0" borderId="10" xfId="0" applyFont="1" applyBorder="1"/>
    <xf numFmtId="0" fontId="6" fillId="0" borderId="11" xfId="0" applyFont="1" applyBorder="1"/>
    <xf numFmtId="0" fontId="6" fillId="0" borderId="12" xfId="0" applyFont="1" applyBorder="1"/>
    <xf numFmtId="0" fontId="0" fillId="2" borderId="4" xfId="0" applyFill="1" applyBorder="1"/>
    <xf numFmtId="0" fontId="0" fillId="2" borderId="0" xfId="0" applyFill="1"/>
    <xf numFmtId="0" fontId="1" fillId="2" borderId="4" xfId="0" applyFont="1" applyFill="1" applyBorder="1"/>
    <xf numFmtId="0" fontId="6" fillId="0" borderId="0" xfId="0" applyFont="1"/>
    <xf numFmtId="0" fontId="5" fillId="0" borderId="13" xfId="0" applyFont="1" applyBorder="1"/>
  </cellXfs>
  <cellStyles count="1">
    <cellStyle name="Normal" xfId="0" builtinId="0"/>
  </cellStyles>
  <dxfs count="4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305496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rgb="FFED7D31"/>
        </left>
        <right style="thin">
          <color rgb="FFED7D31"/>
        </right>
        <top/>
        <bottom/>
      </border>
    </dxf>
    <dxf>
      <border outline="0">
        <top style="thin">
          <color theme="4"/>
        </top>
      </border>
    </dxf>
    <dxf>
      <border outline="0"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4" tint="-0.249977111117893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E4383D1-FBEF-0F40-8374-63AC792A120D}" name="Table3" displayName="Table3" ref="A1:G1048575" totalsRowShown="0">
  <autoFilter ref="A1:G1048575" xr:uid="{8E4383D1-FBEF-0F40-8374-63AC792A120D}"/>
  <tableColumns count="7">
    <tableColumn id="1" xr3:uid="{4FAB2E9B-FF4A-5B4C-A9F9-2A896B97EF53}" name="studyID"/>
    <tableColumn id="2" xr3:uid="{ADF41C7A-0691-134A-A312-E4EF27E6A48A}" name="bif.species"/>
    <tableColumn id="3" xr3:uid="{579A7656-C061-4641-8261-AA53EDCBF851}" name="bif.strain"/>
    <tableColumn id="4" xr3:uid="{FABFDDC4-36E9-4543-8EC1-B7DCE7CE8168}" name="dose"/>
    <tableColumn id="5" xr3:uid="{64990095-03E3-1E41-9A72-133AA1E33C91}" name="duration_weeks"/>
    <tableColumn id="6" xr3:uid="{A4FCB0A2-BA71-6C4D-8B92-A416976F3038}" name="animal.species"/>
    <tableColumn id="7" xr3:uid="{0D223A7D-CEA0-8A41-A772-1256B8FB6C81}" name="animal.sex"/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847BA89-06DC-9242-B889-A62247213D86}" name="Table2" displayName="Table2" ref="A1:J1048569" totalsRowShown="0" headerRowDxfId="3" headerRowBorderDxfId="2" tableBorderDxfId="1">
  <autoFilter ref="A1:J1048569" xr:uid="{C847BA89-06DC-9242-B889-A62247213D86}"/>
  <sortState xmlns:xlrd2="http://schemas.microsoft.com/office/spreadsheetml/2017/richdata2" ref="A2:J37">
    <sortCondition ref="A1:A1048569"/>
  </sortState>
  <tableColumns count="10">
    <tableColumn id="1" xr3:uid="{5047CD64-86B5-434F-B404-00D368A87887}" name="studyID"/>
    <tableColumn id="2" xr3:uid="{92D05BCA-9CF6-7E47-83AC-535EC84F2397}" name="variable"/>
    <tableColumn id="3" xr3:uid="{D8B537D6-5BA1-7846-9E53-324CE020574E}" name="desc_exp"/>
    <tableColumn id="4" xr3:uid="{2ABE6816-4092-F546-87B3-AE571B6BFD62}" name="desc_control"/>
    <tableColumn id="5" xr3:uid="{2F2CF9BA-FE88-6C49-81FD-E60B938FE9B8}" name="n_exp"/>
    <tableColumn id="8" xr3:uid="{635121F5-FD31-1041-B02A-0824D0B66693}" name="n_cont"/>
    <tableColumn id="6" xr3:uid="{044B9087-7686-7049-A63D-E37ADC9EFE03}" name="mean_exp"/>
    <tableColumn id="7" xr3:uid="{21119580-3DDA-4842-9094-B142E5478907}" name="sd_exp"/>
    <tableColumn id="9" xr3:uid="{0B6E7341-814F-D94E-A58F-5FB87D605E1A}" name="mean_cont"/>
    <tableColumn id="10" xr3:uid="{A8906AAB-DE7F-5248-B6AC-E74ECF5ACB8A}" name="sd_cont"/>
  </tableColumns>
  <tableStyleInfo name="TableStyleLight1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E0597ED-C647-184B-8644-C086EF907921}" name="Table4" displayName="Table4" ref="A1:Z16" totalsRowShown="0" headerRowDxfId="0">
  <autoFilter ref="A1:Z16" xr:uid="{0E0597ED-C647-184B-8644-C086EF907921}">
    <filterColumn colId="1">
      <filters>
        <filter val="FBG"/>
      </filters>
    </filterColumn>
  </autoFilter>
  <sortState xmlns:xlrd2="http://schemas.microsoft.com/office/spreadsheetml/2017/richdata2" ref="A2:Z16">
    <sortCondition ref="A1:A16"/>
  </sortState>
  <tableColumns count="26">
    <tableColumn id="1" xr3:uid="{CC5BD084-C861-144C-9BAE-39C66582A9AA}" name="studyID"/>
    <tableColumn id="2" xr3:uid="{5605E576-41E8-CA46-B5D4-8521001A2B27}" name="variable"/>
    <tableColumn id="3" xr3:uid="{1E4794E2-4B94-A249-A5B3-808577C49DE0}" name="n_exp"/>
    <tableColumn id="4" xr3:uid="{2E51340F-3D22-654D-B1E2-2E59FB64378A}" name="n_cont"/>
    <tableColumn id="5" xr3:uid="{6C09E7DA-5A97-2B42-8332-92CD628346F3}" name="mean_exp"/>
    <tableColumn id="6" xr3:uid="{4E5317BB-EBC8-0B4A-9E7D-0D776BCABEF5}" name="sd_exp"/>
    <tableColumn id="7" xr3:uid="{B799E0A1-34C7-6341-987D-5458703E1261}" name="mean_cont"/>
    <tableColumn id="8" xr3:uid="{DBFB7443-E0AD-A54E-A06E-C3E8C44CE69F}" name="sd_cont"/>
    <tableColumn id="9" xr3:uid="{83B0A08B-5DBC-244A-9627-F0C421E5F5FA}" name="mean_exp_baseline"/>
    <tableColumn id="10" xr3:uid="{2915C8C0-2FC2-DA48-B37F-B637B07C3563}" name="sd_exp_baseline"/>
    <tableColumn id="11" xr3:uid="{B224CA5D-785C-B447-B08B-9B558AA267E5}" name="mean_cont_baseline"/>
    <tableColumn id="12" xr3:uid="{F0BED70B-E01B-3A43-A80D-CB63A17F95D1}" name="sd_cont_baseline"/>
    <tableColumn id="13" xr3:uid="{81A164BB-2E52-E848-BF7F-161F59E763F9}" name="q1_exp"/>
    <tableColumn id="14" xr3:uid="{79CBFE52-F669-A043-9E96-B105E3DBE9F7}" name="q3_exp"/>
    <tableColumn id="15" xr3:uid="{4F154827-23F1-D244-A3CD-786953A77D30}" name="q1_cont"/>
    <tableColumn id="16" xr3:uid="{076FDDE3-7292-684D-8B3A-09D7E769A3F9}" name="q3_cont"/>
    <tableColumn id="17" xr3:uid="{8C9C91FC-3AD9-F04E-9F80-7A4333BD446A}" name="q1_exp_baseline"/>
    <tableColumn id="18" xr3:uid="{BAD1F3EC-205E-AF4F-A250-43D27232FCCF}" name="q3_exp_baseline"/>
    <tableColumn id="19" xr3:uid="{AAF7EDD1-64F4-9549-97E9-31A69B942925}" name="q1_cont_baseline"/>
    <tableColumn id="20" xr3:uid="{FEE2B697-66E2-234E-B417-762CD672C944}" name="q3_cont_baseline"/>
    <tableColumn id="21" xr3:uid="{2039A97A-6B7C-524D-BDC5-394BA23F1BC9}" name="median_exp"/>
    <tableColumn id="22" xr3:uid="{7D2C8915-3F3C-5A47-87C0-B42B6E225F01}" name="min_exp"/>
    <tableColumn id="23" xr3:uid="{C327EFB7-3904-AE4D-B8ED-194F4FDDC269}" name="max_exp"/>
    <tableColumn id="24" xr3:uid="{DA9CDE36-593B-D441-A3C1-113204D966B5}" name="median_exp_baseline"/>
    <tableColumn id="25" xr3:uid="{29DA32A2-A057-D547-AE1E-7B39446335D7}" name="min_exp_baseline"/>
    <tableColumn id="26" xr3:uid="{A9DC1A19-8AC8-A049-A8B4-E00F644FE90B}" name="max_exp_baseline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D6F0D-66DB-A242-9451-750426B389BD}">
  <dimension ref="A1:E52"/>
  <sheetViews>
    <sheetView workbookViewId="0">
      <selection activeCell="B12" sqref="B12"/>
    </sheetView>
  </sheetViews>
  <sheetFormatPr baseColWidth="10" defaultRowHeight="16" x14ac:dyDescent="0.2"/>
  <cols>
    <col min="1" max="1" width="26.5" customWidth="1"/>
    <col min="2" max="2" width="21" customWidth="1"/>
  </cols>
  <sheetData>
    <row r="1" spans="1:5" ht="21" x14ac:dyDescent="0.25">
      <c r="A1" s="1" t="s">
        <v>12</v>
      </c>
    </row>
    <row r="2" spans="1:5" x14ac:dyDescent="0.2">
      <c r="A2" t="s">
        <v>99</v>
      </c>
    </row>
    <row r="4" spans="1:5" ht="21" x14ac:dyDescent="0.25">
      <c r="A4" s="3" t="s">
        <v>13</v>
      </c>
      <c r="B4" s="4"/>
      <c r="C4" s="4"/>
      <c r="D4" s="4"/>
      <c r="E4" s="5"/>
    </row>
    <row r="5" spans="1:5" x14ac:dyDescent="0.2">
      <c r="A5" s="6"/>
      <c r="E5" s="7"/>
    </row>
    <row r="6" spans="1:5" x14ac:dyDescent="0.2">
      <c r="A6" s="6" t="s">
        <v>14</v>
      </c>
      <c r="E6" s="7"/>
    </row>
    <row r="7" spans="1:5" ht="21" x14ac:dyDescent="0.25">
      <c r="A7" s="18" t="s">
        <v>15</v>
      </c>
      <c r="C7" t="s">
        <v>46</v>
      </c>
      <c r="E7" s="7"/>
    </row>
    <row r="8" spans="1:5" x14ac:dyDescent="0.2">
      <c r="A8" s="6"/>
      <c r="E8" s="7"/>
    </row>
    <row r="9" spans="1:5" x14ac:dyDescent="0.2">
      <c r="A9" s="6"/>
      <c r="E9" s="7"/>
    </row>
    <row r="10" spans="1:5" x14ac:dyDescent="0.2">
      <c r="A10" s="16" t="s">
        <v>16</v>
      </c>
      <c r="B10" s="17"/>
      <c r="C10" s="17"/>
      <c r="E10" s="7"/>
    </row>
    <row r="11" spans="1:5" x14ac:dyDescent="0.2">
      <c r="A11" s="16" t="s">
        <v>95</v>
      </c>
      <c r="B11" s="17" t="s">
        <v>56</v>
      </c>
      <c r="C11" s="17"/>
      <c r="D11" t="s">
        <v>57</v>
      </c>
      <c r="E11" s="7"/>
    </row>
    <row r="12" spans="1:5" x14ac:dyDescent="0.2">
      <c r="A12" s="16" t="s">
        <v>17</v>
      </c>
      <c r="B12" s="17" t="s">
        <v>142</v>
      </c>
      <c r="C12" s="17"/>
      <c r="D12" t="s">
        <v>141</v>
      </c>
      <c r="E12" s="7"/>
    </row>
    <row r="13" spans="1:5" x14ac:dyDescent="0.2">
      <c r="A13" s="6"/>
      <c r="E13" s="7"/>
    </row>
    <row r="14" spans="1:5" x14ac:dyDescent="0.2">
      <c r="A14" s="6"/>
      <c r="E14" s="7"/>
    </row>
    <row r="15" spans="1:5" x14ac:dyDescent="0.2">
      <c r="A15" s="8" t="s">
        <v>31</v>
      </c>
      <c r="B15" s="9"/>
      <c r="C15" s="9"/>
      <c r="D15" s="9"/>
      <c r="E15" s="10"/>
    </row>
    <row r="17" spans="1:2" ht="24" x14ac:dyDescent="0.3">
      <c r="A17" s="2" t="s">
        <v>18</v>
      </c>
    </row>
    <row r="18" spans="1:2" x14ac:dyDescent="0.2">
      <c r="A18" t="s">
        <v>19</v>
      </c>
    </row>
    <row r="19" spans="1:2" x14ac:dyDescent="0.2">
      <c r="A19" t="s">
        <v>0</v>
      </c>
      <c r="B19" t="s">
        <v>20</v>
      </c>
    </row>
    <row r="20" spans="1:2" x14ac:dyDescent="0.2">
      <c r="A20" t="s">
        <v>11</v>
      </c>
      <c r="B20" t="s">
        <v>21</v>
      </c>
    </row>
    <row r="21" spans="1:2" x14ac:dyDescent="0.2">
      <c r="A21" t="s">
        <v>1</v>
      </c>
      <c r="B21" t="s">
        <v>22</v>
      </c>
    </row>
    <row r="22" spans="1:2" x14ac:dyDescent="0.2">
      <c r="A22" t="s">
        <v>2</v>
      </c>
      <c r="B22" t="s">
        <v>23</v>
      </c>
    </row>
    <row r="23" spans="1:2" x14ac:dyDescent="0.2">
      <c r="A23" t="s">
        <v>3</v>
      </c>
      <c r="B23" t="s">
        <v>24</v>
      </c>
    </row>
    <row r="24" spans="1:2" x14ac:dyDescent="0.2">
      <c r="A24" t="s">
        <v>4</v>
      </c>
      <c r="B24" t="s">
        <v>27</v>
      </c>
    </row>
    <row r="25" spans="1:2" x14ac:dyDescent="0.2">
      <c r="A25" t="s">
        <v>5</v>
      </c>
      <c r="B25" t="s">
        <v>26</v>
      </c>
    </row>
    <row r="26" spans="1:2" x14ac:dyDescent="0.2">
      <c r="A26" t="s">
        <v>6</v>
      </c>
      <c r="B26" t="s">
        <v>25</v>
      </c>
    </row>
    <row r="27" spans="1:2" x14ac:dyDescent="0.2">
      <c r="A27" t="s">
        <v>7</v>
      </c>
      <c r="B27" t="s">
        <v>28</v>
      </c>
    </row>
    <row r="28" spans="1:2" x14ac:dyDescent="0.2">
      <c r="A28" t="s">
        <v>8</v>
      </c>
      <c r="B28" t="s">
        <v>29</v>
      </c>
    </row>
    <row r="30" spans="1:2" x14ac:dyDescent="0.2">
      <c r="A30" t="s">
        <v>30</v>
      </c>
    </row>
    <row r="31" spans="1:2" x14ac:dyDescent="0.2">
      <c r="A31" t="s">
        <v>0</v>
      </c>
      <c r="B31" t="s">
        <v>20</v>
      </c>
    </row>
    <row r="32" spans="1:2" x14ac:dyDescent="0.2">
      <c r="A32" t="s">
        <v>33</v>
      </c>
      <c r="B32" t="s">
        <v>37</v>
      </c>
    </row>
    <row r="33" spans="1:2" x14ac:dyDescent="0.2">
      <c r="A33" t="s">
        <v>34</v>
      </c>
      <c r="B33" t="s">
        <v>38</v>
      </c>
    </row>
    <row r="34" spans="1:2" x14ac:dyDescent="0.2">
      <c r="A34" t="s">
        <v>9</v>
      </c>
      <c r="B34" t="s">
        <v>39</v>
      </c>
    </row>
    <row r="35" spans="1:2" x14ac:dyDescent="0.2">
      <c r="A35" t="s">
        <v>10</v>
      </c>
      <c r="B35" t="s">
        <v>40</v>
      </c>
    </row>
    <row r="36" spans="1:2" x14ac:dyDescent="0.2">
      <c r="A36" t="s">
        <v>35</v>
      </c>
      <c r="B36" t="s">
        <v>41</v>
      </c>
    </row>
    <row r="37" spans="1:2" x14ac:dyDescent="0.2">
      <c r="A37" t="s">
        <v>36</v>
      </c>
      <c r="B37" t="s">
        <v>32</v>
      </c>
    </row>
    <row r="39" spans="1:2" x14ac:dyDescent="0.2">
      <c r="A39" t="s">
        <v>47</v>
      </c>
    </row>
    <row r="40" spans="1:2" x14ac:dyDescent="0.2">
      <c r="A40" t="s">
        <v>48</v>
      </c>
    </row>
    <row r="42" spans="1:2" x14ac:dyDescent="0.2">
      <c r="A42" t="s">
        <v>100</v>
      </c>
    </row>
    <row r="43" spans="1:2" ht="17" thickBot="1" x14ac:dyDescent="0.25">
      <c r="A43" s="14" t="s">
        <v>0</v>
      </c>
      <c r="B43" t="s">
        <v>101</v>
      </c>
    </row>
    <row r="44" spans="1:2" ht="17" thickBot="1" x14ac:dyDescent="0.25">
      <c r="A44" s="14" t="s">
        <v>33</v>
      </c>
    </row>
    <row r="45" spans="1:2" ht="17" thickBot="1" x14ac:dyDescent="0.25">
      <c r="A45" s="14" t="s">
        <v>34</v>
      </c>
    </row>
    <row r="46" spans="1:2" ht="17" thickBot="1" x14ac:dyDescent="0.25">
      <c r="A46" s="14" t="s">
        <v>9</v>
      </c>
    </row>
    <row r="47" spans="1:2" ht="17" thickBot="1" x14ac:dyDescent="0.25">
      <c r="A47" s="14" t="s">
        <v>10</v>
      </c>
    </row>
    <row r="48" spans="1:2" ht="17" thickBot="1" x14ac:dyDescent="0.25">
      <c r="A48" s="14" t="s">
        <v>65</v>
      </c>
      <c r="B48" t="s">
        <v>102</v>
      </c>
    </row>
    <row r="49" spans="1:2" ht="17" thickBot="1" x14ac:dyDescent="0.25">
      <c r="A49" s="14" t="s">
        <v>66</v>
      </c>
      <c r="B49" t="s">
        <v>103</v>
      </c>
    </row>
    <row r="50" spans="1:2" x14ac:dyDescent="0.2">
      <c r="A50" s="15" t="s">
        <v>69</v>
      </c>
      <c r="B50" t="s">
        <v>104</v>
      </c>
    </row>
    <row r="52" spans="1:2" x14ac:dyDescent="0.2">
      <c r="A52" s="1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8CE9E-419D-0747-A47A-C848119F1CAF}">
  <dimension ref="A1:G24"/>
  <sheetViews>
    <sheetView workbookViewId="0">
      <selection activeCell="B9" sqref="B9"/>
    </sheetView>
  </sheetViews>
  <sheetFormatPr baseColWidth="10" defaultRowHeight="16" x14ac:dyDescent="0.2"/>
  <cols>
    <col min="1" max="1" width="13.33203125" customWidth="1"/>
    <col min="2" max="2" width="12.1640625" customWidth="1"/>
    <col min="4" max="4" width="12.1640625" bestFit="1" customWidth="1"/>
    <col min="5" max="5" width="16.5" customWidth="1"/>
    <col min="6" max="6" width="15.6640625" customWidth="1"/>
    <col min="7" max="7" width="12.33203125" customWidth="1"/>
  </cols>
  <sheetData>
    <row r="1" spans="1:7" x14ac:dyDescent="0.2">
      <c r="A1" t="s">
        <v>0</v>
      </c>
      <c r="B1" t="s">
        <v>33</v>
      </c>
      <c r="C1" t="s">
        <v>34</v>
      </c>
      <c r="D1" t="s">
        <v>9</v>
      </c>
      <c r="E1" t="s">
        <v>10</v>
      </c>
      <c r="F1" t="s">
        <v>35</v>
      </c>
      <c r="G1" t="s">
        <v>36</v>
      </c>
    </row>
    <row r="2" spans="1:7" x14ac:dyDescent="0.2">
      <c r="A2" t="s">
        <v>42</v>
      </c>
      <c r="B2" t="s">
        <v>49</v>
      </c>
      <c r="C2" t="s">
        <v>50</v>
      </c>
      <c r="D2">
        <f>1*100000000</f>
        <v>100000000</v>
      </c>
      <c r="E2">
        <f>ROUNDDOWN(28/7,1)</f>
        <v>4</v>
      </c>
      <c r="F2" t="s">
        <v>51</v>
      </c>
      <c r="G2" t="s">
        <v>52</v>
      </c>
    </row>
    <row r="3" spans="1:7" x14ac:dyDescent="0.2">
      <c r="A3" t="s">
        <v>53</v>
      </c>
      <c r="B3" t="s">
        <v>55</v>
      </c>
      <c r="C3">
        <v>1</v>
      </c>
      <c r="D3" s="12">
        <v>10000000000</v>
      </c>
      <c r="E3">
        <v>10</v>
      </c>
      <c r="F3" t="s">
        <v>54</v>
      </c>
      <c r="G3" t="s">
        <v>52</v>
      </c>
    </row>
    <row r="4" spans="1:7" x14ac:dyDescent="0.2">
      <c r="A4" t="s">
        <v>58</v>
      </c>
      <c r="B4" t="s">
        <v>176</v>
      </c>
      <c r="C4" t="s">
        <v>59</v>
      </c>
      <c r="D4" s="12">
        <v>1000000000</v>
      </c>
      <c r="E4">
        <v>5</v>
      </c>
      <c r="F4" t="s">
        <v>54</v>
      </c>
      <c r="G4" t="s">
        <v>52</v>
      </c>
    </row>
    <row r="5" spans="1:7" x14ac:dyDescent="0.2">
      <c r="A5" t="s">
        <v>60</v>
      </c>
      <c r="B5" t="s">
        <v>61</v>
      </c>
      <c r="C5" t="s">
        <v>62</v>
      </c>
      <c r="D5" s="12">
        <v>10000000000</v>
      </c>
      <c r="E5">
        <v>8</v>
      </c>
      <c r="F5" t="s">
        <v>63</v>
      </c>
      <c r="G5" t="s">
        <v>52</v>
      </c>
    </row>
    <row r="6" spans="1:7" x14ac:dyDescent="0.2">
      <c r="A6" t="s">
        <v>80</v>
      </c>
      <c r="B6" t="s">
        <v>81</v>
      </c>
      <c r="C6" t="s">
        <v>82</v>
      </c>
      <c r="D6">
        <f>5*1000000000</f>
        <v>5000000000</v>
      </c>
      <c r="E6">
        <v>7</v>
      </c>
      <c r="F6" t="s">
        <v>63</v>
      </c>
      <c r="G6" t="s">
        <v>52</v>
      </c>
    </row>
    <row r="7" spans="1:7" x14ac:dyDescent="0.2">
      <c r="A7" t="s">
        <v>83</v>
      </c>
      <c r="B7" t="s">
        <v>84</v>
      </c>
      <c r="C7" t="s">
        <v>79</v>
      </c>
      <c r="D7" s="12">
        <v>10000000000</v>
      </c>
      <c r="E7">
        <v>8</v>
      </c>
      <c r="F7" t="s">
        <v>85</v>
      </c>
      <c r="G7" t="s">
        <v>52</v>
      </c>
    </row>
    <row r="8" spans="1:7" x14ac:dyDescent="0.2">
      <c r="A8" t="s">
        <v>86</v>
      </c>
      <c r="B8" t="s">
        <v>87</v>
      </c>
      <c r="C8" t="s">
        <v>88</v>
      </c>
      <c r="D8">
        <f>2*10000000000</f>
        <v>20000000000</v>
      </c>
      <c r="E8">
        <v>12</v>
      </c>
      <c r="F8" t="s">
        <v>51</v>
      </c>
      <c r="G8" t="s">
        <v>52</v>
      </c>
    </row>
    <row r="9" spans="1:7" x14ac:dyDescent="0.2">
      <c r="A9" t="s">
        <v>89</v>
      </c>
      <c r="B9" t="s">
        <v>81</v>
      </c>
      <c r="C9" t="s">
        <v>82</v>
      </c>
      <c r="D9" s="12">
        <v>10000000000</v>
      </c>
      <c r="E9">
        <v>14</v>
      </c>
      <c r="F9" t="s">
        <v>63</v>
      </c>
      <c r="G9" t="s">
        <v>52</v>
      </c>
    </row>
    <row r="10" spans="1:7" x14ac:dyDescent="0.2">
      <c r="A10" t="s">
        <v>90</v>
      </c>
      <c r="B10" t="s">
        <v>176</v>
      </c>
      <c r="C10" t="s">
        <v>91</v>
      </c>
      <c r="D10">
        <f>10000000000*4</f>
        <v>40000000000</v>
      </c>
      <c r="E10">
        <v>5</v>
      </c>
      <c r="F10" t="s">
        <v>63</v>
      </c>
      <c r="G10" t="s">
        <v>52</v>
      </c>
    </row>
    <row r="11" spans="1:7" x14ac:dyDescent="0.2">
      <c r="A11" t="s">
        <v>92</v>
      </c>
      <c r="B11" t="s">
        <v>55</v>
      </c>
      <c r="C11" t="s">
        <v>94</v>
      </c>
      <c r="D11" s="12">
        <v>100000000000</v>
      </c>
      <c r="E11">
        <v>8</v>
      </c>
      <c r="F11" t="s">
        <v>54</v>
      </c>
      <c r="G11" t="s">
        <v>52</v>
      </c>
    </row>
    <row r="12" spans="1:7" x14ac:dyDescent="0.2">
      <c r="A12" t="s">
        <v>97</v>
      </c>
      <c r="B12" t="s">
        <v>55</v>
      </c>
      <c r="C12" t="s">
        <v>79</v>
      </c>
      <c r="D12">
        <f>10000000000*0.1</f>
        <v>1000000000</v>
      </c>
      <c r="E12">
        <f>ROUNDDOWN(30/7,1)</f>
        <v>4.2</v>
      </c>
      <c r="F12" t="s">
        <v>98</v>
      </c>
      <c r="G12" t="s">
        <v>52</v>
      </c>
    </row>
    <row r="13" spans="1:7" x14ac:dyDescent="0.2">
      <c r="A13" t="s">
        <v>105</v>
      </c>
      <c r="B13" t="s">
        <v>87</v>
      </c>
      <c r="C13" t="s">
        <v>106</v>
      </c>
      <c r="D13">
        <f>(3.4*10000000000000)</f>
        <v>34000000000000</v>
      </c>
      <c r="E13">
        <f>ROUNDDOWN(30/7, 1)</f>
        <v>4.2</v>
      </c>
      <c r="F13" t="s">
        <v>107</v>
      </c>
      <c r="G13" t="s">
        <v>52</v>
      </c>
    </row>
    <row r="14" spans="1:7" x14ac:dyDescent="0.2">
      <c r="A14" t="s">
        <v>112</v>
      </c>
      <c r="B14" t="s">
        <v>87</v>
      </c>
      <c r="C14" t="s">
        <v>113</v>
      </c>
      <c r="D14" t="s">
        <v>79</v>
      </c>
      <c r="E14">
        <f>ROUNDDOWN(100/7,1)</f>
        <v>14.2</v>
      </c>
      <c r="F14" t="s">
        <v>114</v>
      </c>
      <c r="G14" t="s">
        <v>115</v>
      </c>
    </row>
    <row r="15" spans="1:7" x14ac:dyDescent="0.2">
      <c r="A15" t="s">
        <v>117</v>
      </c>
      <c r="B15" t="s">
        <v>87</v>
      </c>
      <c r="C15" t="s">
        <v>118</v>
      </c>
      <c r="D15" s="12">
        <v>10000000000</v>
      </c>
      <c r="E15">
        <f>ROUNDDOWN(24/7,1)</f>
        <v>3.4</v>
      </c>
      <c r="F15" t="s">
        <v>51</v>
      </c>
      <c r="G15" t="s">
        <v>52</v>
      </c>
    </row>
    <row r="16" spans="1:7" x14ac:dyDescent="0.2">
      <c r="A16" t="s">
        <v>119</v>
      </c>
      <c r="B16" t="s">
        <v>55</v>
      </c>
      <c r="C16" t="s">
        <v>120</v>
      </c>
      <c r="D16" s="12">
        <v>10000000000</v>
      </c>
      <c r="E16">
        <f>ROUNDDOWN(24/7,1)</f>
        <v>3.4</v>
      </c>
      <c r="F16" t="s">
        <v>51</v>
      </c>
      <c r="G16" t="s">
        <v>52</v>
      </c>
    </row>
    <row r="17" spans="1:7" x14ac:dyDescent="0.2">
      <c r="A17" t="s">
        <v>124</v>
      </c>
      <c r="B17" t="s">
        <v>87</v>
      </c>
      <c r="C17" t="s">
        <v>79</v>
      </c>
      <c r="D17" t="s">
        <v>79</v>
      </c>
      <c r="E17">
        <v>4</v>
      </c>
      <c r="F17" t="s">
        <v>98</v>
      </c>
      <c r="G17" t="s">
        <v>52</v>
      </c>
    </row>
    <row r="18" spans="1:7" x14ac:dyDescent="0.2">
      <c r="A18" t="s">
        <v>125</v>
      </c>
      <c r="B18" t="s">
        <v>55</v>
      </c>
      <c r="C18">
        <v>420</v>
      </c>
      <c r="D18" s="12">
        <v>10000000000</v>
      </c>
      <c r="E18">
        <v>6</v>
      </c>
      <c r="F18" t="s">
        <v>63</v>
      </c>
      <c r="G18" t="s">
        <v>52</v>
      </c>
    </row>
    <row r="19" spans="1:7" x14ac:dyDescent="0.2">
      <c r="A19" t="s">
        <v>126</v>
      </c>
      <c r="B19" t="s">
        <v>55</v>
      </c>
      <c r="C19">
        <v>420</v>
      </c>
      <c r="D19" s="12">
        <v>10000000000</v>
      </c>
      <c r="E19">
        <v>4</v>
      </c>
      <c r="F19" t="s">
        <v>63</v>
      </c>
      <c r="G19" t="s">
        <v>52</v>
      </c>
    </row>
    <row r="20" spans="1:7" x14ac:dyDescent="0.2">
      <c r="A20" t="s">
        <v>128</v>
      </c>
      <c r="B20" t="s">
        <v>87</v>
      </c>
      <c r="C20" t="s">
        <v>129</v>
      </c>
      <c r="D20">
        <f>(5*10000000000)*0.2</f>
        <v>10000000000</v>
      </c>
      <c r="E20">
        <v>6</v>
      </c>
      <c r="F20" t="s">
        <v>130</v>
      </c>
      <c r="G20" t="s">
        <v>52</v>
      </c>
    </row>
    <row r="21" spans="1:7" x14ac:dyDescent="0.2">
      <c r="A21" t="s">
        <v>143</v>
      </c>
      <c r="B21" t="s">
        <v>87</v>
      </c>
      <c r="C21" t="s">
        <v>144</v>
      </c>
      <c r="D21" t="s">
        <v>79</v>
      </c>
      <c r="E21">
        <v>6</v>
      </c>
      <c r="F21" t="s">
        <v>145</v>
      </c>
      <c r="G21" t="s">
        <v>146</v>
      </c>
    </row>
    <row r="22" spans="1:7" x14ac:dyDescent="0.2">
      <c r="A22" t="s">
        <v>166</v>
      </c>
      <c r="B22" t="s">
        <v>55</v>
      </c>
      <c r="C22" t="s">
        <v>167</v>
      </c>
      <c r="D22" s="12">
        <v>100000000000</v>
      </c>
      <c r="E22">
        <f>ROUNDDOWN(84/7,1)</f>
        <v>12</v>
      </c>
      <c r="F22" t="s">
        <v>51</v>
      </c>
      <c r="G22" t="s">
        <v>52</v>
      </c>
    </row>
    <row r="23" spans="1:7" x14ac:dyDescent="0.2">
      <c r="A23" t="s">
        <v>168</v>
      </c>
      <c r="B23" t="s">
        <v>61</v>
      </c>
      <c r="C23" t="s">
        <v>171</v>
      </c>
      <c r="D23" s="12">
        <v>100000000000</v>
      </c>
      <c r="E23">
        <f>ROUNDDOWN(30/7,1)</f>
        <v>4.2</v>
      </c>
      <c r="F23" t="s">
        <v>172</v>
      </c>
      <c r="G23" t="s">
        <v>52</v>
      </c>
    </row>
    <row r="24" spans="1:7" x14ac:dyDescent="0.2">
      <c r="A24" t="s">
        <v>169</v>
      </c>
      <c r="B24" t="s">
        <v>109</v>
      </c>
      <c r="C24" t="s">
        <v>170</v>
      </c>
      <c r="D24">
        <f>5*100000000</f>
        <v>500000000</v>
      </c>
      <c r="E24">
        <v>12</v>
      </c>
      <c r="F24" t="s">
        <v>63</v>
      </c>
      <c r="G24" t="s">
        <v>146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D922CE-0E04-B740-AF38-A6BCF03AE11E}">
  <dimension ref="A1:J37"/>
  <sheetViews>
    <sheetView tabSelected="1" topLeftCell="A4" zoomScale="120" zoomScaleNormal="120" workbookViewId="0">
      <selection activeCell="C9" sqref="C9"/>
    </sheetView>
  </sheetViews>
  <sheetFormatPr baseColWidth="10" defaultRowHeight="16" x14ac:dyDescent="0.2"/>
  <cols>
    <col min="1" max="1" width="14" customWidth="1"/>
    <col min="3" max="3" width="13.5" customWidth="1"/>
    <col min="4" max="4" width="13.83203125" customWidth="1"/>
    <col min="7" max="7" width="12.1640625" customWidth="1"/>
    <col min="9" max="9" width="12.6640625" customWidth="1"/>
  </cols>
  <sheetData>
    <row r="1" spans="1:10" x14ac:dyDescent="0.2">
      <c r="A1" s="11" t="s">
        <v>0</v>
      </c>
      <c r="B1" s="11" t="s">
        <v>11</v>
      </c>
      <c r="C1" s="11" t="s">
        <v>1</v>
      </c>
      <c r="D1" s="11" t="s">
        <v>2</v>
      </c>
      <c r="E1" s="11" t="s">
        <v>3</v>
      </c>
      <c r="F1" s="11" t="s">
        <v>6</v>
      </c>
      <c r="G1" s="11" t="s">
        <v>4</v>
      </c>
      <c r="H1" s="11" t="s">
        <v>5</v>
      </c>
      <c r="I1" s="11" t="s">
        <v>7</v>
      </c>
      <c r="J1" s="11" t="s">
        <v>8</v>
      </c>
    </row>
    <row r="2" spans="1:10" x14ac:dyDescent="0.2">
      <c r="A2" t="s">
        <v>58</v>
      </c>
      <c r="B2" t="s">
        <v>43</v>
      </c>
      <c r="C2" t="s">
        <v>177</v>
      </c>
      <c r="D2" t="s">
        <v>178</v>
      </c>
      <c r="E2">
        <v>12</v>
      </c>
      <c r="F2">
        <v>12</v>
      </c>
      <c r="G2">
        <v>200.36</v>
      </c>
      <c r="H2">
        <v>37.090000000000003</v>
      </c>
      <c r="I2">
        <v>236.5</v>
      </c>
      <c r="J2">
        <v>35.53</v>
      </c>
    </row>
    <row r="3" spans="1:10" x14ac:dyDescent="0.2">
      <c r="A3" t="s">
        <v>58</v>
      </c>
      <c r="B3" t="s">
        <v>43</v>
      </c>
      <c r="C3" t="s">
        <v>177</v>
      </c>
      <c r="D3" t="s">
        <v>44</v>
      </c>
      <c r="E3">
        <v>12</v>
      </c>
      <c r="F3">
        <v>12</v>
      </c>
      <c r="G3">
        <v>200.36</v>
      </c>
      <c r="H3">
        <v>37.090000000000003</v>
      </c>
      <c r="I3">
        <v>230.4</v>
      </c>
      <c r="J3">
        <v>41.31</v>
      </c>
    </row>
    <row r="4" spans="1:10" x14ac:dyDescent="0.2">
      <c r="A4" t="s">
        <v>105</v>
      </c>
      <c r="B4" t="s">
        <v>43</v>
      </c>
      <c r="C4" t="s">
        <v>174</v>
      </c>
      <c r="D4" t="s">
        <v>175</v>
      </c>
      <c r="E4">
        <v>5</v>
      </c>
      <c r="F4">
        <v>5</v>
      </c>
      <c r="G4">
        <v>158.19999999999999</v>
      </c>
      <c r="H4">
        <f>9.7*SQRT(5)</f>
        <v>21.689859381747958</v>
      </c>
      <c r="I4">
        <v>210</v>
      </c>
      <c r="J4">
        <f>8.6*SQRT(5)</f>
        <v>19.230184606498192</v>
      </c>
    </row>
    <row r="5" spans="1:10" x14ac:dyDescent="0.2">
      <c r="A5" t="s">
        <v>105</v>
      </c>
      <c r="B5" t="s">
        <v>43</v>
      </c>
      <c r="C5" t="s">
        <v>174</v>
      </c>
      <c r="D5" t="s">
        <v>44</v>
      </c>
      <c r="E5">
        <v>5</v>
      </c>
      <c r="F5">
        <v>5</v>
      </c>
      <c r="G5">
        <v>158.19999999999999</v>
      </c>
      <c r="H5">
        <f>8.1*SQRT(5)</f>
        <v>18.112150617748295</v>
      </c>
      <c r="I5">
        <v>144</v>
      </c>
      <c r="J5">
        <f>2.2*SQRT(5)</f>
        <v>4.9193495504995379</v>
      </c>
    </row>
    <row r="6" spans="1:10" x14ac:dyDescent="0.2">
      <c r="A6" t="s">
        <v>92</v>
      </c>
      <c r="B6" t="s">
        <v>96</v>
      </c>
      <c r="C6" t="s">
        <v>177</v>
      </c>
      <c r="D6" t="s">
        <v>178</v>
      </c>
      <c r="E6">
        <v>9</v>
      </c>
      <c r="F6">
        <v>9</v>
      </c>
      <c r="G6">
        <v>917</v>
      </c>
      <c r="H6">
        <f>24.3*SQRT(9)</f>
        <v>72.900000000000006</v>
      </c>
      <c r="I6">
        <v>1050</v>
      </c>
      <c r="J6">
        <f>35.4*SQRT(9)</f>
        <v>106.19999999999999</v>
      </c>
    </row>
    <row r="7" spans="1:10" x14ac:dyDescent="0.2">
      <c r="A7" t="s">
        <v>166</v>
      </c>
      <c r="B7" t="s">
        <v>43</v>
      </c>
      <c r="C7" t="s">
        <v>183</v>
      </c>
      <c r="D7" t="s">
        <v>184</v>
      </c>
      <c r="E7">
        <v>9</v>
      </c>
      <c r="F7">
        <v>9</v>
      </c>
      <c r="G7">
        <f>9.6*18</f>
        <v>172.79999999999998</v>
      </c>
      <c r="H7">
        <f>(0.34*SQRT(9))*18</f>
        <v>18.36</v>
      </c>
      <c r="I7">
        <f>10.68*18</f>
        <v>192.24</v>
      </c>
      <c r="J7">
        <f>(0.41*SQRT(9))*18</f>
        <v>22.14</v>
      </c>
    </row>
    <row r="8" spans="1:10" x14ac:dyDescent="0.2">
      <c r="A8" t="s">
        <v>166</v>
      </c>
      <c r="B8" t="s">
        <v>43</v>
      </c>
      <c r="C8" t="s">
        <v>183</v>
      </c>
      <c r="D8" t="s">
        <v>44</v>
      </c>
      <c r="E8">
        <v>9</v>
      </c>
      <c r="F8">
        <v>9</v>
      </c>
      <c r="G8">
        <f>9.76*18</f>
        <v>175.68</v>
      </c>
      <c r="H8">
        <f>(0.26*SQRT(9))*18</f>
        <v>14.040000000000001</v>
      </c>
      <c r="I8">
        <f>8.47*18</f>
        <v>152.46</v>
      </c>
      <c r="J8">
        <f>(0.35*SQRT(9))*18</f>
        <v>18.899999999999999</v>
      </c>
    </row>
    <row r="9" spans="1:10" x14ac:dyDescent="0.2">
      <c r="A9" t="s">
        <v>80</v>
      </c>
      <c r="B9" t="s">
        <v>43</v>
      </c>
      <c r="C9" t="s">
        <v>177</v>
      </c>
      <c r="D9" t="s">
        <v>178</v>
      </c>
      <c r="E9">
        <v>6</v>
      </c>
      <c r="F9">
        <v>12</v>
      </c>
      <c r="G9">
        <v>219.8</v>
      </c>
      <c r="H9">
        <v>17.3</v>
      </c>
      <c r="I9">
        <v>265.5</v>
      </c>
      <c r="J9">
        <v>8.1</v>
      </c>
    </row>
    <row r="10" spans="1:10" x14ac:dyDescent="0.2">
      <c r="A10" t="s">
        <v>80</v>
      </c>
      <c r="B10" t="s">
        <v>43</v>
      </c>
      <c r="C10" t="s">
        <v>177</v>
      </c>
      <c r="D10" t="s">
        <v>44</v>
      </c>
      <c r="E10">
        <v>6</v>
      </c>
      <c r="F10">
        <v>12</v>
      </c>
      <c r="G10">
        <v>219.8</v>
      </c>
      <c r="H10">
        <v>17.3</v>
      </c>
      <c r="I10">
        <v>219.8</v>
      </c>
      <c r="J10">
        <v>9.1999999999999993</v>
      </c>
    </row>
    <row r="11" spans="1:10" x14ac:dyDescent="0.2">
      <c r="A11" t="s">
        <v>80</v>
      </c>
      <c r="B11" t="s">
        <v>43</v>
      </c>
      <c r="C11" t="s">
        <v>116</v>
      </c>
      <c r="D11" t="s">
        <v>44</v>
      </c>
      <c r="E11">
        <v>6</v>
      </c>
      <c r="F11">
        <v>12</v>
      </c>
      <c r="G11">
        <v>220</v>
      </c>
      <c r="H11">
        <v>11.7</v>
      </c>
      <c r="I11">
        <v>219.8</v>
      </c>
      <c r="J11">
        <v>9.1999999999999993</v>
      </c>
    </row>
    <row r="12" spans="1:10" x14ac:dyDescent="0.2">
      <c r="A12" t="s">
        <v>86</v>
      </c>
      <c r="B12" t="s">
        <v>43</v>
      </c>
      <c r="C12" t="s">
        <v>183</v>
      </c>
      <c r="D12" t="s">
        <v>184</v>
      </c>
      <c r="E12">
        <v>10</v>
      </c>
      <c r="F12">
        <v>10</v>
      </c>
      <c r="G12">
        <f>5.46*18</f>
        <v>98.28</v>
      </c>
      <c r="H12">
        <f>0.35*18</f>
        <v>6.3</v>
      </c>
      <c r="I12">
        <f>7.23*18</f>
        <v>130.14000000000001</v>
      </c>
      <c r="J12">
        <f>0.56*18</f>
        <v>10.080000000000002</v>
      </c>
    </row>
    <row r="13" spans="1:10" x14ac:dyDescent="0.2">
      <c r="A13" t="s">
        <v>86</v>
      </c>
      <c r="B13" t="s">
        <v>43</v>
      </c>
      <c r="C13" t="s">
        <v>183</v>
      </c>
      <c r="D13" t="s">
        <v>44</v>
      </c>
      <c r="E13">
        <v>10</v>
      </c>
      <c r="F13">
        <v>10</v>
      </c>
      <c r="G13">
        <f>5.46*18</f>
        <v>98.28</v>
      </c>
      <c r="H13">
        <f>0.35*18</f>
        <v>6.3</v>
      </c>
      <c r="I13">
        <f>4.87*18</f>
        <v>87.66</v>
      </c>
      <c r="J13">
        <f>0.14*18</f>
        <v>2.5200000000000005</v>
      </c>
    </row>
    <row r="14" spans="1:10" x14ac:dyDescent="0.2">
      <c r="A14" t="s">
        <v>97</v>
      </c>
      <c r="B14" t="s">
        <v>43</v>
      </c>
      <c r="C14" t="s">
        <v>177</v>
      </c>
      <c r="D14" t="s">
        <v>178</v>
      </c>
      <c r="E14">
        <v>6</v>
      </c>
      <c r="F14">
        <v>6</v>
      </c>
      <c r="G14">
        <v>106.3</v>
      </c>
      <c r="H14">
        <v>18.899999999999999</v>
      </c>
      <c r="I14">
        <v>114.7</v>
      </c>
      <c r="J14">
        <v>5.8</v>
      </c>
    </row>
    <row r="15" spans="1:10" x14ac:dyDescent="0.2">
      <c r="A15" t="s">
        <v>97</v>
      </c>
      <c r="B15" t="s">
        <v>43</v>
      </c>
      <c r="C15" t="s">
        <v>177</v>
      </c>
      <c r="D15" t="s">
        <v>44</v>
      </c>
      <c r="E15">
        <v>6</v>
      </c>
      <c r="F15">
        <v>6</v>
      </c>
      <c r="G15">
        <v>106.3</v>
      </c>
      <c r="H15">
        <v>18.899999999999999</v>
      </c>
      <c r="I15">
        <v>114.3</v>
      </c>
      <c r="J15">
        <v>19.100000000000001</v>
      </c>
    </row>
    <row r="16" spans="1:10" x14ac:dyDescent="0.2">
      <c r="A16" t="s">
        <v>128</v>
      </c>
      <c r="B16" t="s">
        <v>43</v>
      </c>
      <c r="C16" t="s">
        <v>182</v>
      </c>
      <c r="D16" t="s">
        <v>182</v>
      </c>
      <c r="E16">
        <v>8</v>
      </c>
      <c r="F16">
        <v>8</v>
      </c>
      <c r="G16">
        <f>11.54*18</f>
        <v>207.71999999999997</v>
      </c>
      <c r="H16">
        <f>3.38*18</f>
        <v>60.839999999999996</v>
      </c>
      <c r="I16">
        <f>25.58*18</f>
        <v>460.43999999999994</v>
      </c>
      <c r="J16">
        <f>5.11*18</f>
        <v>91.98</v>
      </c>
    </row>
    <row r="17" spans="1:10" x14ac:dyDescent="0.2">
      <c r="A17" t="s">
        <v>128</v>
      </c>
      <c r="B17" t="s">
        <v>43</v>
      </c>
      <c r="C17" t="s">
        <v>182</v>
      </c>
      <c r="D17" t="s">
        <v>44</v>
      </c>
      <c r="E17">
        <v>8</v>
      </c>
      <c r="F17">
        <v>8</v>
      </c>
      <c r="G17">
        <f>11.54*18</f>
        <v>207.71999999999997</v>
      </c>
      <c r="H17">
        <f>3.38*18</f>
        <v>60.839999999999996</v>
      </c>
      <c r="I17">
        <f>5.62*18</f>
        <v>101.16</v>
      </c>
      <c r="J17">
        <f>0.56*18</f>
        <v>10.080000000000002</v>
      </c>
    </row>
    <row r="18" spans="1:10" x14ac:dyDescent="0.2">
      <c r="A18" t="s">
        <v>143</v>
      </c>
      <c r="B18" t="s">
        <v>43</v>
      </c>
      <c r="C18" t="s">
        <v>116</v>
      </c>
      <c r="D18" t="s">
        <v>44</v>
      </c>
      <c r="E18">
        <v>8</v>
      </c>
      <c r="F18">
        <v>8</v>
      </c>
      <c r="G18">
        <v>148</v>
      </c>
      <c r="H18">
        <v>22</v>
      </c>
      <c r="I18">
        <v>147</v>
      </c>
      <c r="J18">
        <v>24</v>
      </c>
    </row>
    <row r="19" spans="1:10" x14ac:dyDescent="0.2">
      <c r="A19" t="s">
        <v>60</v>
      </c>
      <c r="B19" t="s">
        <v>43</v>
      </c>
      <c r="C19" t="s">
        <v>177</v>
      </c>
      <c r="D19" t="s">
        <v>178</v>
      </c>
      <c r="E19">
        <v>6</v>
      </c>
      <c r="F19">
        <v>6</v>
      </c>
      <c r="G19">
        <v>180.4</v>
      </c>
      <c r="H19">
        <v>20</v>
      </c>
      <c r="I19">
        <v>210.2</v>
      </c>
      <c r="J19">
        <v>21</v>
      </c>
    </row>
    <row r="20" spans="1:10" x14ac:dyDescent="0.2">
      <c r="A20" t="s">
        <v>124</v>
      </c>
      <c r="B20" t="s">
        <v>43</v>
      </c>
      <c r="C20" t="s">
        <v>177</v>
      </c>
      <c r="D20" t="s">
        <v>178</v>
      </c>
      <c r="E20">
        <v>8</v>
      </c>
      <c r="F20">
        <v>8</v>
      </c>
      <c r="G20">
        <v>77</v>
      </c>
      <c r="H20">
        <f>13.8*SQRT(8)</f>
        <v>39.032294321497425</v>
      </c>
      <c r="I20">
        <v>143.80000000000001</v>
      </c>
      <c r="J20">
        <f>12.24*SQRT(8)</f>
        <v>34.619948006893367</v>
      </c>
    </row>
    <row r="21" spans="1:10" x14ac:dyDescent="0.2">
      <c r="A21" t="s">
        <v>112</v>
      </c>
      <c r="B21" t="s">
        <v>43</v>
      </c>
      <c r="C21" t="s">
        <v>183</v>
      </c>
      <c r="D21" t="s">
        <v>184</v>
      </c>
      <c r="E21">
        <v>3</v>
      </c>
      <c r="F21">
        <v>3</v>
      </c>
      <c r="G21">
        <f>24.36*18</f>
        <v>438.48</v>
      </c>
      <c r="H21">
        <f>(1.45*SQRT(3))*18</f>
        <v>45.206526077547693</v>
      </c>
      <c r="I21">
        <f>26.82*18</f>
        <v>482.76</v>
      </c>
      <c r="J21">
        <f>(2.3*SQRT(3))*18</f>
        <v>71.706903433351513</v>
      </c>
    </row>
    <row r="22" spans="1:10" x14ac:dyDescent="0.2">
      <c r="A22" t="s">
        <v>186</v>
      </c>
      <c r="B22" t="s">
        <v>43</v>
      </c>
      <c r="C22" t="s">
        <v>177</v>
      </c>
      <c r="D22" t="s">
        <v>178</v>
      </c>
      <c r="E22">
        <v>10</v>
      </c>
      <c r="F22">
        <v>10</v>
      </c>
      <c r="G22">
        <v>176.05</v>
      </c>
      <c r="H22">
        <f>11.22*SQRT(10)</f>
        <v>35.480755347089222</v>
      </c>
      <c r="I22">
        <v>251.25</v>
      </c>
      <c r="J22">
        <f>8.97*SQRT(10)</f>
        <v>28.365630611710365</v>
      </c>
    </row>
    <row r="23" spans="1:10" x14ac:dyDescent="0.2">
      <c r="A23" t="s">
        <v>186</v>
      </c>
      <c r="B23" t="s">
        <v>43</v>
      </c>
      <c r="C23" t="s">
        <v>177</v>
      </c>
      <c r="D23" t="s">
        <v>44</v>
      </c>
      <c r="E23">
        <v>10</v>
      </c>
      <c r="F23">
        <v>10</v>
      </c>
      <c r="G23">
        <v>176.05</v>
      </c>
      <c r="H23">
        <f>11.22*SQRT(10)</f>
        <v>35.480755347089222</v>
      </c>
      <c r="I23">
        <v>161.93</v>
      </c>
      <c r="J23">
        <f>10.51*SQRT(10)</f>
        <v>33.235538208369668</v>
      </c>
    </row>
    <row r="24" spans="1:10" x14ac:dyDescent="0.2">
      <c r="A24" t="s">
        <v>186</v>
      </c>
      <c r="B24" t="s">
        <v>43</v>
      </c>
      <c r="C24" t="s">
        <v>116</v>
      </c>
      <c r="D24" t="s">
        <v>44</v>
      </c>
      <c r="E24">
        <v>10</v>
      </c>
      <c r="F24">
        <v>10</v>
      </c>
      <c r="G24">
        <v>147.19999999999999</v>
      </c>
      <c r="H24">
        <f>6.89*SQRT(10)</f>
        <v>21.788093078560134</v>
      </c>
      <c r="I24">
        <v>161.93</v>
      </c>
      <c r="J24">
        <f>10.51*SQRT(10)</f>
        <v>33.235538208369668</v>
      </c>
    </row>
    <row r="25" spans="1:10" x14ac:dyDescent="0.2">
      <c r="A25" t="s">
        <v>185</v>
      </c>
      <c r="B25" t="s">
        <v>43</v>
      </c>
      <c r="C25" t="s">
        <v>183</v>
      </c>
      <c r="D25" t="s">
        <v>184</v>
      </c>
      <c r="E25">
        <v>8</v>
      </c>
      <c r="F25">
        <v>8</v>
      </c>
      <c r="G25">
        <v>229.7</v>
      </c>
      <c r="H25">
        <f>19.6*SQRT(8)</f>
        <v>55.43717164502533</v>
      </c>
      <c r="I25">
        <v>290.10000000000002</v>
      </c>
      <c r="J25">
        <f>33.2*SQRT(8)</f>
        <v>93.903780541573525</v>
      </c>
    </row>
    <row r="26" spans="1:10" x14ac:dyDescent="0.2">
      <c r="A26" t="s">
        <v>185</v>
      </c>
      <c r="B26" t="s">
        <v>43</v>
      </c>
      <c r="C26" t="s">
        <v>183</v>
      </c>
      <c r="D26" t="s">
        <v>44</v>
      </c>
      <c r="E26">
        <v>8</v>
      </c>
      <c r="F26">
        <v>8</v>
      </c>
      <c r="G26">
        <v>229.7</v>
      </c>
      <c r="H26">
        <f>19.6*SQRT(8)</f>
        <v>55.43717164502533</v>
      </c>
      <c r="I26">
        <v>191.1</v>
      </c>
      <c r="J26">
        <f>4.9*SQRT(8)</f>
        <v>13.859292911256333</v>
      </c>
    </row>
    <row r="27" spans="1:10" x14ac:dyDescent="0.2">
      <c r="A27" t="s">
        <v>83</v>
      </c>
      <c r="B27" t="s">
        <v>43</v>
      </c>
      <c r="C27" t="s">
        <v>177</v>
      </c>
      <c r="D27" t="s">
        <v>178</v>
      </c>
      <c r="E27">
        <v>10</v>
      </c>
      <c r="F27">
        <v>10</v>
      </c>
      <c r="G27">
        <v>129.49</v>
      </c>
      <c r="H27">
        <v>5.07</v>
      </c>
      <c r="I27">
        <v>198.38</v>
      </c>
      <c r="J27">
        <v>4.84</v>
      </c>
    </row>
    <row r="28" spans="1:10" x14ac:dyDescent="0.2">
      <c r="A28" t="s">
        <v>83</v>
      </c>
      <c r="B28" t="s">
        <v>43</v>
      </c>
      <c r="C28" t="s">
        <v>177</v>
      </c>
      <c r="D28" t="s">
        <v>44</v>
      </c>
      <c r="E28">
        <v>10</v>
      </c>
      <c r="F28">
        <v>10</v>
      </c>
      <c r="G28">
        <v>129.49</v>
      </c>
      <c r="H28">
        <v>5.07</v>
      </c>
      <c r="I28">
        <v>122.15</v>
      </c>
      <c r="J28">
        <v>2.72</v>
      </c>
    </row>
    <row r="29" spans="1:10" x14ac:dyDescent="0.2">
      <c r="A29" t="s">
        <v>169</v>
      </c>
      <c r="B29" t="s">
        <v>43</v>
      </c>
      <c r="C29" t="s">
        <v>183</v>
      </c>
      <c r="D29" t="s">
        <v>184</v>
      </c>
      <c r="E29">
        <v>4</v>
      </c>
      <c r="F29">
        <v>4</v>
      </c>
      <c r="G29">
        <v>156</v>
      </c>
      <c r="H29">
        <f>8.3*SQRT(4)</f>
        <v>16.600000000000001</v>
      </c>
      <c r="I29">
        <v>153.80000000000001</v>
      </c>
      <c r="J29">
        <f>8.1*SQRT(4)</f>
        <v>16.2</v>
      </c>
    </row>
    <row r="30" spans="1:10" x14ac:dyDescent="0.2">
      <c r="A30" t="s">
        <v>169</v>
      </c>
      <c r="B30" t="s">
        <v>43</v>
      </c>
      <c r="C30" t="s">
        <v>116</v>
      </c>
      <c r="D30" t="s">
        <v>44</v>
      </c>
      <c r="E30">
        <v>4</v>
      </c>
      <c r="F30">
        <v>4</v>
      </c>
      <c r="G30">
        <v>105.8</v>
      </c>
      <c r="H30">
        <f>6*SQRT(4)</f>
        <v>12</v>
      </c>
      <c r="I30">
        <v>110.3</v>
      </c>
      <c r="J30">
        <f>6.3*SQRT(4)</f>
        <v>12.6</v>
      </c>
    </row>
    <row r="31" spans="1:10" x14ac:dyDescent="0.2">
      <c r="A31" t="s">
        <v>169</v>
      </c>
      <c r="B31" t="s">
        <v>43</v>
      </c>
      <c r="C31" t="s">
        <v>183</v>
      </c>
      <c r="D31" t="s">
        <v>44</v>
      </c>
      <c r="E31">
        <v>4</v>
      </c>
      <c r="F31">
        <v>4</v>
      </c>
      <c r="G31">
        <v>156</v>
      </c>
      <c r="H31">
        <f>8.3*SQRT(4)</f>
        <v>16.600000000000001</v>
      </c>
      <c r="I31">
        <v>110.3</v>
      </c>
      <c r="J31">
        <f>6.3*SQRT(4)</f>
        <v>12.6</v>
      </c>
    </row>
    <row r="32" spans="1:10" x14ac:dyDescent="0.2">
      <c r="A32" t="s">
        <v>125</v>
      </c>
      <c r="B32" t="s">
        <v>43</v>
      </c>
      <c r="C32" t="s">
        <v>177</v>
      </c>
      <c r="D32" t="s">
        <v>178</v>
      </c>
      <c r="E32">
        <v>10</v>
      </c>
      <c r="F32">
        <v>10</v>
      </c>
      <c r="G32">
        <f>6.9*18</f>
        <v>124.2</v>
      </c>
      <c r="H32">
        <f>(0.4*SQRT(10))</f>
        <v>1.264911064067352</v>
      </c>
      <c r="I32">
        <f>8.2*18</f>
        <v>147.6</v>
      </c>
      <c r="J32">
        <f>(0.4*SQRT(10))*18</f>
        <v>22.768399153212336</v>
      </c>
    </row>
    <row r="33" spans="1:10" x14ac:dyDescent="0.2">
      <c r="A33" t="s">
        <v>125</v>
      </c>
      <c r="B33" t="s">
        <v>43</v>
      </c>
      <c r="C33" t="s">
        <v>177</v>
      </c>
      <c r="D33" t="s">
        <v>44</v>
      </c>
      <c r="E33">
        <v>10</v>
      </c>
      <c r="F33">
        <v>10</v>
      </c>
      <c r="G33">
        <f>6.9*18</f>
        <v>124.2</v>
      </c>
      <c r="H33">
        <f>(0.4*SQRT(10))*18</f>
        <v>22.768399153212336</v>
      </c>
      <c r="I33">
        <f>6.7*18</f>
        <v>120.60000000000001</v>
      </c>
      <c r="J33">
        <f>(0.3*SQRT(10))*18</f>
        <v>17.076299364909246</v>
      </c>
    </row>
    <row r="34" spans="1:10" x14ac:dyDescent="0.2">
      <c r="A34" t="s">
        <v>126</v>
      </c>
      <c r="B34" t="s">
        <v>127</v>
      </c>
      <c r="C34" t="s">
        <v>174</v>
      </c>
      <c r="D34" t="s">
        <v>175</v>
      </c>
      <c r="E34">
        <v>9</v>
      </c>
      <c r="F34">
        <v>9</v>
      </c>
      <c r="G34">
        <v>2140</v>
      </c>
      <c r="H34">
        <v>93</v>
      </c>
      <c r="I34">
        <v>2340</v>
      </c>
      <c r="J34">
        <v>107</v>
      </c>
    </row>
    <row r="35" spans="1:10" x14ac:dyDescent="0.2">
      <c r="A35" t="s">
        <v>126</v>
      </c>
      <c r="B35" t="s">
        <v>43</v>
      </c>
      <c r="C35" t="s">
        <v>174</v>
      </c>
      <c r="D35" t="s">
        <v>175</v>
      </c>
      <c r="E35">
        <v>9</v>
      </c>
      <c r="F35">
        <v>9</v>
      </c>
      <c r="G35">
        <f>9.77*18</f>
        <v>175.85999999999999</v>
      </c>
      <c r="H35">
        <f>(0.31*SQRT(9))*18</f>
        <v>16.739999999999998</v>
      </c>
      <c r="I35">
        <f>10.8*18</f>
        <v>194.4</v>
      </c>
      <c r="J35">
        <f>(0.33*SQRT(9))*18</f>
        <v>17.82</v>
      </c>
    </row>
    <row r="36" spans="1:10" x14ac:dyDescent="0.2">
      <c r="A36" t="s">
        <v>53</v>
      </c>
      <c r="B36" t="s">
        <v>45</v>
      </c>
      <c r="C36" t="s">
        <v>179</v>
      </c>
      <c r="D36" t="s">
        <v>180</v>
      </c>
      <c r="E36">
        <v>6</v>
      </c>
      <c r="F36">
        <v>6</v>
      </c>
      <c r="G36">
        <v>10.65</v>
      </c>
      <c r="H36">
        <v>1.03</v>
      </c>
      <c r="I36">
        <v>13.19</v>
      </c>
      <c r="J36">
        <v>0.7</v>
      </c>
    </row>
    <row r="37" spans="1:10" x14ac:dyDescent="0.2">
      <c r="A37" t="s">
        <v>53</v>
      </c>
      <c r="B37" t="s">
        <v>45</v>
      </c>
      <c r="C37" t="s">
        <v>181</v>
      </c>
      <c r="D37" t="s">
        <v>44</v>
      </c>
      <c r="E37">
        <v>6</v>
      </c>
      <c r="F37">
        <v>6</v>
      </c>
      <c r="G37">
        <v>10.65</v>
      </c>
      <c r="H37">
        <v>1.03</v>
      </c>
      <c r="I37">
        <v>5.95</v>
      </c>
      <c r="J37">
        <v>0.27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ECFE2-760A-CE49-B457-7609BE961300}">
  <dimension ref="A1:G10"/>
  <sheetViews>
    <sheetView workbookViewId="0">
      <selection activeCell="A2" sqref="A2:A10"/>
    </sheetView>
  </sheetViews>
  <sheetFormatPr baseColWidth="10" defaultRowHeight="16" x14ac:dyDescent="0.2"/>
  <cols>
    <col min="1" max="1" width="21.83203125" customWidth="1"/>
    <col min="4" max="4" width="12.1640625" bestFit="1" customWidth="1"/>
  </cols>
  <sheetData>
    <row r="1" spans="1:7" ht="17" thickBot="1" x14ac:dyDescent="0.25">
      <c r="A1" s="14" t="s">
        <v>0</v>
      </c>
      <c r="B1" s="14" t="s">
        <v>33</v>
      </c>
      <c r="C1" s="14" t="s">
        <v>34</v>
      </c>
      <c r="D1" s="14" t="s">
        <v>9</v>
      </c>
      <c r="E1" s="14" t="s">
        <v>10</v>
      </c>
      <c r="F1" s="14" t="s">
        <v>65</v>
      </c>
      <c r="G1" s="15" t="s">
        <v>173</v>
      </c>
    </row>
    <row r="2" spans="1:7" x14ac:dyDescent="0.2">
      <c r="A2" t="s">
        <v>64</v>
      </c>
      <c r="B2" t="s">
        <v>61</v>
      </c>
      <c r="C2" t="s">
        <v>67</v>
      </c>
      <c r="D2">
        <f>2*100000000000</f>
        <v>200000000000</v>
      </c>
      <c r="E2">
        <v>16</v>
      </c>
      <c r="F2" t="s">
        <v>68</v>
      </c>
      <c r="G2" t="s">
        <v>70</v>
      </c>
    </row>
    <row r="3" spans="1:7" x14ac:dyDescent="0.2">
      <c r="A3" t="s">
        <v>75</v>
      </c>
      <c r="B3" t="s">
        <v>49</v>
      </c>
      <c r="C3" t="s">
        <v>76</v>
      </c>
      <c r="D3">
        <f>(3*100000000000)*2</f>
        <v>600000000000</v>
      </c>
      <c r="E3">
        <v>3</v>
      </c>
      <c r="F3" t="s">
        <v>77</v>
      </c>
      <c r="G3" t="s">
        <v>78</v>
      </c>
    </row>
    <row r="4" spans="1:7" x14ac:dyDescent="0.2">
      <c r="A4" t="s">
        <v>108</v>
      </c>
      <c r="B4" t="s">
        <v>109</v>
      </c>
      <c r="C4" t="s">
        <v>79</v>
      </c>
      <c r="D4">
        <f>2*1000000000</f>
        <v>2000000000</v>
      </c>
      <c r="E4">
        <v>16</v>
      </c>
      <c r="F4" t="s">
        <v>68</v>
      </c>
      <c r="G4" t="s">
        <v>110</v>
      </c>
    </row>
    <row r="5" spans="1:7" x14ac:dyDescent="0.2">
      <c r="A5" t="s">
        <v>121</v>
      </c>
      <c r="B5" t="s">
        <v>61</v>
      </c>
      <c r="C5" t="s">
        <v>122</v>
      </c>
      <c r="D5">
        <f>5*100000000000</f>
        <v>500000000000</v>
      </c>
      <c r="E5">
        <v>12</v>
      </c>
      <c r="F5" t="s">
        <v>68</v>
      </c>
      <c r="G5" t="s">
        <v>123</v>
      </c>
    </row>
    <row r="6" spans="1:7" x14ac:dyDescent="0.2">
      <c r="A6" t="s">
        <v>135</v>
      </c>
      <c r="B6" t="s">
        <v>131</v>
      </c>
      <c r="C6" t="s">
        <v>132</v>
      </c>
      <c r="D6">
        <f>2.5*10000000000</f>
        <v>25000000000</v>
      </c>
      <c r="E6">
        <v>6</v>
      </c>
      <c r="F6" t="s">
        <v>68</v>
      </c>
      <c r="G6" t="s">
        <v>133</v>
      </c>
    </row>
    <row r="7" spans="1:7" x14ac:dyDescent="0.2">
      <c r="A7" t="s">
        <v>134</v>
      </c>
      <c r="B7" t="s">
        <v>136</v>
      </c>
      <c r="C7" t="s">
        <v>137</v>
      </c>
      <c r="D7">
        <f>5*10000000000</f>
        <v>50000000000</v>
      </c>
      <c r="E7">
        <v>6</v>
      </c>
      <c r="F7" t="s">
        <v>68</v>
      </c>
      <c r="G7" t="s">
        <v>133</v>
      </c>
    </row>
    <row r="8" spans="1:7" x14ac:dyDescent="0.2">
      <c r="A8" t="s">
        <v>138</v>
      </c>
      <c r="B8" t="s">
        <v>136</v>
      </c>
      <c r="C8">
        <v>420</v>
      </c>
      <c r="D8" s="12">
        <v>100000000000</v>
      </c>
      <c r="E8">
        <f>6*4</f>
        <v>24</v>
      </c>
      <c r="F8" t="s">
        <v>139</v>
      </c>
      <c r="G8" t="s">
        <v>140</v>
      </c>
    </row>
    <row r="9" spans="1:7" x14ac:dyDescent="0.2">
      <c r="A9" t="s">
        <v>147</v>
      </c>
      <c r="B9" t="s">
        <v>93</v>
      </c>
      <c r="C9" t="s">
        <v>149</v>
      </c>
      <c r="D9" s="12">
        <f>(3.4*1000000000)*80</f>
        <v>272000000000</v>
      </c>
      <c r="E9">
        <f>ROUNDDOWN(45/7,1)</f>
        <v>6.4</v>
      </c>
      <c r="F9" t="s">
        <v>77</v>
      </c>
      <c r="G9" t="s">
        <v>148</v>
      </c>
    </row>
    <row r="10" spans="1:7" x14ac:dyDescent="0.2">
      <c r="A10" t="s">
        <v>164</v>
      </c>
      <c r="B10" t="s">
        <v>87</v>
      </c>
      <c r="C10" t="s">
        <v>165</v>
      </c>
      <c r="D10">
        <f>1*100000000000</f>
        <v>100000000000</v>
      </c>
      <c r="E10">
        <v>12</v>
      </c>
      <c r="F10" t="s">
        <v>68</v>
      </c>
      <c r="G10" t="s">
        <v>140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F68F3-1A0A-CD4A-B61D-C98D6B703BFC}">
  <dimension ref="A1:Z16"/>
  <sheetViews>
    <sheetView workbookViewId="0">
      <pane xSplit="1" topLeftCell="B1" activePane="topRight" state="frozen"/>
      <selection pane="topRight" activeCell="F21" sqref="F21"/>
    </sheetView>
  </sheetViews>
  <sheetFormatPr baseColWidth="10" defaultRowHeight="16" x14ac:dyDescent="0.2"/>
  <cols>
    <col min="1" max="1" width="18" customWidth="1"/>
    <col min="5" max="5" width="12.1640625" customWidth="1"/>
    <col min="7" max="7" width="12.6640625" customWidth="1"/>
    <col min="9" max="9" width="20" customWidth="1"/>
    <col min="10" max="10" width="17.1640625" customWidth="1"/>
    <col min="11" max="11" width="20.5" customWidth="1"/>
    <col min="12" max="12" width="17.6640625" customWidth="1"/>
  </cols>
  <sheetData>
    <row r="1" spans="1:26" x14ac:dyDescent="0.2">
      <c r="A1" s="13" t="s">
        <v>0</v>
      </c>
      <c r="B1" s="13" t="s">
        <v>11</v>
      </c>
      <c r="C1" s="13" t="s">
        <v>3</v>
      </c>
      <c r="D1" s="13" t="s">
        <v>6</v>
      </c>
      <c r="E1" s="13" t="s">
        <v>4</v>
      </c>
      <c r="F1" s="13" t="s">
        <v>5</v>
      </c>
      <c r="G1" s="13" t="s">
        <v>7</v>
      </c>
      <c r="H1" s="13" t="s">
        <v>8</v>
      </c>
      <c r="I1" s="20" t="s">
        <v>71</v>
      </c>
      <c r="J1" s="20" t="s">
        <v>72</v>
      </c>
      <c r="K1" s="20" t="s">
        <v>73</v>
      </c>
      <c r="L1" s="20" t="s">
        <v>74</v>
      </c>
      <c r="M1" s="20" t="s">
        <v>150</v>
      </c>
      <c r="N1" s="20" t="s">
        <v>151</v>
      </c>
      <c r="O1" s="20" t="s">
        <v>152</v>
      </c>
      <c r="P1" s="20" t="s">
        <v>157</v>
      </c>
      <c r="Q1" s="20" t="s">
        <v>153</v>
      </c>
      <c r="R1" s="20" t="s">
        <v>154</v>
      </c>
      <c r="S1" s="20" t="s">
        <v>155</v>
      </c>
      <c r="T1" s="20" t="s">
        <v>156</v>
      </c>
      <c r="U1" s="20" t="s">
        <v>158</v>
      </c>
      <c r="V1" s="20" t="s">
        <v>159</v>
      </c>
      <c r="W1" s="20" t="s">
        <v>160</v>
      </c>
      <c r="X1" s="20" t="s">
        <v>161</v>
      </c>
      <c r="Y1" s="20" t="s">
        <v>162</v>
      </c>
      <c r="Z1" s="20" t="s">
        <v>163</v>
      </c>
    </row>
    <row r="2" spans="1:26" x14ac:dyDescent="0.2">
      <c r="A2" t="s">
        <v>64</v>
      </c>
      <c r="B2" t="s">
        <v>43</v>
      </c>
      <c r="C2">
        <v>40</v>
      </c>
      <c r="D2">
        <v>40</v>
      </c>
      <c r="E2">
        <v>91</v>
      </c>
      <c r="F2">
        <v>0.9</v>
      </c>
      <c r="G2">
        <v>92.9</v>
      </c>
      <c r="H2">
        <v>1.4</v>
      </c>
      <c r="I2">
        <v>89</v>
      </c>
      <c r="J2">
        <v>1.2</v>
      </c>
      <c r="K2">
        <v>88.7</v>
      </c>
      <c r="L2">
        <v>1.1000000000000001</v>
      </c>
    </row>
    <row r="3" spans="1:26" hidden="1" x14ac:dyDescent="0.2">
      <c r="A3" t="s">
        <v>64</v>
      </c>
      <c r="B3" t="s">
        <v>45</v>
      </c>
      <c r="C3">
        <v>40</v>
      </c>
      <c r="D3">
        <v>40</v>
      </c>
      <c r="E3">
        <v>5.4</v>
      </c>
      <c r="F3">
        <v>0.04</v>
      </c>
      <c r="G3">
        <v>5.4</v>
      </c>
      <c r="H3">
        <v>0.04</v>
      </c>
      <c r="I3">
        <v>5.34</v>
      </c>
      <c r="J3">
        <v>0.05</v>
      </c>
      <c r="K3">
        <v>5.32</v>
      </c>
      <c r="L3">
        <v>0.05</v>
      </c>
    </row>
    <row r="4" spans="1:26" x14ac:dyDescent="0.2">
      <c r="A4" t="s">
        <v>147</v>
      </c>
      <c r="B4" t="s">
        <v>43</v>
      </c>
      <c r="C4">
        <v>26</v>
      </c>
      <c r="D4">
        <v>25</v>
      </c>
      <c r="E4">
        <v>97</v>
      </c>
      <c r="F4" t="s">
        <v>79</v>
      </c>
      <c r="G4">
        <v>99</v>
      </c>
      <c r="H4" t="s">
        <v>79</v>
      </c>
      <c r="I4">
        <v>94</v>
      </c>
      <c r="J4" t="s">
        <v>79</v>
      </c>
      <c r="K4">
        <v>98</v>
      </c>
      <c r="L4" t="s">
        <v>79</v>
      </c>
      <c r="M4">
        <v>88.3</v>
      </c>
      <c r="N4">
        <v>124.3</v>
      </c>
      <c r="O4">
        <v>91</v>
      </c>
      <c r="P4">
        <v>113</v>
      </c>
      <c r="Q4">
        <v>82.5</v>
      </c>
      <c r="R4">
        <v>115.5</v>
      </c>
      <c r="S4">
        <v>94</v>
      </c>
      <c r="T4">
        <v>115.5</v>
      </c>
    </row>
    <row r="5" spans="1:26" x14ac:dyDescent="0.2">
      <c r="A5" t="s">
        <v>135</v>
      </c>
      <c r="B5" t="s">
        <v>43</v>
      </c>
      <c r="C5">
        <v>32</v>
      </c>
      <c r="D5">
        <v>98</v>
      </c>
      <c r="E5">
        <f>(0.04+5.83)*18</f>
        <v>105.66</v>
      </c>
      <c r="F5">
        <f>(0.08*SQRT(32))*18</f>
        <v>8.1458701192690288</v>
      </c>
      <c r="G5">
        <f>(5.77+0.06)*18</f>
        <v>104.93999999999998</v>
      </c>
      <c r="H5">
        <f>(0.08*SQRT(98))*18</f>
        <v>14.255272708720797</v>
      </c>
      <c r="I5">
        <f>5.83*18</f>
        <v>104.94</v>
      </c>
      <c r="J5">
        <f>(0.17*(SQRT(32))*18)</f>
        <v>17.309974003446687</v>
      </c>
      <c r="K5">
        <f>5.77*18</f>
        <v>103.85999999999999</v>
      </c>
      <c r="L5">
        <f>(0.17*SQRT(98))*18</f>
        <v>30.292454506031699</v>
      </c>
    </row>
    <row r="6" spans="1:26" x14ac:dyDescent="0.2">
      <c r="A6" t="s">
        <v>134</v>
      </c>
      <c r="B6" t="s">
        <v>43</v>
      </c>
      <c r="C6">
        <v>33</v>
      </c>
      <c r="D6">
        <v>98</v>
      </c>
      <c r="E6">
        <f>(0.01+6.05)*18</f>
        <v>109.08</v>
      </c>
      <c r="F6">
        <f>(0.12*SQRT(33))*18</f>
        <v>12.408255316522141</v>
      </c>
      <c r="G6">
        <f>(0.06+5.77)*18</f>
        <v>104.93999999999998</v>
      </c>
      <c r="H6">
        <f>(0.08*SQRT(98))*18</f>
        <v>14.255272708720797</v>
      </c>
      <c r="I6">
        <f>6.05*18</f>
        <v>108.89999999999999</v>
      </c>
      <c r="J6">
        <f>(0.17*SQRT(98))</f>
        <v>1.6829141392239833</v>
      </c>
      <c r="K6">
        <f>5.77*18</f>
        <v>103.85999999999999</v>
      </c>
      <c r="L6">
        <f>(0.17*SQRT(98))*18</f>
        <v>30.292454506031699</v>
      </c>
    </row>
    <row r="7" spans="1:26" x14ac:dyDescent="0.2">
      <c r="A7" t="s">
        <v>121</v>
      </c>
      <c r="B7" t="s">
        <v>43</v>
      </c>
      <c r="C7">
        <v>19</v>
      </c>
      <c r="D7">
        <v>25</v>
      </c>
      <c r="E7">
        <f>9.39*18</f>
        <v>169.02</v>
      </c>
      <c r="F7">
        <f>(0.66*SQRT(19))*18</f>
        <v>51.783719449263216</v>
      </c>
      <c r="G7">
        <f>8.6*18</f>
        <v>154.79999999999998</v>
      </c>
      <c r="H7">
        <f>(0.74*SQRT(25))</f>
        <v>3.7</v>
      </c>
      <c r="I7">
        <f>9.88*18</f>
        <v>177.84</v>
      </c>
      <c r="J7">
        <f>(0.9*SQRT(19))</f>
        <v>3.9230090491866068</v>
      </c>
      <c r="K7">
        <f>8.63*18</f>
        <v>155.34</v>
      </c>
      <c r="L7">
        <f>(0.72*SQRT(25))*18</f>
        <v>64.8</v>
      </c>
    </row>
    <row r="8" spans="1:26" hidden="1" x14ac:dyDescent="0.2">
      <c r="A8" t="s">
        <v>121</v>
      </c>
      <c r="B8" t="s">
        <v>45</v>
      </c>
      <c r="C8">
        <v>19</v>
      </c>
      <c r="D8">
        <v>25</v>
      </c>
      <c r="E8">
        <v>7.8</v>
      </c>
      <c r="F8">
        <f>0.3*SQRT(19)</f>
        <v>1.3076696830622021</v>
      </c>
      <c r="G8">
        <v>7.3</v>
      </c>
      <c r="H8">
        <f>0.3*SQRT(25)</f>
        <v>1.5</v>
      </c>
      <c r="I8">
        <v>7.5</v>
      </c>
      <c r="J8">
        <f>0.3*SQRT(19)</f>
        <v>1.3076696830622021</v>
      </c>
      <c r="K8">
        <v>7</v>
      </c>
      <c r="L8">
        <f>0.3*SQRT(25)</f>
        <v>1.5</v>
      </c>
    </row>
    <row r="9" spans="1:26" x14ac:dyDescent="0.2">
      <c r="A9" t="s">
        <v>108</v>
      </c>
      <c r="B9" t="s">
        <v>43</v>
      </c>
      <c r="C9">
        <v>100</v>
      </c>
      <c r="D9">
        <v>99</v>
      </c>
      <c r="E9">
        <f>6.43*18</f>
        <v>115.74</v>
      </c>
      <c r="F9">
        <f>0.93*18</f>
        <v>16.740000000000002</v>
      </c>
      <c r="G9">
        <f>6.67*18</f>
        <v>120.06</v>
      </c>
      <c r="H9">
        <f>1.34*18</f>
        <v>24.12</v>
      </c>
      <c r="I9">
        <f>6.49*18</f>
        <v>116.82000000000001</v>
      </c>
      <c r="J9">
        <f>0.64*18</f>
        <v>11.52</v>
      </c>
      <c r="K9">
        <f>6.43*18</f>
        <v>115.74</v>
      </c>
      <c r="L9">
        <f>0.71*18</f>
        <v>12.78</v>
      </c>
    </row>
    <row r="10" spans="1:26" hidden="1" x14ac:dyDescent="0.2">
      <c r="A10" t="s">
        <v>108</v>
      </c>
      <c r="B10" t="s">
        <v>111</v>
      </c>
      <c r="C10">
        <v>100</v>
      </c>
      <c r="D10">
        <v>99</v>
      </c>
      <c r="E10">
        <f>11.33*18</f>
        <v>203.94</v>
      </c>
      <c r="F10">
        <f>3.5*18</f>
        <v>63</v>
      </c>
      <c r="G10">
        <f>11.49*18</f>
        <v>206.82</v>
      </c>
      <c r="H10">
        <f>3.66*18</f>
        <v>65.88</v>
      </c>
      <c r="I10">
        <f>11.4*18</f>
        <v>205.20000000000002</v>
      </c>
      <c r="J10">
        <f>3.08*18</f>
        <v>55.44</v>
      </c>
      <c r="K10">
        <f>11.4*18</f>
        <v>205.20000000000002</v>
      </c>
      <c r="L10">
        <f>3.08*18</f>
        <v>55.44</v>
      </c>
    </row>
    <row r="11" spans="1:26" hidden="1" x14ac:dyDescent="0.2">
      <c r="A11" t="s">
        <v>108</v>
      </c>
      <c r="B11" t="s">
        <v>45</v>
      </c>
      <c r="C11">
        <v>100</v>
      </c>
      <c r="D11">
        <v>99</v>
      </c>
      <c r="E11">
        <v>6.15</v>
      </c>
      <c r="F11">
        <v>0.61</v>
      </c>
      <c r="G11">
        <v>6.14</v>
      </c>
      <c r="H11">
        <v>0.66</v>
      </c>
      <c r="I11">
        <v>6.19</v>
      </c>
      <c r="J11">
        <v>0.59</v>
      </c>
      <c r="K11">
        <v>6.23</v>
      </c>
      <c r="L11">
        <v>0.68</v>
      </c>
    </row>
    <row r="12" spans="1:26" x14ac:dyDescent="0.2">
      <c r="A12" t="s">
        <v>164</v>
      </c>
      <c r="B12" t="s">
        <v>43</v>
      </c>
      <c r="C12">
        <v>74</v>
      </c>
      <c r="D12">
        <v>48</v>
      </c>
      <c r="E12">
        <f>4.78*18</f>
        <v>86.04</v>
      </c>
      <c r="F12">
        <f>(0.05*SQRT(74))*18</f>
        <v>7.7420927403383644</v>
      </c>
      <c r="G12">
        <f>5.01*18</f>
        <v>90.179999999999993</v>
      </c>
      <c r="H12">
        <f>(0.08*SQRT(48))*18</f>
        <v>9.9766126515967333</v>
      </c>
      <c r="I12">
        <f>4.96*18</f>
        <v>89.28</v>
      </c>
      <c r="J12">
        <f>(0.06*SQRT(74))*18</f>
        <v>9.2905112884060372</v>
      </c>
      <c r="K12">
        <f>4.81*18</f>
        <v>86.58</v>
      </c>
      <c r="L12">
        <f>(0.09*SQRT(48))*18</f>
        <v>11.223689233046322</v>
      </c>
    </row>
    <row r="13" spans="1:26" hidden="1" x14ac:dyDescent="0.2">
      <c r="A13" t="s">
        <v>164</v>
      </c>
      <c r="B13" t="s">
        <v>45</v>
      </c>
      <c r="C13">
        <v>74</v>
      </c>
      <c r="D13">
        <v>48</v>
      </c>
      <c r="E13">
        <f>(0.0915*33.1)+2.15</f>
        <v>5.1786499999999993</v>
      </c>
      <c r="F13">
        <f>(0.0915*(0.3*SQRT(74)))+2.15</f>
        <v>2.38613382858032</v>
      </c>
      <c r="G13">
        <f>(0.0915*33.5)+2.15</f>
        <v>5.2152499999999993</v>
      </c>
      <c r="H13">
        <f>(0.0915*(0.6*SQRT(48)))+2.15</f>
        <v>2.5303583573421253</v>
      </c>
      <c r="I13">
        <f>(0.0915*36.8)+2.15</f>
        <v>5.517199999999999</v>
      </c>
      <c r="J13">
        <f>(0.0915*(0.4*SQRT(74)))+2.15</f>
        <v>2.4648451047737598</v>
      </c>
      <c r="K13">
        <f>(0.0915*37.1)+2.15</f>
        <v>5.5446499999999999</v>
      </c>
      <c r="L13">
        <f>(0.0915*(0.6*SQRT(48)))+2.15</f>
        <v>2.5303583573421253</v>
      </c>
    </row>
    <row r="14" spans="1:26" x14ac:dyDescent="0.2">
      <c r="A14" t="s">
        <v>138</v>
      </c>
      <c r="B14" t="s">
        <v>43</v>
      </c>
      <c r="C14">
        <v>48</v>
      </c>
      <c r="D14">
        <v>56</v>
      </c>
      <c r="E14">
        <f>5.23*18</f>
        <v>94.140000000000015</v>
      </c>
      <c r="F14">
        <f>0.43*18</f>
        <v>7.74</v>
      </c>
      <c r="G14">
        <f>5.31*18</f>
        <v>95.58</v>
      </c>
      <c r="H14">
        <f>0.51*18</f>
        <v>9.18</v>
      </c>
      <c r="I14">
        <f>5.18*18</f>
        <v>93.24</v>
      </c>
      <c r="J14">
        <f>0.43*18</f>
        <v>7.74</v>
      </c>
      <c r="K14">
        <f>5.24*18</f>
        <v>94.320000000000007</v>
      </c>
      <c r="L14">
        <f>0.5*18</f>
        <v>9</v>
      </c>
    </row>
    <row r="15" spans="1:26" hidden="1" x14ac:dyDescent="0.2">
      <c r="A15" t="s">
        <v>138</v>
      </c>
      <c r="B15" t="s">
        <v>45</v>
      </c>
      <c r="C15">
        <v>48</v>
      </c>
      <c r="D15">
        <v>56</v>
      </c>
      <c r="E15">
        <f>(0.0915*35.2)+2.15</f>
        <v>5.3708</v>
      </c>
      <c r="F15">
        <f>(3.5*0.0915)*2.15</f>
        <v>0.68853749999999991</v>
      </c>
      <c r="G15">
        <f>(0.0915*35.4)+2.15</f>
        <v>5.3890999999999991</v>
      </c>
      <c r="H15">
        <f>(3.8*0.0915)+2.15</f>
        <v>2.4977</v>
      </c>
      <c r="I15">
        <f>(35.3*0.0915)+2.15</f>
        <v>5.3799499999999991</v>
      </c>
      <c r="J15">
        <f>(0.0915*3.4)+2.15</f>
        <v>2.4611000000000001</v>
      </c>
      <c r="K15">
        <f>(35*0.0915)+2.15</f>
        <v>5.3525</v>
      </c>
      <c r="L15">
        <f>(3.2*0.0915)+2.15</f>
        <v>2.4428000000000001</v>
      </c>
    </row>
    <row r="16" spans="1:26" x14ac:dyDescent="0.2">
      <c r="A16" t="s">
        <v>75</v>
      </c>
      <c r="B16" t="s">
        <v>43</v>
      </c>
      <c r="C16">
        <v>47</v>
      </c>
      <c r="D16" t="s">
        <v>79</v>
      </c>
      <c r="E16">
        <f>6.11*18</f>
        <v>109.98</v>
      </c>
      <c r="F16">
        <f>2.12*18</f>
        <v>38.160000000000004</v>
      </c>
      <c r="G16" t="s">
        <v>79</v>
      </c>
      <c r="H16" t="s">
        <v>79</v>
      </c>
      <c r="I16">
        <f>6.17*18</f>
        <v>111.06</v>
      </c>
      <c r="J16">
        <f>2.03*18</f>
        <v>36.54</v>
      </c>
      <c r="K16" t="s">
        <v>79</v>
      </c>
      <c r="L16" t="s">
        <v>79</v>
      </c>
    </row>
  </sheetData>
  <pageMargins left="0.7" right="0.7" top="0.75" bottom="0.75" header="0.3" footer="0.3"/>
  <tableParts count="1">
    <tablePart r:id="rId1"/>
  </tableParts>
</worksheet>
</file>

<file path=docMetadata/LabelInfo.xml><?xml version="1.0" encoding="utf-8"?>
<clbl:labelList xmlns:clbl="http://schemas.microsoft.com/office/2020/mipLabelMetadata">
  <clbl:label id="{7cf48d45-3ddb-4389-a9c1-c115526eb52e}" enabled="0" method="" siteId="{7cf48d45-3ddb-4389-a9c1-c115526eb52e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README</vt:lpstr>
      <vt:lpstr>animal_random-effects</vt:lpstr>
      <vt:lpstr>animal_data</vt:lpstr>
      <vt:lpstr>human_random-effects</vt:lpstr>
      <vt:lpstr>human_data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Van Syoc, Emily P</cp:lastModifiedBy>
  <dcterms:created xsi:type="dcterms:W3CDTF">2023-01-03T18:30:12Z</dcterms:created>
  <dcterms:modified xsi:type="dcterms:W3CDTF">2023-04-13T14:42:43Z</dcterms:modified>
</cp:coreProperties>
</file>