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01adfba9b755154/Desktop/AI/Acidity/"/>
    </mc:Choice>
  </mc:AlternateContent>
  <xr:revisionPtr revIDLastSave="22" documentId="8_{A22887EB-886A-4796-A90D-49BCD30882B2}" xr6:coauthVersionLast="47" xr6:coauthVersionMax="47" xr10:uidLastSave="{B0F44A49-74F2-4F20-BA42-31C3F703454B}"/>
  <bookViews>
    <workbookView xWindow="-108" yWindow="-108" windowWidth="23256" windowHeight="12456" xr2:uid="{00000000-000D-0000-FFFF-FFFF00000000}"/>
  </bookViews>
  <sheets>
    <sheet name="Final" sheetId="9" r:id="rId1"/>
    <sheet name="Test" sheetId="8" r:id="rId2"/>
    <sheet name="Acidity" sheetId="3" r:id="rId3"/>
    <sheet name="Classification" sheetId="10" r:id="rId4"/>
  </sheets>
  <definedNames>
    <definedName name="_xlnm._FilterDatabase" localSheetId="2" hidden="1">Acidity!$AD$1:$AD$217</definedName>
    <definedName name="_xlnm._FilterDatabase" localSheetId="3" hidden="1">Classification!$A$1:$A$216</definedName>
    <definedName name="_xlnm._FilterDatabase" localSheetId="0" hidden="1">Final!$A$1:$A$216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7" i="3" l="1"/>
  <c r="M217" i="3"/>
  <c r="B217" i="3"/>
  <c r="I217" i="3"/>
  <c r="K217" i="3"/>
  <c r="N217" i="3"/>
  <c r="H217" i="3" s="1"/>
  <c r="AA217" i="3"/>
  <c r="AD217" i="3"/>
  <c r="AD216" i="3"/>
  <c r="U216" i="3"/>
  <c r="AA216" i="3"/>
  <c r="T216" i="3"/>
  <c r="B216" i="3"/>
  <c r="I216" i="3"/>
  <c r="K216" i="3"/>
  <c r="N216" i="3"/>
  <c r="H216" i="3" s="1"/>
  <c r="AD215" i="3"/>
  <c r="AA215" i="3"/>
  <c r="U215" i="3"/>
  <c r="K215" i="3"/>
  <c r="I215" i="3"/>
  <c r="B215" i="3"/>
  <c r="N215" i="3"/>
  <c r="H215" i="3" s="1"/>
  <c r="B212" i="3"/>
  <c r="H212" i="3"/>
  <c r="N212" i="3" s="1"/>
  <c r="I212" i="3"/>
  <c r="K212" i="3"/>
  <c r="U212" i="3"/>
  <c r="B213" i="3"/>
  <c r="H213" i="3"/>
  <c r="N213" i="3" s="1"/>
  <c r="I213" i="3"/>
  <c r="K213" i="3"/>
  <c r="U213" i="3"/>
  <c r="B214" i="3"/>
  <c r="H214" i="3"/>
  <c r="N214" i="3" s="1"/>
  <c r="I214" i="3"/>
  <c r="K214" i="3"/>
  <c r="U214" i="3"/>
  <c r="AD214" i="3"/>
  <c r="AD213" i="3"/>
  <c r="AD212" i="3"/>
  <c r="AD211" i="3"/>
  <c r="AA214" i="3"/>
  <c r="AA213" i="3"/>
  <c r="AA212" i="3"/>
  <c r="AA211" i="3"/>
  <c r="U211" i="3"/>
  <c r="K211" i="3"/>
  <c r="I211" i="3"/>
  <c r="H211" i="3"/>
  <c r="N211" i="3" s="1"/>
  <c r="B211" i="3"/>
  <c r="AA210" i="3" l="1"/>
  <c r="AD210" i="3"/>
  <c r="H210" i="3"/>
  <c r="B209" i="3"/>
  <c r="B208" i="3"/>
  <c r="B207" i="3"/>
  <c r="B206" i="3"/>
  <c r="B205" i="3"/>
  <c r="B204" i="3"/>
  <c r="U209" i="3"/>
  <c r="H209" i="3"/>
  <c r="AD209" i="3"/>
  <c r="AD208" i="3"/>
  <c r="H208" i="3"/>
  <c r="U208" i="3"/>
  <c r="AA208" i="3"/>
  <c r="AD207" i="3" l="1"/>
  <c r="AD206" i="3"/>
  <c r="AA207" i="3"/>
  <c r="AA206" i="3"/>
  <c r="H207" i="3"/>
  <c r="U207" i="3"/>
  <c r="H205" i="3"/>
  <c r="U205" i="3"/>
  <c r="AD205" i="3"/>
  <c r="AD204" i="3"/>
  <c r="AA205" i="3"/>
  <c r="AA204" i="3"/>
  <c r="H206" i="3"/>
  <c r="U206" i="3"/>
  <c r="U204" i="3"/>
  <c r="H204" i="3"/>
  <c r="AD203" i="3"/>
  <c r="AA203" i="3"/>
  <c r="V203" i="3"/>
  <c r="U203" i="3"/>
  <c r="U202" i="3"/>
  <c r="B203" i="3"/>
  <c r="K203" i="3"/>
  <c r="O203" i="3"/>
  <c r="N203" i="3"/>
  <c r="H203" i="3" s="1"/>
  <c r="AA202" i="3"/>
  <c r="AD202" i="3"/>
  <c r="V202" i="3"/>
  <c r="K202" i="3"/>
  <c r="N202" i="3"/>
  <c r="H202" i="3" s="1"/>
  <c r="B202" i="3"/>
  <c r="AD201" i="3"/>
  <c r="H201" i="3"/>
  <c r="U201" i="3"/>
  <c r="AD200" i="3"/>
  <c r="U200" i="3"/>
  <c r="H200" i="3"/>
  <c r="AD199" i="3"/>
  <c r="U199" i="3"/>
  <c r="H199" i="3"/>
  <c r="N199" i="3"/>
  <c r="K199" i="3"/>
  <c r="I199" i="3"/>
  <c r="B199" i="3"/>
  <c r="AD196" i="3"/>
  <c r="AD197" i="3"/>
  <c r="AD198" i="3"/>
  <c r="AC195" i="3"/>
  <c r="AD195" i="3" s="1"/>
  <c r="U196" i="3"/>
  <c r="U197" i="3"/>
  <c r="U198" i="3"/>
  <c r="U195" i="3"/>
  <c r="B198" i="3"/>
  <c r="K198" i="3"/>
  <c r="N198" i="3"/>
  <c r="M198" i="3"/>
  <c r="M197" i="3"/>
  <c r="M196" i="3"/>
  <c r="N196" i="3"/>
  <c r="N197" i="3"/>
  <c r="B196" i="3"/>
  <c r="B195" i="3"/>
  <c r="B194" i="3"/>
  <c r="B197" i="3"/>
  <c r="K197" i="3"/>
  <c r="K196" i="3"/>
  <c r="N195" i="3"/>
  <c r="H195" i="3" s="1"/>
  <c r="K194" i="3"/>
  <c r="L194" i="3" s="1"/>
  <c r="N193" i="3"/>
  <c r="N194" i="3"/>
  <c r="N192" i="3"/>
  <c r="B193" i="3"/>
  <c r="H193" i="3"/>
  <c r="I193" i="3"/>
  <c r="H194" i="3"/>
  <c r="I194" i="3"/>
  <c r="K193" i="3"/>
  <c r="L193" i="3" s="1"/>
  <c r="K192" i="3"/>
  <c r="L192" i="3" s="1"/>
  <c r="I192" i="3"/>
  <c r="H192" i="3"/>
  <c r="B192" i="3"/>
  <c r="B190" i="3"/>
  <c r="H190" i="3"/>
  <c r="I190" i="3"/>
  <c r="K190" i="3"/>
  <c r="N190" i="3"/>
  <c r="B191" i="3"/>
  <c r="H191" i="3"/>
  <c r="I191" i="3"/>
  <c r="K191" i="3"/>
  <c r="N191" i="3"/>
  <c r="AD191" i="3"/>
  <c r="AD190" i="3"/>
  <c r="AD189" i="3"/>
  <c r="N189" i="3"/>
  <c r="K189" i="3"/>
  <c r="I189" i="3"/>
  <c r="H189" i="3"/>
  <c r="B189" i="3"/>
  <c r="AD188" i="3"/>
  <c r="AD187" i="3"/>
  <c r="AD186" i="3"/>
  <c r="AA185" i="3"/>
  <c r="AD185" i="3"/>
  <c r="V185" i="3"/>
  <c r="U185" i="3"/>
  <c r="H185" i="3"/>
  <c r="V184" i="3"/>
  <c r="V183" i="3"/>
  <c r="U184" i="3"/>
  <c r="U183" i="3"/>
  <c r="I184" i="3"/>
  <c r="I183" i="3"/>
  <c r="K184" i="3"/>
  <c r="K183" i="3"/>
  <c r="H184" i="3"/>
  <c r="H183" i="3"/>
  <c r="A184" i="3"/>
  <c r="A183" i="3"/>
  <c r="AD184" i="3"/>
  <c r="AD183" i="3"/>
  <c r="AA184" i="3"/>
  <c r="AA183" i="3"/>
  <c r="AD182" i="3"/>
  <c r="U182" i="3"/>
  <c r="B182" i="3"/>
  <c r="AD179" i="3"/>
  <c r="H180" i="3"/>
  <c r="U180" i="3"/>
  <c r="V180" i="3"/>
  <c r="H181" i="3"/>
  <c r="U181" i="3"/>
  <c r="V181" i="3"/>
  <c r="AD181" i="3"/>
  <c r="AD180" i="3"/>
  <c r="AA181" i="3"/>
  <c r="AA180" i="3"/>
  <c r="AA179" i="3"/>
  <c r="V179" i="3"/>
  <c r="U179" i="3"/>
  <c r="H179" i="3"/>
  <c r="AD178" i="3"/>
  <c r="AD177" i="3"/>
  <c r="AD176" i="3"/>
  <c r="AD175" i="3"/>
  <c r="K178" i="3"/>
  <c r="I178" i="3"/>
  <c r="H178" i="3"/>
  <c r="B178" i="3"/>
  <c r="K177" i="3"/>
  <c r="I177" i="3"/>
  <c r="H177" i="3"/>
  <c r="B177" i="3"/>
  <c r="K176" i="3"/>
  <c r="I176" i="3"/>
  <c r="H176" i="3"/>
  <c r="B176" i="3"/>
  <c r="K175" i="3"/>
  <c r="I175" i="3"/>
  <c r="H175" i="3"/>
  <c r="B175" i="3"/>
  <c r="AD174" i="3"/>
  <c r="AD173" i="3"/>
  <c r="AD172" i="3"/>
  <c r="AD171" i="3"/>
  <c r="H174" i="3"/>
  <c r="I174" i="3"/>
  <c r="I172" i="3"/>
  <c r="I173" i="3"/>
  <c r="I171" i="3"/>
  <c r="K172" i="3"/>
  <c r="K173" i="3"/>
  <c r="K174" i="3"/>
  <c r="K171" i="3"/>
  <c r="H172" i="3"/>
  <c r="H173" i="3"/>
  <c r="H171" i="3"/>
  <c r="B174" i="3"/>
  <c r="B173" i="3"/>
  <c r="B172" i="3"/>
  <c r="B171" i="3"/>
  <c r="AD170" i="3"/>
  <c r="AA170" i="3"/>
  <c r="V170" i="3"/>
  <c r="AD169" i="3"/>
  <c r="AD168" i="3"/>
  <c r="B169" i="3"/>
  <c r="I169" i="3"/>
  <c r="K169" i="3"/>
  <c r="N169" i="3"/>
  <c r="H169" i="3" s="1"/>
  <c r="N168" i="3"/>
  <c r="H168" i="3" s="1"/>
  <c r="I168" i="3"/>
  <c r="K168" i="3"/>
  <c r="B168" i="3"/>
  <c r="AD167" i="3"/>
  <c r="AA167" i="3"/>
  <c r="B167" i="3"/>
  <c r="H167" i="3"/>
  <c r="I167" i="3"/>
  <c r="K167" i="3"/>
  <c r="N167" i="3"/>
  <c r="V167" i="3"/>
  <c r="AD166" i="3"/>
  <c r="V166" i="3"/>
  <c r="I166" i="3"/>
  <c r="K166" i="3"/>
  <c r="N166" i="3"/>
  <c r="H166" i="3"/>
  <c r="B166" i="3"/>
  <c r="K165" i="3"/>
  <c r="I165" i="3"/>
  <c r="H165" i="3"/>
  <c r="N165" i="3" s="1"/>
  <c r="B165" i="3"/>
  <c r="U165" i="3"/>
  <c r="AD165" i="3"/>
  <c r="AD164" i="3"/>
  <c r="AD163" i="3"/>
  <c r="U164" i="3"/>
  <c r="I164" i="3"/>
  <c r="H164" i="3"/>
  <c r="H163" i="3"/>
  <c r="U163" i="3"/>
  <c r="I163" i="3"/>
  <c r="AA161" i="3"/>
  <c r="AA162" i="3"/>
  <c r="AA160" i="3"/>
  <c r="AD162" i="3"/>
  <c r="N162" i="3"/>
  <c r="H162" i="3" s="1"/>
  <c r="AD161" i="3"/>
  <c r="N161" i="3"/>
  <c r="H161" i="3" s="1"/>
  <c r="AD160" i="3"/>
  <c r="N160" i="3"/>
  <c r="H160" i="3" s="1"/>
  <c r="AD159" i="3"/>
  <c r="AD158" i="3"/>
  <c r="AD157" i="3"/>
  <c r="AA158" i="3"/>
  <c r="AA159" i="3"/>
  <c r="AA157" i="3"/>
  <c r="N159" i="3"/>
  <c r="H159" i="3" s="1"/>
  <c r="N158" i="3"/>
  <c r="H158" i="3" s="1"/>
  <c r="N157" i="3"/>
  <c r="H157" i="3" s="1"/>
  <c r="B155" i="3"/>
  <c r="B156" i="3"/>
  <c r="I155" i="3"/>
  <c r="K155" i="3"/>
  <c r="N155" i="3"/>
  <c r="H155" i="3" s="1"/>
  <c r="U155" i="3"/>
  <c r="I156" i="3"/>
  <c r="K156" i="3"/>
  <c r="N156" i="3"/>
  <c r="H156" i="3" s="1"/>
  <c r="U156" i="3"/>
  <c r="AD156" i="3"/>
  <c r="AD155" i="3"/>
  <c r="AD154" i="3"/>
  <c r="AA156" i="3"/>
  <c r="AA155" i="3"/>
  <c r="AA154" i="3"/>
  <c r="U154" i="3"/>
  <c r="K154" i="3"/>
  <c r="I154" i="3"/>
  <c r="N154" i="3"/>
  <c r="H154" i="3" s="1"/>
  <c r="B153" i="3"/>
  <c r="B154" i="3"/>
  <c r="B137" i="3"/>
  <c r="D137" i="3"/>
  <c r="I137" i="3"/>
  <c r="K137" i="3"/>
  <c r="V137" i="3"/>
  <c r="AD153" i="3"/>
  <c r="U153" i="3"/>
  <c r="K153" i="3"/>
  <c r="I153" i="3"/>
  <c r="O153" i="3"/>
  <c r="H153" i="3" s="1"/>
  <c r="AD152" i="3"/>
  <c r="AD151" i="3"/>
  <c r="AD150" i="3"/>
  <c r="AD149" i="3"/>
  <c r="C150" i="3"/>
  <c r="I150" i="3"/>
  <c r="K150" i="3"/>
  <c r="N150" i="3"/>
  <c r="U150" i="3"/>
  <c r="C151" i="3"/>
  <c r="I151" i="3"/>
  <c r="K151" i="3"/>
  <c r="N151" i="3"/>
  <c r="U151" i="3"/>
  <c r="C152" i="3"/>
  <c r="I152" i="3"/>
  <c r="K152" i="3"/>
  <c r="N152" i="3"/>
  <c r="U152" i="3"/>
  <c r="U149" i="3"/>
  <c r="K149" i="3"/>
  <c r="N149" i="3"/>
  <c r="C149" i="3"/>
  <c r="I149" i="3"/>
  <c r="AD148" i="3"/>
  <c r="AD147" i="3"/>
  <c r="K148" i="3"/>
  <c r="H148" i="3" s="1"/>
  <c r="V147" i="3"/>
  <c r="V148" i="3"/>
  <c r="K146" i="3"/>
  <c r="H146" i="3" s="1"/>
  <c r="V146" i="3"/>
  <c r="AD146" i="3"/>
  <c r="AD145" i="3"/>
  <c r="V145" i="3"/>
  <c r="K147" i="3"/>
  <c r="H147" i="3" s="1"/>
  <c r="K145" i="3"/>
  <c r="H145" i="3" s="1"/>
  <c r="AD144" i="3"/>
  <c r="D144" i="3"/>
  <c r="B144" i="3"/>
  <c r="H144" i="3"/>
  <c r="AD143" i="3"/>
  <c r="V143" i="3"/>
  <c r="D143" i="3"/>
  <c r="B143" i="3"/>
  <c r="H143" i="3"/>
  <c r="V139" i="3"/>
  <c r="V140" i="3"/>
  <c r="V141" i="3"/>
  <c r="V142" i="3"/>
  <c r="V138" i="3"/>
  <c r="I139" i="3"/>
  <c r="I140" i="3"/>
  <c r="I141" i="3"/>
  <c r="I142" i="3"/>
  <c r="I138" i="3"/>
  <c r="K139" i="3"/>
  <c r="K140" i="3"/>
  <c r="K141" i="3"/>
  <c r="K142" i="3"/>
  <c r="K138" i="3"/>
  <c r="D142" i="3"/>
  <c r="D141" i="3"/>
  <c r="D140" i="3"/>
  <c r="D139" i="3"/>
  <c r="D138" i="3"/>
  <c r="B142" i="3"/>
  <c r="B141" i="3"/>
  <c r="AD134" i="3"/>
  <c r="AD135" i="3"/>
  <c r="AD136" i="3"/>
  <c r="AD133" i="3"/>
  <c r="H134" i="3"/>
  <c r="H135" i="3"/>
  <c r="H136" i="3"/>
  <c r="H133" i="3"/>
  <c r="M136" i="3"/>
  <c r="M135" i="3"/>
  <c r="AD132" i="3"/>
  <c r="AD131" i="3"/>
  <c r="AD130" i="3"/>
  <c r="G130" i="3"/>
  <c r="G131" i="3"/>
  <c r="G132" i="3"/>
  <c r="G129" i="3"/>
  <c r="H132" i="3"/>
  <c r="H131" i="3"/>
  <c r="H130" i="3"/>
  <c r="H129" i="3"/>
  <c r="AD128" i="3"/>
  <c r="AD127" i="3"/>
  <c r="AD126" i="3"/>
  <c r="AD124" i="3"/>
  <c r="AD123" i="3"/>
  <c r="AD122" i="3"/>
  <c r="G126" i="3"/>
  <c r="G127" i="3"/>
  <c r="G128" i="3"/>
  <c r="G125" i="3"/>
  <c r="H128" i="3"/>
  <c r="H127" i="3"/>
  <c r="H126" i="3"/>
  <c r="H125" i="3"/>
  <c r="F122" i="3"/>
  <c r="F123" i="3"/>
  <c r="F124" i="3"/>
  <c r="F121" i="3"/>
  <c r="H124" i="3"/>
  <c r="H123" i="3"/>
  <c r="H122" i="3"/>
  <c r="H121" i="3"/>
  <c r="AD120" i="3"/>
  <c r="AD119" i="3"/>
  <c r="AD118" i="3"/>
  <c r="F118" i="3"/>
  <c r="H118" i="3"/>
  <c r="F119" i="3"/>
  <c r="H119" i="3"/>
  <c r="F120" i="3"/>
  <c r="H120" i="3"/>
  <c r="F117" i="3"/>
  <c r="H117" i="3"/>
  <c r="N106" i="3"/>
  <c r="N107" i="3"/>
  <c r="N108" i="3"/>
  <c r="N109" i="3"/>
  <c r="N110" i="3"/>
  <c r="N111" i="3"/>
  <c r="N112" i="3"/>
  <c r="N113" i="3"/>
  <c r="N114" i="3"/>
  <c r="N115" i="3"/>
  <c r="N116" i="3"/>
  <c r="N105" i="3"/>
  <c r="AA116" i="3"/>
  <c r="AA115" i="3"/>
  <c r="AA114" i="3"/>
  <c r="AA113" i="3"/>
  <c r="U113" i="3"/>
  <c r="U114" i="3"/>
  <c r="U115" i="3"/>
  <c r="U116" i="3"/>
  <c r="AA112" i="3"/>
  <c r="AA111" i="3"/>
  <c r="AA110" i="3"/>
  <c r="AA109" i="3"/>
  <c r="U110" i="3"/>
  <c r="U111" i="3"/>
  <c r="U112" i="3"/>
  <c r="U109" i="3"/>
  <c r="B106" i="3"/>
  <c r="U106" i="3"/>
  <c r="B107" i="3"/>
  <c r="U107" i="3"/>
  <c r="B108" i="3"/>
  <c r="U108" i="3"/>
  <c r="AA108" i="3"/>
  <c r="AA107" i="3"/>
  <c r="AA106" i="3"/>
  <c r="AA105" i="3"/>
  <c r="B105" i="3"/>
  <c r="U105" i="3"/>
  <c r="U102" i="3"/>
  <c r="U103" i="3"/>
  <c r="U104" i="3"/>
  <c r="U101" i="3"/>
  <c r="AD104" i="3"/>
  <c r="AD103" i="3"/>
  <c r="AD102" i="3"/>
  <c r="AD101" i="3"/>
  <c r="R104" i="3"/>
  <c r="R103" i="3"/>
  <c r="R102" i="3"/>
  <c r="AD100" i="3"/>
  <c r="U100" i="3"/>
  <c r="I100" i="3"/>
  <c r="K100" i="3"/>
  <c r="H100" i="3" s="1"/>
  <c r="D100" i="3"/>
  <c r="AD99" i="3"/>
  <c r="AA99" i="3"/>
  <c r="V99" i="3"/>
  <c r="U99" i="3"/>
  <c r="M99" i="3"/>
  <c r="K99" i="3"/>
  <c r="H99" i="3" s="1"/>
  <c r="I99" i="3"/>
  <c r="A99" i="3"/>
  <c r="AB14" i="3"/>
  <c r="AD98" i="3"/>
  <c r="AD96" i="3"/>
  <c r="AD97" i="3"/>
  <c r="AD95" i="3"/>
  <c r="AD94" i="3"/>
  <c r="AD93" i="3"/>
  <c r="AA97" i="3"/>
  <c r="AA98" i="3"/>
  <c r="AA96" i="3"/>
  <c r="U98" i="3"/>
  <c r="N98" i="3"/>
  <c r="H98" i="3" s="1"/>
  <c r="I98" i="3"/>
  <c r="B98" i="3"/>
  <c r="U97" i="3"/>
  <c r="N97" i="3"/>
  <c r="H97" i="3" s="1"/>
  <c r="I97" i="3"/>
  <c r="U96" i="3"/>
  <c r="I96" i="3"/>
  <c r="H96" i="3"/>
  <c r="AA93" i="3"/>
  <c r="AA94" i="3"/>
  <c r="AA95" i="3"/>
  <c r="U94" i="3"/>
  <c r="U95" i="3"/>
  <c r="I94" i="3"/>
  <c r="I95" i="3"/>
  <c r="H93" i="3"/>
  <c r="B95" i="3"/>
  <c r="N95" i="3"/>
  <c r="H95" i="3" s="1"/>
  <c r="N94" i="3"/>
  <c r="H94" i="3" s="1"/>
  <c r="I93" i="3"/>
  <c r="U93" i="3"/>
  <c r="AD92" i="3"/>
  <c r="U92" i="3"/>
  <c r="B92" i="3"/>
  <c r="B91" i="3"/>
  <c r="H92" i="3"/>
  <c r="I92" i="3"/>
  <c r="K92" i="3"/>
  <c r="AA91" i="3"/>
  <c r="AA92" i="3"/>
  <c r="AD91" i="3"/>
  <c r="K91" i="3"/>
  <c r="H91" i="3"/>
  <c r="I91" i="3"/>
  <c r="U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77" i="3"/>
  <c r="U87" i="3"/>
  <c r="V87" i="3"/>
  <c r="U88" i="3"/>
  <c r="V88" i="3"/>
  <c r="U89" i="3"/>
  <c r="V89" i="3"/>
  <c r="U90" i="3"/>
  <c r="V90" i="3"/>
  <c r="B90" i="3"/>
  <c r="B89" i="3"/>
  <c r="B88" i="3"/>
  <c r="U84" i="3"/>
  <c r="V84" i="3"/>
  <c r="U85" i="3"/>
  <c r="V85" i="3"/>
  <c r="U86" i="3"/>
  <c r="V86" i="3"/>
  <c r="M85" i="3"/>
  <c r="M86" i="3" s="1"/>
  <c r="U83" i="3"/>
  <c r="V83" i="3"/>
  <c r="V82" i="3"/>
  <c r="U82" i="3"/>
  <c r="U81" i="3"/>
  <c r="V81" i="3"/>
  <c r="U80" i="3"/>
  <c r="V80" i="3"/>
  <c r="U79" i="3"/>
  <c r="V79" i="3"/>
  <c r="V78" i="3"/>
  <c r="U78" i="3"/>
  <c r="N75" i="3"/>
  <c r="N76" i="3"/>
  <c r="N77" i="3"/>
  <c r="K75" i="3"/>
  <c r="K76" i="3"/>
  <c r="K77" i="3"/>
  <c r="I75" i="3"/>
  <c r="I76" i="3"/>
  <c r="I77" i="3"/>
  <c r="B75" i="3"/>
  <c r="B76" i="3"/>
  <c r="B77" i="3"/>
  <c r="I74" i="3"/>
  <c r="K74" i="3"/>
  <c r="N74" i="3"/>
  <c r="B74" i="3"/>
  <c r="AA75" i="3"/>
  <c r="AA76" i="3"/>
  <c r="AA74" i="3"/>
  <c r="U77" i="3"/>
  <c r="AD75" i="3"/>
  <c r="AD76" i="3"/>
  <c r="AD77" i="3"/>
  <c r="AD74" i="3"/>
  <c r="U75" i="3"/>
  <c r="U76" i="3"/>
  <c r="U74" i="3"/>
  <c r="AA73" i="3"/>
  <c r="AA72" i="3"/>
  <c r="V73" i="3"/>
  <c r="U73" i="3"/>
  <c r="B72" i="3"/>
  <c r="K72" i="3"/>
  <c r="O72" i="3"/>
  <c r="U72" i="3"/>
  <c r="V72" i="3"/>
  <c r="AD71" i="3"/>
  <c r="AA71" i="3"/>
  <c r="V71" i="3"/>
  <c r="U71" i="3"/>
  <c r="O71" i="3"/>
  <c r="B71" i="3"/>
  <c r="K71" i="3"/>
  <c r="I70" i="3"/>
  <c r="O70" i="3"/>
  <c r="N70" i="3"/>
  <c r="B70" i="3"/>
  <c r="AD66" i="3"/>
  <c r="AD67" i="3"/>
  <c r="AD68" i="3"/>
  <c r="AD69" i="3"/>
  <c r="AD65" i="3"/>
  <c r="N66" i="3"/>
  <c r="H66" i="3" s="1"/>
  <c r="N67" i="3"/>
  <c r="H67" i="3" s="1"/>
  <c r="N68" i="3"/>
  <c r="H68" i="3" s="1"/>
  <c r="N69" i="3"/>
  <c r="H69" i="3" s="1"/>
  <c r="K66" i="3"/>
  <c r="K67" i="3"/>
  <c r="K68" i="3"/>
  <c r="K69" i="3"/>
  <c r="I66" i="3"/>
  <c r="I67" i="3"/>
  <c r="I68" i="3"/>
  <c r="I69" i="3"/>
  <c r="M69" i="3"/>
  <c r="E68" i="3"/>
  <c r="D67" i="3"/>
  <c r="C66" i="3"/>
  <c r="B65" i="3"/>
  <c r="I65" i="3"/>
  <c r="K65" i="3"/>
  <c r="N65" i="3"/>
  <c r="H65" i="3" s="1"/>
  <c r="AD64" i="3"/>
  <c r="AD63" i="3"/>
  <c r="H64" i="3"/>
  <c r="D64" i="3"/>
  <c r="B64" i="3"/>
  <c r="N63" i="3"/>
  <c r="K63" i="3"/>
  <c r="D63" i="3"/>
  <c r="B63" i="3"/>
  <c r="AD62" i="3"/>
  <c r="N62" i="3"/>
  <c r="H62" i="3" s="1"/>
  <c r="AD61" i="3"/>
  <c r="N61" i="3"/>
  <c r="H61" i="3" s="1"/>
  <c r="AD60" i="3"/>
  <c r="N60" i="3"/>
  <c r="H60" i="3" s="1"/>
  <c r="AD59" i="3"/>
  <c r="AD58" i="3"/>
  <c r="AD57" i="3"/>
  <c r="N58" i="3"/>
  <c r="H58" i="3" s="1"/>
  <c r="N59" i="3"/>
  <c r="H59" i="3" s="1"/>
  <c r="N57" i="3"/>
  <c r="H57" i="3" s="1"/>
  <c r="AD56" i="3"/>
  <c r="AD55" i="3"/>
  <c r="AD54" i="3"/>
  <c r="AD53" i="3"/>
  <c r="AD52" i="3"/>
  <c r="AD51" i="3"/>
  <c r="H56" i="3"/>
  <c r="H55" i="3"/>
  <c r="H54" i="3"/>
  <c r="H53" i="3"/>
  <c r="H52" i="3"/>
  <c r="U52" i="3"/>
  <c r="V52" i="3"/>
  <c r="U53" i="3"/>
  <c r="V53" i="3"/>
  <c r="U54" i="3"/>
  <c r="V54" i="3"/>
  <c r="U55" i="3"/>
  <c r="V55" i="3"/>
  <c r="U56" i="3"/>
  <c r="V56" i="3"/>
  <c r="U51" i="3"/>
  <c r="V51" i="3"/>
  <c r="H51" i="3"/>
  <c r="AD50" i="3"/>
  <c r="AD49" i="3"/>
  <c r="AD48" i="3"/>
  <c r="V49" i="3"/>
  <c r="V50" i="3"/>
  <c r="V48" i="3"/>
  <c r="U49" i="3"/>
  <c r="U50" i="3"/>
  <c r="U48" i="3"/>
  <c r="H49" i="3"/>
  <c r="H50" i="3"/>
  <c r="H48" i="3"/>
  <c r="AD47" i="3"/>
  <c r="AD46" i="3"/>
  <c r="AD45" i="3"/>
  <c r="AD44" i="3"/>
  <c r="V45" i="3"/>
  <c r="V46" i="3"/>
  <c r="V47" i="3"/>
  <c r="U45" i="3"/>
  <c r="U46" i="3"/>
  <c r="U47" i="3"/>
  <c r="N45" i="3"/>
  <c r="N46" i="3"/>
  <c r="N47" i="3"/>
  <c r="L45" i="3"/>
  <c r="L46" i="3"/>
  <c r="L47" i="3"/>
  <c r="K45" i="3"/>
  <c r="K46" i="3"/>
  <c r="K47" i="3"/>
  <c r="I45" i="3"/>
  <c r="I46" i="3"/>
  <c r="I47" i="3"/>
  <c r="I44" i="3"/>
  <c r="N44" i="3"/>
  <c r="L44" i="3"/>
  <c r="K44" i="3"/>
  <c r="B47" i="3"/>
  <c r="B46" i="3"/>
  <c r="B45" i="3"/>
  <c r="B44" i="3"/>
  <c r="V44" i="3"/>
  <c r="U44" i="3"/>
  <c r="AD43" i="3"/>
  <c r="U43" i="3"/>
  <c r="V42" i="3"/>
  <c r="U42" i="3"/>
  <c r="AD42" i="3"/>
  <c r="AD41" i="3"/>
  <c r="V41" i="3"/>
  <c r="AD40" i="3"/>
  <c r="AD39" i="3"/>
  <c r="AD38" i="3"/>
  <c r="AA40" i="3"/>
  <c r="AA39" i="3"/>
  <c r="AA38" i="3"/>
  <c r="U38" i="3"/>
  <c r="V38" i="3"/>
  <c r="U39" i="3"/>
  <c r="V39" i="3"/>
  <c r="U40" i="3"/>
  <c r="V40" i="3"/>
  <c r="A38" i="3"/>
  <c r="A39" i="3"/>
  <c r="A40" i="3"/>
  <c r="E39" i="3"/>
  <c r="E40" i="3"/>
  <c r="E38" i="3"/>
  <c r="AD37" i="3"/>
  <c r="AD36" i="3"/>
  <c r="AD35" i="3"/>
  <c r="AA37" i="3"/>
  <c r="AA36" i="3"/>
  <c r="AA35" i="3"/>
  <c r="U35" i="3"/>
  <c r="V35" i="3"/>
  <c r="U36" i="3"/>
  <c r="V36" i="3"/>
  <c r="U37" i="3"/>
  <c r="V37" i="3"/>
  <c r="A35" i="3"/>
  <c r="A36" i="3"/>
  <c r="A37" i="3"/>
  <c r="M36" i="3"/>
  <c r="M37" i="3"/>
  <c r="M35" i="3"/>
  <c r="D34" i="3"/>
  <c r="AA34" i="3"/>
  <c r="AA33" i="3"/>
  <c r="AA32" i="3"/>
  <c r="U32" i="3"/>
  <c r="V32" i="3"/>
  <c r="U33" i="3"/>
  <c r="V33" i="3"/>
  <c r="U34" i="3"/>
  <c r="V34" i="3"/>
  <c r="A32" i="3"/>
  <c r="A33" i="3"/>
  <c r="A34" i="3"/>
  <c r="D33" i="3"/>
  <c r="AA31" i="3"/>
  <c r="AA30" i="3"/>
  <c r="AA29" i="3"/>
  <c r="U29" i="3"/>
  <c r="V29" i="3"/>
  <c r="U30" i="3"/>
  <c r="V30" i="3"/>
  <c r="U31" i="3"/>
  <c r="V31" i="3"/>
  <c r="D32" i="3"/>
  <c r="C30" i="3"/>
  <c r="C31" i="3"/>
  <c r="A29" i="3"/>
  <c r="A30" i="3"/>
  <c r="A31" i="3"/>
  <c r="A27" i="3"/>
  <c r="B27" i="3"/>
  <c r="A28" i="3"/>
  <c r="B28" i="3"/>
  <c r="AD27" i="3"/>
  <c r="AD28" i="3"/>
  <c r="AD29" i="3"/>
  <c r="AD30" i="3"/>
  <c r="AD31" i="3"/>
  <c r="AD32" i="3"/>
  <c r="AD33" i="3"/>
  <c r="AD34" i="3"/>
  <c r="AD26" i="3"/>
  <c r="AA28" i="3"/>
  <c r="AA27" i="3"/>
  <c r="AA26" i="3"/>
  <c r="V27" i="3"/>
  <c r="V28" i="3"/>
  <c r="V26" i="3"/>
  <c r="U27" i="3"/>
  <c r="U28" i="3"/>
  <c r="U26" i="3"/>
  <c r="C29" i="3"/>
  <c r="B26" i="3"/>
  <c r="A26" i="3"/>
  <c r="U24" i="3"/>
  <c r="U25" i="3"/>
  <c r="AD25" i="3"/>
  <c r="AD24" i="3"/>
  <c r="AA25" i="3"/>
  <c r="AA24" i="3"/>
  <c r="H25" i="3"/>
  <c r="O24" i="3"/>
  <c r="H24" i="3"/>
  <c r="B24" i="3"/>
  <c r="AD23" i="3"/>
  <c r="AD22" i="3"/>
  <c r="AD21" i="3"/>
  <c r="AA22" i="3"/>
  <c r="AA23" i="3"/>
  <c r="AA21" i="3"/>
  <c r="N23" i="3"/>
  <c r="K23" i="3"/>
  <c r="I23" i="3"/>
  <c r="B23" i="3"/>
  <c r="N22" i="3"/>
  <c r="K22" i="3"/>
  <c r="B22" i="3"/>
  <c r="I22" i="3"/>
  <c r="I21" i="3"/>
  <c r="N21" i="3"/>
  <c r="K21" i="3"/>
  <c r="B21" i="3"/>
  <c r="AD17" i="3"/>
  <c r="AD18" i="3"/>
  <c r="AD19" i="3"/>
  <c r="AD20" i="3"/>
  <c r="AA18" i="3"/>
  <c r="AA19" i="3"/>
  <c r="AA20" i="3"/>
  <c r="AA17" i="3"/>
  <c r="U18" i="3"/>
  <c r="U19" i="3"/>
  <c r="U20" i="3"/>
  <c r="U17" i="3"/>
  <c r="AC14" i="3"/>
  <c r="AC13" i="3"/>
  <c r="AB13" i="3"/>
  <c r="AB15" i="3"/>
  <c r="AC15" i="3"/>
  <c r="AB16" i="3"/>
  <c r="AC16" i="3"/>
  <c r="AA16" i="3"/>
  <c r="AA14" i="3"/>
  <c r="B16" i="3"/>
  <c r="H16" i="3"/>
  <c r="N16" i="3"/>
  <c r="V15" i="3"/>
  <c r="V16" i="3"/>
  <c r="B15" i="3"/>
  <c r="H15" i="3"/>
  <c r="N15" i="3"/>
  <c r="B14" i="3"/>
  <c r="N14" i="3"/>
  <c r="V14" i="3"/>
  <c r="V13" i="3"/>
  <c r="N13" i="3"/>
  <c r="B13" i="3"/>
  <c r="AD11" i="3"/>
  <c r="AD12" i="3"/>
  <c r="AD10" i="3"/>
  <c r="B11" i="3"/>
  <c r="V11" i="3"/>
  <c r="B12" i="3"/>
  <c r="V12" i="3"/>
  <c r="V10" i="3"/>
  <c r="B10" i="3"/>
  <c r="H198" i="3" l="1"/>
  <c r="H196" i="3"/>
  <c r="H197" i="3"/>
  <c r="H151" i="3"/>
  <c r="H149" i="3"/>
  <c r="H150" i="3"/>
  <c r="H152" i="3"/>
  <c r="H63" i="3"/>
  <c r="H70" i="3"/>
  <c r="AD14" i="3"/>
  <c r="H46" i="3"/>
  <c r="H47" i="3"/>
  <c r="H45" i="3"/>
  <c r="H44" i="3"/>
  <c r="AD16" i="3"/>
  <c r="AD15" i="3"/>
  <c r="AD13" i="3"/>
</calcChain>
</file>

<file path=xl/sharedStrings.xml><?xml version="1.0" encoding="utf-8"?>
<sst xmlns="http://schemas.openxmlformats.org/spreadsheetml/2006/main" count="719" uniqueCount="143">
  <si>
    <t>Reference</t>
  </si>
  <si>
    <t>10.1016/j.micromeso.2017.03.033</t>
  </si>
  <si>
    <t>rpm</t>
  </si>
  <si>
    <t>Phase</t>
  </si>
  <si>
    <t>SSZ-39</t>
  </si>
  <si>
    <t>MFI</t>
  </si>
  <si>
    <t>CHA</t>
  </si>
  <si>
    <t>SSZ-35</t>
  </si>
  <si>
    <t>MOR</t>
  </si>
  <si>
    <t>MEL</t>
  </si>
  <si>
    <t>MTW</t>
  </si>
  <si>
    <t>EUO</t>
  </si>
  <si>
    <t>UTL</t>
  </si>
  <si>
    <t>Beta</t>
  </si>
  <si>
    <t>BETA</t>
  </si>
  <si>
    <t>TON</t>
  </si>
  <si>
    <t>MTT</t>
  </si>
  <si>
    <t>beta</t>
  </si>
  <si>
    <t>ZSM-48</t>
  </si>
  <si>
    <t>ITQ-13</t>
  </si>
  <si>
    <t>EU-1</t>
  </si>
  <si>
    <t>ITH</t>
  </si>
  <si>
    <t>IWR</t>
  </si>
  <si>
    <t>IWW</t>
  </si>
  <si>
    <t>Ge/Si</t>
  </si>
  <si>
    <t>AR</t>
  </si>
  <si>
    <t>TC</t>
  </si>
  <si>
    <t>tc</t>
  </si>
  <si>
    <t>Acidity T</t>
  </si>
  <si>
    <t>LA</t>
  </si>
  <si>
    <t>B/L</t>
  </si>
  <si>
    <t>https://doi.org/10.1006/jcat.1999.2503</t>
  </si>
  <si>
    <t>H2O/Si</t>
  </si>
  <si>
    <t>MCM-22</t>
  </si>
  <si>
    <t>Reference No</t>
  </si>
  <si>
    <t>https://doi.org/10.1016/j.micromeso.2024.113088</t>
  </si>
  <si>
    <t>MCM-56</t>
  </si>
  <si>
    <t xml:space="preserve">BA </t>
  </si>
  <si>
    <t>Area1</t>
  </si>
  <si>
    <t>Area2</t>
  </si>
  <si>
    <t>LTA</t>
  </si>
  <si>
    <t>https://doi.org/10.1016/j.micromeso.2023.112724</t>
  </si>
  <si>
    <t>https://doi.org/10.1016/S0926-860X(01)00501-4</t>
  </si>
  <si>
    <t>MCM-68</t>
  </si>
  <si>
    <t>MCM-58</t>
  </si>
  <si>
    <t>https://doi.org/10.1016/j.micromeso.2009.10.003</t>
  </si>
  <si>
    <t>https://doi.org/10.1016/j.micromeso.2024.113198</t>
  </si>
  <si>
    <t>SSZ-13</t>
  </si>
  <si>
    <t>https://doi.org/10.1016/j.jcat.2024.115466</t>
  </si>
  <si>
    <t>ZSM-5</t>
  </si>
  <si>
    <t>https://doi.org/10.1016/j.mcat.2023.113816</t>
  </si>
  <si>
    <t>Framework</t>
  </si>
  <si>
    <t>MWW</t>
  </si>
  <si>
    <t>MSE</t>
  </si>
  <si>
    <t>Sn/Si</t>
  </si>
  <si>
    <t>https://doi.org/10.1016/j.micromeso.2024.113157</t>
  </si>
  <si>
    <t>FER</t>
  </si>
  <si>
    <t>https://doi.org/10.1016/j.apcata.2022.118676</t>
  </si>
  <si>
    <t>https://doi.org/10.1016/j.jcat.2005.03.018</t>
  </si>
  <si>
    <t>Template-Ref-9</t>
  </si>
  <si>
    <t>Template-Ref-12</t>
  </si>
  <si>
    <t>https://doi.org/10.1016/0927-6513(93)E0053-J</t>
  </si>
  <si>
    <t>https://doi.org/10.1016/j.catcom.2017.06.009</t>
  </si>
  <si>
    <t>https://doi.org/10.1016/j.jcat.2009.05.017</t>
  </si>
  <si>
    <t>SSZ-42</t>
  </si>
  <si>
    <t>https://doi.org/10.1016/j.micromeso.2008.09.023</t>
  </si>
  <si>
    <t>ZSM-12</t>
  </si>
  <si>
    <t>Al/Si</t>
  </si>
  <si>
    <t>Ga/Si</t>
  </si>
  <si>
    <t>Fe/Si</t>
  </si>
  <si>
    <t>In/Si</t>
  </si>
  <si>
    <t>OH/Si</t>
  </si>
  <si>
    <t>F/Si</t>
  </si>
  <si>
    <t>SDA1/Si</t>
  </si>
  <si>
    <t>SDA2/Si</t>
  </si>
  <si>
    <t>B/Si</t>
  </si>
  <si>
    <t>Na2O/Si</t>
  </si>
  <si>
    <t>K2O/Si</t>
  </si>
  <si>
    <t>Cl/Si</t>
  </si>
  <si>
    <t>https://doi.org/10.1016/j.cattod.2015.10.013</t>
  </si>
  <si>
    <t>https://doi.org/10.1016/S1872-5813(23)60361-5</t>
  </si>
  <si>
    <t>https://doi.org/10.1016/j.solidstatesciences.2023.107250</t>
  </si>
  <si>
    <t>https://doi.org/10.1016/j.cattod.2014.06.041</t>
  </si>
  <si>
    <t>https://doi.org/10.1016/j.catcom.2019.04.014</t>
  </si>
  <si>
    <t>https://doi.org/10.1016/j.fuel.2023.127440</t>
  </si>
  <si>
    <t>NCL-1</t>
  </si>
  <si>
    <t>https://doi.org/10.1016/S1387-1811(98)00152-8</t>
  </si>
  <si>
    <t>Nb/Si</t>
  </si>
  <si>
    <t>Ta/Si</t>
  </si>
  <si>
    <t>Y</t>
  </si>
  <si>
    <t>FAU</t>
  </si>
  <si>
    <t>https://doi.org/10.1016/j.cattod.2010.06.018</t>
  </si>
  <si>
    <t>https://doi.org/10.1016/j.micromeso.2021.111677</t>
  </si>
  <si>
    <t>https://doi.org/10.1016/j.apcatb.2008.08.025</t>
  </si>
  <si>
    <t>ITQ-4</t>
  </si>
  <si>
    <t>https://doi.org/10.1021/cm001180e</t>
  </si>
  <si>
    <t>https://doi.org/10.1016/S1387-1811(99)00011-6</t>
  </si>
  <si>
    <t>CD3CN ADSORPTION</t>
  </si>
  <si>
    <t>ZSM-22</t>
  </si>
  <si>
    <t>https://doi.org/10.1016/j.cattod.2017.04.042</t>
  </si>
  <si>
    <t>https://doi.org/10.1016/j.fuel.2022.126363</t>
  </si>
  <si>
    <t>https://doi.org/10.1016/j.fuel.2022.124589</t>
  </si>
  <si>
    <t>ZSM-11</t>
  </si>
  <si>
    <t>https://doi.org/10.1016/j.fuel.2019.116034</t>
  </si>
  <si>
    <t>ZSM-23</t>
  </si>
  <si>
    <t>https://doi.org/10.1016/j.fuel.2024.131476</t>
  </si>
  <si>
    <t>IM-5</t>
  </si>
  <si>
    <t>IMF</t>
  </si>
  <si>
    <t>https://doi.org/10.1016/j.fuel.2023.129255</t>
  </si>
  <si>
    <t>https://doi.org/10.1016/j.jaap.2021.105116</t>
  </si>
  <si>
    <t>https://doi.org/10.1016/j.micromeso.2022.111941</t>
  </si>
  <si>
    <t>AEI</t>
  </si>
  <si>
    <t>https://doi.org/10.1016/j.micromeso.2024.113112</t>
  </si>
  <si>
    <t>NH3 adsorption</t>
  </si>
  <si>
    <t>https://doi.org/10.1039/D2RA00334A</t>
  </si>
  <si>
    <t>https://doi.org/10.1016/j.micromeso.2024.113234</t>
  </si>
  <si>
    <t>AFX</t>
  </si>
  <si>
    <t>Zr/Si</t>
  </si>
  <si>
    <t>https://doi.org/10.1016/j.mcat.2024.114093</t>
  </si>
  <si>
    <t>https://doi.org/10.1016/j.jcat.2016.11.017</t>
  </si>
  <si>
    <t>check C/N</t>
  </si>
  <si>
    <t>67-1</t>
  </si>
  <si>
    <t>https://doi.org/10.1006/jcat.2001.3469</t>
  </si>
  <si>
    <t>https://doi.org/10.1016/j.jcat.2015.12.021</t>
  </si>
  <si>
    <t>https://doi.org/10.1016/j.micromeso.2018.06.036</t>
  </si>
  <si>
    <t>https://doi.org/10.1016/j.ces.2024.120003</t>
  </si>
  <si>
    <t>Cs/Si</t>
  </si>
  <si>
    <t>RHO</t>
  </si>
  <si>
    <t>PWN</t>
  </si>
  <si>
    <t>https://doi.org/10.1016/j.micromeso.2020.110150</t>
  </si>
  <si>
    <t>https://doi.org/10.1016/j.apcatb.2023.123066</t>
  </si>
  <si>
    <t>TNU</t>
  </si>
  <si>
    <t>EMT</t>
  </si>
  <si>
    <t>https://doi.org/10.1016/j.cattod.2024.115012</t>
  </si>
  <si>
    <t>Ti/Si</t>
  </si>
  <si>
    <t>https://doi.org/10.3390/catal13020216</t>
  </si>
  <si>
    <t>https://doi.org/10.1016/j.matchemphys.2024.129825</t>
  </si>
  <si>
    <t>Crystallization T</t>
  </si>
  <si>
    <t>Crystallization time</t>
  </si>
  <si>
    <t>Aromatic ring</t>
  </si>
  <si>
    <t>Molecular area of template-1</t>
  </si>
  <si>
    <t>Molecular area of template-2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</si>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</sst>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1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wrapText="1"/>
    </xf>
    <xf numFmtId="2" fontId="6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micromeso.2024.113157" TargetMode="External"/><Relationship Id="rId18" Type="http://schemas.openxmlformats.org/officeDocument/2006/relationships/hyperlink" Target="https://doi.org/10.1016/j.micromeso.2024.113157" TargetMode="External"/><Relationship Id="rId26" Type="http://schemas.openxmlformats.org/officeDocument/2006/relationships/hyperlink" Target="https://doi.org/10.1016/j.jcat.2005.03.018" TargetMode="External"/><Relationship Id="rId39" Type="http://schemas.openxmlformats.org/officeDocument/2006/relationships/hyperlink" Target="https://doi.org/10.1016/j.micromeso.2018.06.036" TargetMode="External"/><Relationship Id="rId21" Type="http://schemas.openxmlformats.org/officeDocument/2006/relationships/hyperlink" Target="https://doi.org/10.1016/j.apcata.2022.118676" TargetMode="External"/><Relationship Id="rId34" Type="http://schemas.openxmlformats.org/officeDocument/2006/relationships/hyperlink" Target="https://doi.org/10.1016/j.solidstatesciences.2023.107250" TargetMode="External"/><Relationship Id="rId42" Type="http://schemas.openxmlformats.org/officeDocument/2006/relationships/hyperlink" Target="https://doi.org/10.1016/j.micromeso.2018.06.036" TargetMode="External"/><Relationship Id="rId7" Type="http://schemas.openxmlformats.org/officeDocument/2006/relationships/hyperlink" Target="https://doi.org/10.1016/S0926-860X(01)00501-4" TargetMode="External"/><Relationship Id="rId2" Type="http://schemas.openxmlformats.org/officeDocument/2006/relationships/hyperlink" Target="https://doi.org/10.1016/j.micromeso.2024.113088" TargetMode="External"/><Relationship Id="rId16" Type="http://schemas.openxmlformats.org/officeDocument/2006/relationships/hyperlink" Target="https://doi.org/10.1016/j.micromeso.2024.113157" TargetMode="External"/><Relationship Id="rId29" Type="http://schemas.openxmlformats.org/officeDocument/2006/relationships/hyperlink" Target="https://doi.org/10.1016/0927-6513(93)E0053-J" TargetMode="External"/><Relationship Id="rId1" Type="http://schemas.openxmlformats.org/officeDocument/2006/relationships/hyperlink" Target="https://doi.org/10.1006/jcat.1999.2503" TargetMode="External"/><Relationship Id="rId6" Type="http://schemas.openxmlformats.org/officeDocument/2006/relationships/hyperlink" Target="https://doi.org/10.1016/S0926-860X(01)00501-4" TargetMode="External"/><Relationship Id="rId11" Type="http://schemas.openxmlformats.org/officeDocument/2006/relationships/hyperlink" Target="https://doi.org/10.1016/j.jcat.2024.115466" TargetMode="External"/><Relationship Id="rId24" Type="http://schemas.openxmlformats.org/officeDocument/2006/relationships/hyperlink" Target="https://doi.org/10.1016/j.apcata.2022.118676" TargetMode="External"/><Relationship Id="rId32" Type="http://schemas.openxmlformats.org/officeDocument/2006/relationships/hyperlink" Target="https://doi.org/10.1016/j.catcom.2017.06.009" TargetMode="External"/><Relationship Id="rId37" Type="http://schemas.openxmlformats.org/officeDocument/2006/relationships/hyperlink" Target="https://doi.org/10.1039/D2RA00334A" TargetMode="External"/><Relationship Id="rId40" Type="http://schemas.openxmlformats.org/officeDocument/2006/relationships/hyperlink" Target="https://doi.org/10.1016/j.micromeso.2018.06.036" TargetMode="External"/><Relationship Id="rId45" Type="http://schemas.openxmlformats.org/officeDocument/2006/relationships/hyperlink" Target="https://doi.org/10.1016/j.matchemphys.2024.129825" TargetMode="External"/><Relationship Id="rId5" Type="http://schemas.openxmlformats.org/officeDocument/2006/relationships/hyperlink" Target="https://doi.org/10.1016/j.micromeso.2024.113088" TargetMode="External"/><Relationship Id="rId15" Type="http://schemas.openxmlformats.org/officeDocument/2006/relationships/hyperlink" Target="https://doi.org/10.1016/j.micromeso.2024.113157" TargetMode="External"/><Relationship Id="rId23" Type="http://schemas.openxmlformats.org/officeDocument/2006/relationships/hyperlink" Target="https://doi.org/10.1016/j.apcata.2022.118676" TargetMode="External"/><Relationship Id="rId28" Type="http://schemas.openxmlformats.org/officeDocument/2006/relationships/hyperlink" Target="https://doi.org/10.1016/0927-6513(93)E0053-J" TargetMode="External"/><Relationship Id="rId36" Type="http://schemas.openxmlformats.org/officeDocument/2006/relationships/hyperlink" Target="https://doi.org/10.1016/j.jaap.2021.105116" TargetMode="External"/><Relationship Id="rId10" Type="http://schemas.openxmlformats.org/officeDocument/2006/relationships/hyperlink" Target="https://doi.org/10.1016/j.micromeso.2009.10.003" TargetMode="External"/><Relationship Id="rId19" Type="http://schemas.openxmlformats.org/officeDocument/2006/relationships/hyperlink" Target="https://doi.org/10.1016/j.micromeso.2024.113157" TargetMode="External"/><Relationship Id="rId31" Type="http://schemas.openxmlformats.org/officeDocument/2006/relationships/hyperlink" Target="https://doi.org/10.1016/0927-6513(93)E0053-J" TargetMode="External"/><Relationship Id="rId44" Type="http://schemas.openxmlformats.org/officeDocument/2006/relationships/hyperlink" Target="https://doi.org/10.3390/catal13020216" TargetMode="External"/><Relationship Id="rId4" Type="http://schemas.openxmlformats.org/officeDocument/2006/relationships/hyperlink" Target="https://doi.org/10.1016/j.micromeso.2024.113088" TargetMode="External"/><Relationship Id="rId9" Type="http://schemas.openxmlformats.org/officeDocument/2006/relationships/hyperlink" Target="https://doi.org/10.1016/j.micromeso.2009.10.003" TargetMode="External"/><Relationship Id="rId14" Type="http://schemas.openxmlformats.org/officeDocument/2006/relationships/hyperlink" Target="https://doi.org/10.1016/j.micromeso.2024.113157" TargetMode="External"/><Relationship Id="rId22" Type="http://schemas.openxmlformats.org/officeDocument/2006/relationships/hyperlink" Target="https://doi.org/10.1016/j.apcata.2022.118676" TargetMode="External"/><Relationship Id="rId27" Type="http://schemas.openxmlformats.org/officeDocument/2006/relationships/hyperlink" Target="https://doi.org/10.1016/0927-6513(93)E0053-J" TargetMode="External"/><Relationship Id="rId30" Type="http://schemas.openxmlformats.org/officeDocument/2006/relationships/hyperlink" Target="https://doi.org/10.1016/0927-6513(93)E0053-J" TargetMode="External"/><Relationship Id="rId35" Type="http://schemas.openxmlformats.org/officeDocument/2006/relationships/hyperlink" Target="https://doi.org/10.1016/j.jcat.2005.03.018" TargetMode="External"/><Relationship Id="rId43" Type="http://schemas.openxmlformats.org/officeDocument/2006/relationships/hyperlink" Target="https://doi.org/10.3390/catal13020216" TargetMode="External"/><Relationship Id="rId8" Type="http://schemas.openxmlformats.org/officeDocument/2006/relationships/hyperlink" Target="https://doi.org/10.1016/S0926-860X(01)00501-4" TargetMode="External"/><Relationship Id="rId3" Type="http://schemas.openxmlformats.org/officeDocument/2006/relationships/hyperlink" Target="https://doi.org/10.1016/j.micromeso.2024.113088" TargetMode="External"/><Relationship Id="rId12" Type="http://schemas.openxmlformats.org/officeDocument/2006/relationships/hyperlink" Target="https://doi.org/10.1016/j.micromeso.2024.113157" TargetMode="External"/><Relationship Id="rId17" Type="http://schemas.openxmlformats.org/officeDocument/2006/relationships/hyperlink" Target="https://doi.org/10.1016/j.micromeso.2024.113157" TargetMode="External"/><Relationship Id="rId25" Type="http://schemas.openxmlformats.org/officeDocument/2006/relationships/hyperlink" Target="https://doi.org/10.1016/j.jcat.2005.03.018" TargetMode="External"/><Relationship Id="rId33" Type="http://schemas.openxmlformats.org/officeDocument/2006/relationships/hyperlink" Target="https://doi.org/10.1016/j.micromeso.2008.09.023" TargetMode="External"/><Relationship Id="rId38" Type="http://schemas.openxmlformats.org/officeDocument/2006/relationships/hyperlink" Target="https://doi.org/10.1016/j.mcat.2024.114093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doi.org/10.1016/j.micromeso.2024.113157" TargetMode="External"/><Relationship Id="rId41" Type="http://schemas.openxmlformats.org/officeDocument/2006/relationships/hyperlink" Target="https://doi.org/10.1016/j.micromeso.2018.06.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6BCD-D4AA-4404-B981-8183CAE4274B}">
  <dimension ref="A1:AC216"/>
  <sheetViews>
    <sheetView tabSelected="1" topLeftCell="Q1" workbookViewId="0">
      <selection activeCell="AD10" sqref="AD10"/>
    </sheetView>
  </sheetViews>
  <sheetFormatPr defaultColWidth="9.109375" defaultRowHeight="14.4" x14ac:dyDescent="0.3"/>
  <cols>
    <col min="1" max="20" width="9.109375" style="1"/>
    <col min="21" max="21" width="17.5546875" style="1" customWidth="1"/>
    <col min="22" max="22" width="13.44140625" style="1" customWidth="1"/>
    <col min="23" max="23" width="15" style="1" customWidth="1"/>
    <col min="24" max="24" width="19.88671875" style="1" customWidth="1"/>
    <col min="25" max="25" width="14.88671875" style="1" customWidth="1"/>
    <col min="26" max="26" width="9.109375" style="1"/>
    <col min="27" max="27" width="19" style="1" customWidth="1"/>
    <col min="28" max="16384" width="9.109375" style="1"/>
  </cols>
  <sheetData>
    <row r="1" spans="1:29" s="21" customFormat="1" ht="28.8" x14ac:dyDescent="0.3">
      <c r="A1" s="21" t="s">
        <v>24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87</v>
      </c>
      <c r="G1" s="21" t="s">
        <v>88</v>
      </c>
      <c r="H1" s="21" t="s">
        <v>71</v>
      </c>
      <c r="I1" s="21" t="s">
        <v>32</v>
      </c>
      <c r="J1" s="21" t="s">
        <v>72</v>
      </c>
      <c r="K1" s="21" t="s">
        <v>73</v>
      </c>
      <c r="L1" s="21" t="s">
        <v>74</v>
      </c>
      <c r="M1" s="21" t="s">
        <v>75</v>
      </c>
      <c r="N1" s="21" t="s">
        <v>76</v>
      </c>
      <c r="O1" s="21" t="s">
        <v>77</v>
      </c>
      <c r="P1" s="21" t="s">
        <v>126</v>
      </c>
      <c r="Q1" s="21" t="s">
        <v>78</v>
      </c>
      <c r="R1" s="21" t="s">
        <v>54</v>
      </c>
      <c r="S1" s="21" t="s">
        <v>117</v>
      </c>
      <c r="T1" s="21" t="s">
        <v>134</v>
      </c>
      <c r="U1" s="21" t="s">
        <v>137</v>
      </c>
      <c r="V1" s="22" t="s">
        <v>138</v>
      </c>
      <c r="W1" s="21" t="s">
        <v>139</v>
      </c>
      <c r="X1" s="22" t="s">
        <v>140</v>
      </c>
      <c r="Y1" s="22" t="s">
        <v>141</v>
      </c>
      <c r="Z1" s="21" t="s">
        <v>2</v>
      </c>
      <c r="AA1" s="22" t="s">
        <v>28</v>
      </c>
      <c r="AB1" s="21" t="s">
        <v>30</v>
      </c>
      <c r="AC1" s="21" t="s">
        <v>142</v>
      </c>
    </row>
    <row r="2" spans="1:29" x14ac:dyDescent="0.3">
      <c r="A2" s="1">
        <v>0.05</v>
      </c>
      <c r="B2" s="1">
        <v>1.9047619047619001E-2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0.476190476190476</v>
      </c>
      <c r="I2" s="1">
        <v>4.7619047619047619</v>
      </c>
      <c r="J2" s="1">
        <v>0.53333333333333333</v>
      </c>
      <c r="K2" s="1">
        <v>0.238095238095238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452.85</v>
      </c>
      <c r="V2" s="1">
        <v>72</v>
      </c>
      <c r="W2" s="1">
        <v>0</v>
      </c>
      <c r="X2" s="1">
        <v>258</v>
      </c>
      <c r="Y2" s="1">
        <v>0</v>
      </c>
      <c r="Z2" s="1">
        <v>0</v>
      </c>
      <c r="AA2" s="1">
        <v>423</v>
      </c>
      <c r="AB2" s="1">
        <v>0.86</v>
      </c>
      <c r="AC2" s="1">
        <v>0</v>
      </c>
    </row>
    <row r="3" spans="1:29" x14ac:dyDescent="0.3">
      <c r="A3" s="1">
        <v>0.05</v>
      </c>
      <c r="B3" s="1">
        <v>9.5238095238095229E-3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0.47619047619047616</v>
      </c>
      <c r="I3" s="1">
        <v>4.7619047619047619</v>
      </c>
      <c r="J3" s="1">
        <v>0.53333333333333333</v>
      </c>
      <c r="K3" s="1">
        <v>0.23809523809523808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452.85</v>
      </c>
      <c r="V3" s="1">
        <v>72</v>
      </c>
      <c r="W3" s="1">
        <v>0</v>
      </c>
      <c r="X3" s="1">
        <v>258</v>
      </c>
      <c r="Y3" s="1">
        <v>0</v>
      </c>
      <c r="Z3" s="1">
        <v>0</v>
      </c>
      <c r="AA3" s="1">
        <v>423</v>
      </c>
      <c r="AB3" s="1">
        <v>0.89</v>
      </c>
      <c r="AC3" s="1">
        <v>0</v>
      </c>
    </row>
    <row r="4" spans="1:29" x14ac:dyDescent="0.3">
      <c r="A4" s="1">
        <v>0.05</v>
      </c>
      <c r="B4" s="1">
        <v>6.6666666666666662E-3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0.47619047619047616</v>
      </c>
      <c r="I4" s="1">
        <v>4.7619047619047619</v>
      </c>
      <c r="J4" s="1">
        <v>0.53333333333333333</v>
      </c>
      <c r="K4" s="1">
        <v>0.23809523809523808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452.85</v>
      </c>
      <c r="V4" s="1">
        <v>72</v>
      </c>
      <c r="W4" s="1">
        <v>0</v>
      </c>
      <c r="X4" s="1">
        <v>258</v>
      </c>
      <c r="Y4" s="1">
        <v>0</v>
      </c>
      <c r="Z4" s="1">
        <v>0</v>
      </c>
      <c r="AA4" s="1">
        <v>423</v>
      </c>
      <c r="AB4" s="1">
        <v>0.33</v>
      </c>
      <c r="AC4" s="1">
        <v>0</v>
      </c>
    </row>
    <row r="5" spans="1:29" x14ac:dyDescent="0.3">
      <c r="A5" s="1">
        <v>0.05</v>
      </c>
      <c r="B5" s="1">
        <v>4.7619047619047615E-3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0.47619047619047616</v>
      </c>
      <c r="I5" s="1">
        <v>4.7619047619047619</v>
      </c>
      <c r="J5" s="1">
        <v>0.53333333333333333</v>
      </c>
      <c r="K5" s="1">
        <v>0.23809523809523808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452.85</v>
      </c>
      <c r="V5" s="1">
        <v>72</v>
      </c>
      <c r="W5" s="1">
        <v>0</v>
      </c>
      <c r="X5" s="1">
        <v>258</v>
      </c>
      <c r="Y5" s="1">
        <v>0</v>
      </c>
      <c r="Z5" s="1">
        <v>0</v>
      </c>
      <c r="AA5" s="1">
        <v>423</v>
      </c>
      <c r="AB5" s="1">
        <v>0.17</v>
      </c>
      <c r="AC5" s="1">
        <v>0</v>
      </c>
    </row>
    <row r="6" spans="1:29" x14ac:dyDescent="0.3">
      <c r="A6" s="1">
        <v>0.05</v>
      </c>
      <c r="B6" s="1">
        <v>1.9047619047619001E-2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0.47619047619047616</v>
      </c>
      <c r="I6" s="1">
        <v>4.7619047619047619</v>
      </c>
      <c r="J6" s="1">
        <v>0.53333333333333333</v>
      </c>
      <c r="K6" s="1">
        <v>0.23809523809523808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452.85</v>
      </c>
      <c r="V6" s="1">
        <v>72</v>
      </c>
      <c r="W6" s="1">
        <v>0</v>
      </c>
      <c r="X6" s="1">
        <v>258</v>
      </c>
      <c r="Y6" s="1">
        <v>0</v>
      </c>
      <c r="Z6" s="1">
        <v>0</v>
      </c>
      <c r="AA6" s="1">
        <v>573</v>
      </c>
      <c r="AB6" s="1">
        <v>2.06</v>
      </c>
      <c r="AC6" s="1">
        <v>1</v>
      </c>
    </row>
    <row r="7" spans="1:29" x14ac:dyDescent="0.3">
      <c r="A7" s="1">
        <v>0.05</v>
      </c>
      <c r="B7" s="1">
        <v>9.5238095238095229E-3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0.47619047619047616</v>
      </c>
      <c r="I7" s="1">
        <v>4.7619047619047619</v>
      </c>
      <c r="J7" s="1">
        <v>0.53333333333333333</v>
      </c>
      <c r="K7" s="1">
        <v>0.23809523809523808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452.85</v>
      </c>
      <c r="V7" s="1">
        <v>72</v>
      </c>
      <c r="W7" s="1">
        <v>0</v>
      </c>
      <c r="X7" s="1">
        <v>258</v>
      </c>
      <c r="Y7" s="1">
        <v>0</v>
      </c>
      <c r="Z7" s="1">
        <v>0</v>
      </c>
      <c r="AA7" s="1">
        <v>573</v>
      </c>
      <c r="AB7" s="1">
        <v>2.4</v>
      </c>
      <c r="AC7" s="1">
        <v>1</v>
      </c>
    </row>
    <row r="8" spans="1:29" x14ac:dyDescent="0.3">
      <c r="A8" s="1">
        <v>0.05</v>
      </c>
      <c r="B8" s="1">
        <v>4.7619047619047615E-3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0.47619047619047616</v>
      </c>
      <c r="I8" s="1">
        <v>4.7619047619047619</v>
      </c>
      <c r="J8" s="1">
        <v>0.53333333333333333</v>
      </c>
      <c r="K8" s="1">
        <v>0.23809523809523808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452.85</v>
      </c>
      <c r="V8" s="1">
        <v>72</v>
      </c>
      <c r="W8" s="1">
        <v>0</v>
      </c>
      <c r="X8" s="1">
        <v>258</v>
      </c>
      <c r="Y8" s="1">
        <v>0</v>
      </c>
      <c r="Z8" s="1">
        <v>0</v>
      </c>
      <c r="AA8" s="1">
        <v>573</v>
      </c>
      <c r="AB8" s="1">
        <v>0.36</v>
      </c>
      <c r="AC8" s="1">
        <v>0</v>
      </c>
    </row>
    <row r="9" spans="1:29" x14ac:dyDescent="0.3">
      <c r="A9" s="1">
        <v>0</v>
      </c>
      <c r="B9" s="1">
        <v>0.02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0.1</v>
      </c>
      <c r="I9" s="1">
        <v>44</v>
      </c>
      <c r="J9" s="1">
        <v>0</v>
      </c>
      <c r="K9" s="1">
        <v>0.5</v>
      </c>
      <c r="L9" s="1">
        <v>0</v>
      </c>
      <c r="M9" s="1">
        <v>0</v>
      </c>
      <c r="N9" s="1">
        <v>0.09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408</v>
      </c>
      <c r="V9" s="1">
        <v>264</v>
      </c>
      <c r="W9" s="1">
        <v>0</v>
      </c>
      <c r="X9" s="1">
        <v>100</v>
      </c>
      <c r="Y9" s="1">
        <v>0</v>
      </c>
      <c r="Z9" s="1">
        <v>60</v>
      </c>
      <c r="AA9" s="1">
        <v>423</v>
      </c>
      <c r="AB9" s="1">
        <v>1.6956521739130435</v>
      </c>
      <c r="AC9" s="1">
        <v>1</v>
      </c>
    </row>
    <row r="10" spans="1:29" x14ac:dyDescent="0.3">
      <c r="A10" s="1">
        <v>0</v>
      </c>
      <c r="B10" s="1">
        <v>0.02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0.1</v>
      </c>
      <c r="I10" s="1">
        <v>44</v>
      </c>
      <c r="J10" s="1">
        <v>0</v>
      </c>
      <c r="K10" s="1">
        <v>0.5</v>
      </c>
      <c r="L10" s="1">
        <v>0</v>
      </c>
      <c r="M10" s="1">
        <v>0</v>
      </c>
      <c r="N10" s="1">
        <v>0.09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408</v>
      </c>
      <c r="V10" s="1">
        <v>264</v>
      </c>
      <c r="W10" s="1">
        <v>0</v>
      </c>
      <c r="X10" s="1">
        <v>100</v>
      </c>
      <c r="Y10" s="1">
        <v>0</v>
      </c>
      <c r="Z10" s="1">
        <v>60</v>
      </c>
      <c r="AA10" s="1">
        <v>523</v>
      </c>
      <c r="AB10" s="1">
        <v>1.6</v>
      </c>
      <c r="AC10" s="1">
        <v>1</v>
      </c>
    </row>
    <row r="11" spans="1:29" x14ac:dyDescent="0.3">
      <c r="A11" s="1">
        <v>0</v>
      </c>
      <c r="B11" s="1">
        <v>0.02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0.1</v>
      </c>
      <c r="I11" s="1">
        <v>44</v>
      </c>
      <c r="J11" s="1">
        <v>0</v>
      </c>
      <c r="K11" s="1">
        <v>0.5</v>
      </c>
      <c r="L11" s="1">
        <v>0</v>
      </c>
      <c r="M11" s="1">
        <v>0</v>
      </c>
      <c r="N11" s="1">
        <v>0.09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408</v>
      </c>
      <c r="V11" s="1">
        <v>264</v>
      </c>
      <c r="W11" s="1">
        <v>0</v>
      </c>
      <c r="X11" s="1">
        <v>100</v>
      </c>
      <c r="Y11" s="1">
        <v>0</v>
      </c>
      <c r="Z11" s="1">
        <v>60</v>
      </c>
      <c r="AA11" s="1">
        <v>623</v>
      </c>
      <c r="AB11" s="1">
        <v>1.0714285714285714</v>
      </c>
      <c r="AC11" s="1">
        <v>1</v>
      </c>
    </row>
    <row r="12" spans="1:29" x14ac:dyDescent="0.3">
      <c r="A12" s="1">
        <v>0</v>
      </c>
      <c r="B12" s="1">
        <v>6.6666666666666666E-2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0.1</v>
      </c>
      <c r="I12" s="1">
        <v>20</v>
      </c>
      <c r="J12" s="1">
        <v>0</v>
      </c>
      <c r="K12" s="1">
        <v>0.2</v>
      </c>
      <c r="L12" s="1">
        <v>0</v>
      </c>
      <c r="M12" s="1">
        <v>0</v>
      </c>
      <c r="N12" s="1">
        <v>5.2499999999999998E-2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423</v>
      </c>
      <c r="V12" s="1">
        <v>72</v>
      </c>
      <c r="W12" s="1">
        <v>0</v>
      </c>
      <c r="X12" s="1">
        <v>100</v>
      </c>
      <c r="Y12" s="1">
        <v>0</v>
      </c>
      <c r="Z12" s="1">
        <v>60</v>
      </c>
      <c r="AA12" s="1">
        <v>473</v>
      </c>
      <c r="AB12" s="1">
        <v>2</v>
      </c>
      <c r="AC12" s="1">
        <v>1</v>
      </c>
    </row>
    <row r="13" spans="1:29" x14ac:dyDescent="0.3">
      <c r="A13" s="1">
        <v>0</v>
      </c>
      <c r="B13" s="1">
        <v>6.6666666666666666E-2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0.1</v>
      </c>
      <c r="I13" s="1">
        <v>20</v>
      </c>
      <c r="J13" s="1">
        <v>0</v>
      </c>
      <c r="K13" s="1">
        <v>0.2</v>
      </c>
      <c r="L13" s="1">
        <v>0</v>
      </c>
      <c r="M13" s="1">
        <v>0</v>
      </c>
      <c r="N13" s="1">
        <v>5.2499999999999998E-2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423</v>
      </c>
      <c r="V13" s="1">
        <v>72</v>
      </c>
      <c r="W13" s="1">
        <v>0</v>
      </c>
      <c r="X13" s="1">
        <v>100</v>
      </c>
      <c r="Y13" s="1">
        <v>0</v>
      </c>
      <c r="Z13" s="1">
        <v>60</v>
      </c>
      <c r="AA13" s="1">
        <v>623</v>
      </c>
      <c r="AB13" s="1">
        <v>4.666666666666667</v>
      </c>
      <c r="AC13" s="1">
        <v>1</v>
      </c>
    </row>
    <row r="14" spans="1:29" x14ac:dyDescent="0.3">
      <c r="A14" s="1">
        <v>0</v>
      </c>
      <c r="B14" s="1">
        <v>6.6666666666666666E-2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0.2</v>
      </c>
      <c r="I14" s="1">
        <v>30</v>
      </c>
      <c r="J14" s="1">
        <v>0</v>
      </c>
      <c r="K14" s="1">
        <v>0.3</v>
      </c>
      <c r="L14" s="1">
        <v>0</v>
      </c>
      <c r="M14" s="1">
        <v>0</v>
      </c>
      <c r="N14" s="1">
        <v>0.10249999999999999</v>
      </c>
      <c r="O14" s="1">
        <v>0</v>
      </c>
      <c r="P14" s="1">
        <v>0</v>
      </c>
      <c r="Q14" s="1">
        <v>0.3</v>
      </c>
      <c r="R14" s="1">
        <v>0</v>
      </c>
      <c r="S14" s="1">
        <v>0</v>
      </c>
      <c r="T14" s="1">
        <v>0</v>
      </c>
      <c r="U14" s="1">
        <v>423</v>
      </c>
      <c r="V14" s="1">
        <v>72</v>
      </c>
      <c r="W14" s="1">
        <v>0</v>
      </c>
      <c r="X14" s="1">
        <v>104</v>
      </c>
      <c r="Y14" s="1">
        <v>0</v>
      </c>
      <c r="Z14" s="1">
        <v>60</v>
      </c>
      <c r="AA14" s="1">
        <v>473</v>
      </c>
      <c r="AB14" s="1">
        <v>2.1</v>
      </c>
      <c r="AC14" s="1">
        <v>1</v>
      </c>
    </row>
    <row r="15" spans="1:29" x14ac:dyDescent="0.3">
      <c r="A15" s="1">
        <v>0</v>
      </c>
      <c r="B15" s="1">
        <v>6.6666666666666666E-2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0.2</v>
      </c>
      <c r="I15" s="1">
        <v>30</v>
      </c>
      <c r="J15" s="1">
        <v>0</v>
      </c>
      <c r="K15" s="1">
        <v>0.3</v>
      </c>
      <c r="L15" s="1">
        <v>0</v>
      </c>
      <c r="M15" s="1">
        <v>0</v>
      </c>
      <c r="N15" s="1">
        <v>0.10249999999999999</v>
      </c>
      <c r="O15" s="1">
        <v>0</v>
      </c>
      <c r="P15" s="1">
        <v>0</v>
      </c>
      <c r="Q15" s="1">
        <v>0.3</v>
      </c>
      <c r="R15" s="1">
        <v>0</v>
      </c>
      <c r="S15" s="1">
        <v>0</v>
      </c>
      <c r="T15" s="1">
        <v>0</v>
      </c>
      <c r="U15" s="1">
        <v>423</v>
      </c>
      <c r="V15" s="1">
        <v>72</v>
      </c>
      <c r="W15" s="1">
        <v>0</v>
      </c>
      <c r="X15" s="1">
        <v>104</v>
      </c>
      <c r="Y15" s="1">
        <v>0</v>
      </c>
      <c r="Z15" s="1">
        <v>60</v>
      </c>
      <c r="AA15" s="1">
        <v>623</v>
      </c>
      <c r="AB15" s="1">
        <v>2.4285714285714284</v>
      </c>
      <c r="AC15" s="1">
        <v>1</v>
      </c>
    </row>
    <row r="16" spans="1:29" x14ac:dyDescent="0.3">
      <c r="A16" s="1">
        <v>0</v>
      </c>
      <c r="B16" s="1">
        <v>0.01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0.01</v>
      </c>
      <c r="I16" s="1">
        <v>5</v>
      </c>
      <c r="J16" s="1">
        <v>0.5</v>
      </c>
      <c r="K16" s="1">
        <v>0.5</v>
      </c>
      <c r="L16" s="1">
        <v>0.01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443</v>
      </c>
      <c r="V16" s="1">
        <v>96</v>
      </c>
      <c r="W16" s="1">
        <v>1</v>
      </c>
      <c r="X16" s="1">
        <v>222</v>
      </c>
      <c r="Y16" s="1">
        <v>68</v>
      </c>
      <c r="Z16" s="1">
        <v>15</v>
      </c>
      <c r="AA16" s="1">
        <v>423</v>
      </c>
      <c r="AB16" s="1">
        <v>4.9333333333333336</v>
      </c>
      <c r="AC16" s="1">
        <v>1</v>
      </c>
    </row>
    <row r="17" spans="1:29" x14ac:dyDescent="0.3">
      <c r="A17" s="1">
        <v>0</v>
      </c>
      <c r="B17" s="1">
        <v>0.02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0.02</v>
      </c>
      <c r="I17" s="1">
        <v>5</v>
      </c>
      <c r="J17" s="1">
        <v>0.5</v>
      </c>
      <c r="K17" s="1">
        <v>0.5</v>
      </c>
      <c r="L17" s="1">
        <v>0.02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443</v>
      </c>
      <c r="V17" s="1">
        <v>96</v>
      </c>
      <c r="W17" s="1">
        <v>1</v>
      </c>
      <c r="X17" s="1">
        <v>222</v>
      </c>
      <c r="Y17" s="1">
        <v>68</v>
      </c>
      <c r="Z17" s="1">
        <v>15</v>
      </c>
      <c r="AA17" s="1">
        <v>423</v>
      </c>
      <c r="AB17" s="1">
        <v>2.1354166666666665</v>
      </c>
      <c r="AC17" s="1">
        <v>1</v>
      </c>
    </row>
    <row r="18" spans="1:29" x14ac:dyDescent="0.3">
      <c r="A18" s="1">
        <v>0</v>
      </c>
      <c r="B18" s="1">
        <v>0.04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0.04</v>
      </c>
      <c r="I18" s="1">
        <v>5</v>
      </c>
      <c r="J18" s="1">
        <v>0.5</v>
      </c>
      <c r="K18" s="1">
        <v>0.5</v>
      </c>
      <c r="L18" s="1">
        <v>0.04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443</v>
      </c>
      <c r="V18" s="1">
        <v>96</v>
      </c>
      <c r="W18" s="1">
        <v>1</v>
      </c>
      <c r="X18" s="1">
        <v>222</v>
      </c>
      <c r="Y18" s="1">
        <v>68</v>
      </c>
      <c r="Z18" s="1">
        <v>15</v>
      </c>
      <c r="AA18" s="1">
        <v>423</v>
      </c>
      <c r="AB18" s="1">
        <v>2.0490797546012272</v>
      </c>
      <c r="AC18" s="1">
        <v>1</v>
      </c>
    </row>
    <row r="19" spans="1:29" x14ac:dyDescent="0.3">
      <c r="A19" s="1">
        <v>0</v>
      </c>
      <c r="B19" s="1">
        <v>6.7000000000000004E-2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6.7000000000000004E-2</v>
      </c>
      <c r="I19" s="1">
        <v>5</v>
      </c>
      <c r="J19" s="1">
        <v>0.5</v>
      </c>
      <c r="K19" s="1">
        <v>0.5</v>
      </c>
      <c r="L19" s="1">
        <v>6.7000000000000004E-2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443</v>
      </c>
      <c r="V19" s="1">
        <v>96</v>
      </c>
      <c r="W19" s="1">
        <v>1</v>
      </c>
      <c r="X19" s="1">
        <v>222</v>
      </c>
      <c r="Y19" s="1">
        <v>68</v>
      </c>
      <c r="Z19" s="1">
        <v>15</v>
      </c>
      <c r="AA19" s="1">
        <v>423</v>
      </c>
      <c r="AB19" s="1">
        <v>2.0682926829268293</v>
      </c>
      <c r="AC19" s="1">
        <v>1</v>
      </c>
    </row>
    <row r="20" spans="1:29" x14ac:dyDescent="0.3">
      <c r="A20" s="1">
        <v>0</v>
      </c>
      <c r="B20" s="1">
        <v>3.3333333333333333E-2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45.6</v>
      </c>
      <c r="J20" s="1">
        <v>0</v>
      </c>
      <c r="K20" s="1">
        <v>0.45666666666666667</v>
      </c>
      <c r="L20" s="1">
        <v>0</v>
      </c>
      <c r="M20" s="1">
        <v>0</v>
      </c>
      <c r="N20" s="1">
        <v>0.32766666666666666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423</v>
      </c>
      <c r="V20" s="1">
        <v>80</v>
      </c>
      <c r="W20" s="1">
        <v>0</v>
      </c>
      <c r="X20" s="1">
        <v>100</v>
      </c>
      <c r="Y20" s="1">
        <v>0</v>
      </c>
      <c r="Z20" s="1">
        <v>250</v>
      </c>
      <c r="AA20" s="1">
        <v>423</v>
      </c>
      <c r="AB20" s="1">
        <v>2.9230769230769229</v>
      </c>
      <c r="AC20" s="1">
        <v>1</v>
      </c>
    </row>
    <row r="21" spans="1:29" x14ac:dyDescent="0.3">
      <c r="A21" s="1">
        <v>0</v>
      </c>
      <c r="B21" s="1">
        <v>7.1428571428571425E-2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97.714285714285708</v>
      </c>
      <c r="J21" s="1">
        <v>0</v>
      </c>
      <c r="K21" s="1">
        <v>0.97857142857142854</v>
      </c>
      <c r="L21" s="1">
        <v>0</v>
      </c>
      <c r="M21" s="1">
        <v>0</v>
      </c>
      <c r="N21" s="1">
        <v>0.70214285714285718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423</v>
      </c>
      <c r="V21" s="1">
        <v>80</v>
      </c>
      <c r="W21" s="1">
        <v>0</v>
      </c>
      <c r="X21" s="1">
        <v>100</v>
      </c>
      <c r="Y21" s="1">
        <v>0</v>
      </c>
      <c r="Z21" s="1">
        <v>250</v>
      </c>
      <c r="AA21" s="1">
        <v>423</v>
      </c>
      <c r="AB21" s="1">
        <v>4.4400000000000004</v>
      </c>
      <c r="AC21" s="1">
        <v>1</v>
      </c>
    </row>
    <row r="22" spans="1:29" x14ac:dyDescent="0.3">
      <c r="A22" s="1">
        <v>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136.80000000000001</v>
      </c>
      <c r="J22" s="1">
        <v>0</v>
      </c>
      <c r="K22" s="1">
        <v>1.3699999999999999</v>
      </c>
      <c r="L22" s="1">
        <v>0</v>
      </c>
      <c r="M22" s="1">
        <v>0</v>
      </c>
      <c r="N22" s="1">
        <v>0.98299999999999998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423</v>
      </c>
      <c r="V22" s="1">
        <v>80</v>
      </c>
      <c r="W22" s="1">
        <v>0</v>
      </c>
      <c r="X22" s="1">
        <v>100</v>
      </c>
      <c r="Y22" s="1">
        <v>0</v>
      </c>
      <c r="Z22" s="1">
        <v>250</v>
      </c>
      <c r="AA22" s="1">
        <v>423</v>
      </c>
      <c r="AB22" s="1">
        <v>7.333333333333333</v>
      </c>
      <c r="AC22" s="1">
        <v>1</v>
      </c>
    </row>
    <row r="23" spans="1:29" x14ac:dyDescent="0.3">
      <c r="A23" s="1">
        <v>0</v>
      </c>
      <c r="B23" s="1">
        <v>6.6666666666666666E-2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0.64</v>
      </c>
      <c r="I23" s="1">
        <v>30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0.22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433</v>
      </c>
      <c r="V23" s="1">
        <v>288</v>
      </c>
      <c r="W23" s="1">
        <v>0</v>
      </c>
      <c r="X23" s="1">
        <v>303</v>
      </c>
      <c r="Y23" s="1">
        <v>0</v>
      </c>
      <c r="Z23" s="1">
        <v>0</v>
      </c>
      <c r="AA23" s="1">
        <v>443</v>
      </c>
      <c r="AB23" s="1">
        <v>10.888888888888889</v>
      </c>
      <c r="AC23" s="1">
        <v>1</v>
      </c>
    </row>
    <row r="24" spans="1:29" x14ac:dyDescent="0.3">
      <c r="A24" s="1">
        <v>0</v>
      </c>
      <c r="B24" s="1">
        <v>2.5000000000000001E-2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0.8</v>
      </c>
      <c r="I24" s="1">
        <v>38</v>
      </c>
      <c r="J24" s="1">
        <v>0</v>
      </c>
      <c r="K24" s="1">
        <v>0.1</v>
      </c>
      <c r="L24" s="1">
        <v>0</v>
      </c>
      <c r="M24" s="1">
        <v>0</v>
      </c>
      <c r="N24" s="1">
        <v>0</v>
      </c>
      <c r="O24" s="1">
        <v>0.3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443</v>
      </c>
      <c r="V24" s="1">
        <v>144</v>
      </c>
      <c r="W24" s="1">
        <v>0</v>
      </c>
      <c r="X24" s="1">
        <v>303</v>
      </c>
      <c r="Y24" s="1">
        <v>0</v>
      </c>
      <c r="Z24" s="1">
        <v>0</v>
      </c>
      <c r="AA24" s="1">
        <v>443</v>
      </c>
      <c r="AB24" s="1">
        <v>6.7846153846153845</v>
      </c>
      <c r="AC24" s="1">
        <v>1</v>
      </c>
    </row>
    <row r="25" spans="1:29" x14ac:dyDescent="0.3">
      <c r="A25" s="1">
        <v>0.5</v>
      </c>
      <c r="B25" s="1">
        <v>1.5151515151515152E-2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0.4</v>
      </c>
      <c r="I25" s="1">
        <v>33</v>
      </c>
      <c r="J25" s="1">
        <v>0</v>
      </c>
      <c r="K25" s="1">
        <v>0.4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448</v>
      </c>
      <c r="V25" s="1">
        <v>504</v>
      </c>
      <c r="W25" s="1">
        <v>0</v>
      </c>
      <c r="X25" s="1">
        <v>202</v>
      </c>
      <c r="Y25" s="1">
        <v>0</v>
      </c>
      <c r="Z25" s="1">
        <v>30</v>
      </c>
      <c r="AA25" s="1">
        <v>423</v>
      </c>
      <c r="AB25" s="1">
        <v>0.6</v>
      </c>
      <c r="AC25" s="1">
        <v>0</v>
      </c>
    </row>
    <row r="26" spans="1:29" x14ac:dyDescent="0.3">
      <c r="A26" s="1">
        <v>0.5</v>
      </c>
      <c r="B26" s="1">
        <v>1.5151515151515152E-2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0.4</v>
      </c>
      <c r="I26" s="1">
        <v>33</v>
      </c>
      <c r="J26" s="1">
        <v>0</v>
      </c>
      <c r="K26" s="1">
        <v>0.4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448</v>
      </c>
      <c r="V26" s="1">
        <v>504</v>
      </c>
      <c r="W26" s="1">
        <v>0</v>
      </c>
      <c r="X26" s="1">
        <v>202</v>
      </c>
      <c r="Y26" s="1">
        <v>0</v>
      </c>
      <c r="Z26" s="1">
        <v>30</v>
      </c>
      <c r="AA26" s="1">
        <v>523</v>
      </c>
      <c r="AB26" s="1">
        <v>0.66666666666666674</v>
      </c>
      <c r="AC26" s="1">
        <v>0</v>
      </c>
    </row>
    <row r="27" spans="1:29" x14ac:dyDescent="0.3">
      <c r="A27" s="1">
        <v>0.5</v>
      </c>
      <c r="B27" s="1">
        <v>1.5151515151515152E-2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0.4</v>
      </c>
      <c r="I27" s="1">
        <v>33</v>
      </c>
      <c r="J27" s="1">
        <v>0</v>
      </c>
      <c r="K27" s="1">
        <v>0.4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448</v>
      </c>
      <c r="V27" s="1">
        <v>504</v>
      </c>
      <c r="W27" s="1">
        <v>0</v>
      </c>
      <c r="X27" s="1">
        <v>202</v>
      </c>
      <c r="Y27" s="1">
        <v>0</v>
      </c>
      <c r="Z27" s="1">
        <v>30</v>
      </c>
      <c r="AA27" s="1">
        <v>623</v>
      </c>
      <c r="AB27" s="1">
        <v>0.33333333333333337</v>
      </c>
      <c r="AC27" s="1">
        <v>0</v>
      </c>
    </row>
    <row r="28" spans="1:29" x14ac:dyDescent="0.3">
      <c r="A28" s="1">
        <v>0.5</v>
      </c>
      <c r="B28" s="1">
        <v>0</v>
      </c>
      <c r="C28" s="1">
        <v>1.5151515151515152E-2</v>
      </c>
      <c r="D28" s="1">
        <v>0</v>
      </c>
      <c r="E28" s="1">
        <v>0</v>
      </c>
      <c r="F28" s="1">
        <v>0</v>
      </c>
      <c r="G28" s="1">
        <v>0</v>
      </c>
      <c r="H28" s="1">
        <v>0.4</v>
      </c>
      <c r="I28" s="1">
        <v>33</v>
      </c>
      <c r="J28" s="1">
        <v>0</v>
      </c>
      <c r="K28" s="1">
        <v>0.4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448</v>
      </c>
      <c r="V28" s="1">
        <v>504</v>
      </c>
      <c r="W28" s="1">
        <v>0</v>
      </c>
      <c r="X28" s="1">
        <v>202</v>
      </c>
      <c r="Y28" s="1">
        <v>0</v>
      </c>
      <c r="Z28" s="1">
        <v>30</v>
      </c>
      <c r="AA28" s="1">
        <v>423</v>
      </c>
      <c r="AB28" s="1">
        <v>0.15384615384615385</v>
      </c>
      <c r="AC28" s="1">
        <v>0</v>
      </c>
    </row>
    <row r="29" spans="1:29" x14ac:dyDescent="0.3">
      <c r="A29" s="1">
        <v>0.5</v>
      </c>
      <c r="B29" s="1">
        <v>0</v>
      </c>
      <c r="C29" s="1">
        <v>1.5151515151515152E-2</v>
      </c>
      <c r="D29" s="1">
        <v>0</v>
      </c>
      <c r="E29" s="1">
        <v>0</v>
      </c>
      <c r="F29" s="1">
        <v>0</v>
      </c>
      <c r="G29" s="1">
        <v>0</v>
      </c>
      <c r="H29" s="1">
        <v>0.4</v>
      </c>
      <c r="I29" s="1">
        <v>33</v>
      </c>
      <c r="J29" s="1">
        <v>0</v>
      </c>
      <c r="K29" s="1">
        <v>0.4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448</v>
      </c>
      <c r="V29" s="1">
        <v>504</v>
      </c>
      <c r="W29" s="1">
        <v>0</v>
      </c>
      <c r="X29" s="1">
        <v>202</v>
      </c>
      <c r="Y29" s="1">
        <v>0</v>
      </c>
      <c r="Z29" s="1">
        <v>30</v>
      </c>
      <c r="AA29" s="1">
        <v>523</v>
      </c>
      <c r="AB29" s="1">
        <v>0.125</v>
      </c>
      <c r="AC29" s="1">
        <v>0</v>
      </c>
    </row>
    <row r="30" spans="1:29" x14ac:dyDescent="0.3">
      <c r="A30" s="1">
        <v>0.5</v>
      </c>
      <c r="B30" s="1">
        <v>0</v>
      </c>
      <c r="C30" s="1">
        <v>1.5151515151515152E-2</v>
      </c>
      <c r="D30" s="1">
        <v>0</v>
      </c>
      <c r="E30" s="1">
        <v>0</v>
      </c>
      <c r="F30" s="1">
        <v>0</v>
      </c>
      <c r="G30" s="1">
        <v>0</v>
      </c>
      <c r="H30" s="1">
        <v>0.4</v>
      </c>
      <c r="I30" s="1">
        <v>33</v>
      </c>
      <c r="J30" s="1">
        <v>0</v>
      </c>
      <c r="K30" s="1">
        <v>0.4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448</v>
      </c>
      <c r="V30" s="1">
        <v>504</v>
      </c>
      <c r="W30" s="1">
        <v>0</v>
      </c>
      <c r="X30" s="1">
        <v>202</v>
      </c>
      <c r="Y30" s="1">
        <v>0</v>
      </c>
      <c r="Z30" s="1">
        <v>30</v>
      </c>
      <c r="AA30" s="1">
        <v>623</v>
      </c>
      <c r="AB30" s="1">
        <v>0.14285714285714285</v>
      </c>
      <c r="AC30" s="1">
        <v>0</v>
      </c>
    </row>
    <row r="31" spans="1:29" x14ac:dyDescent="0.3">
      <c r="A31" s="1">
        <v>0.5</v>
      </c>
      <c r="B31" s="1">
        <v>0</v>
      </c>
      <c r="C31" s="1">
        <v>0</v>
      </c>
      <c r="D31" s="1">
        <v>1.5151515151515152E-2</v>
      </c>
      <c r="E31" s="1">
        <v>0</v>
      </c>
      <c r="F31" s="1">
        <v>0</v>
      </c>
      <c r="G31" s="1">
        <v>0</v>
      </c>
      <c r="H31" s="1">
        <v>0.4</v>
      </c>
      <c r="I31" s="1">
        <v>33</v>
      </c>
      <c r="J31" s="1">
        <v>0</v>
      </c>
      <c r="K31" s="1">
        <v>0.4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448</v>
      </c>
      <c r="V31" s="1">
        <v>504</v>
      </c>
      <c r="W31" s="1">
        <v>0</v>
      </c>
      <c r="X31" s="1">
        <v>202</v>
      </c>
      <c r="Y31" s="1">
        <v>0</v>
      </c>
      <c r="Z31" s="1">
        <v>30</v>
      </c>
      <c r="AA31" s="1">
        <v>423</v>
      </c>
      <c r="AB31" s="1">
        <v>5.8823529411764705E-2</v>
      </c>
      <c r="AC31" s="1">
        <v>0</v>
      </c>
    </row>
    <row r="32" spans="1:29" x14ac:dyDescent="0.3">
      <c r="A32" s="1">
        <v>0.5</v>
      </c>
      <c r="B32" s="1">
        <v>0</v>
      </c>
      <c r="C32" s="1">
        <v>0</v>
      </c>
      <c r="D32" s="1">
        <v>1.5151515151515152E-2</v>
      </c>
      <c r="E32" s="1">
        <v>0</v>
      </c>
      <c r="F32" s="1">
        <v>0</v>
      </c>
      <c r="G32" s="1">
        <v>0</v>
      </c>
      <c r="H32" s="1">
        <v>0.4</v>
      </c>
      <c r="I32" s="1">
        <v>33</v>
      </c>
      <c r="J32" s="1">
        <v>0</v>
      </c>
      <c r="K32" s="1">
        <v>0.4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448</v>
      </c>
      <c r="V32" s="1">
        <v>504</v>
      </c>
      <c r="W32" s="1">
        <v>0</v>
      </c>
      <c r="X32" s="1">
        <v>202</v>
      </c>
      <c r="Y32" s="1">
        <v>0</v>
      </c>
      <c r="Z32" s="1">
        <v>30</v>
      </c>
      <c r="AA32" s="1">
        <v>523</v>
      </c>
      <c r="AB32" s="1">
        <v>0.11111111111111112</v>
      </c>
      <c r="AC32" s="1">
        <v>0</v>
      </c>
    </row>
    <row r="33" spans="1:29" x14ac:dyDescent="0.3">
      <c r="A33" s="1">
        <v>0.5</v>
      </c>
      <c r="B33" s="1">
        <v>0</v>
      </c>
      <c r="C33" s="1">
        <v>0</v>
      </c>
      <c r="D33" s="1">
        <v>1.5151515151515152E-2</v>
      </c>
      <c r="E33" s="1">
        <v>0</v>
      </c>
      <c r="F33" s="1">
        <v>0</v>
      </c>
      <c r="G33" s="1">
        <v>0</v>
      </c>
      <c r="H33" s="1">
        <v>0.4</v>
      </c>
      <c r="I33" s="1">
        <v>33</v>
      </c>
      <c r="J33" s="1">
        <v>0</v>
      </c>
      <c r="K33" s="1">
        <v>0.4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448</v>
      </c>
      <c r="V33" s="1">
        <v>504</v>
      </c>
      <c r="W33" s="1">
        <v>0</v>
      </c>
      <c r="X33" s="1">
        <v>202</v>
      </c>
      <c r="Y33" s="1">
        <v>0</v>
      </c>
      <c r="Z33" s="1">
        <v>30</v>
      </c>
      <c r="AA33" s="1">
        <v>623</v>
      </c>
      <c r="AB33" s="1">
        <v>0</v>
      </c>
      <c r="AC33" s="1">
        <v>0</v>
      </c>
    </row>
    <row r="34" spans="1:29" x14ac:dyDescent="0.3">
      <c r="A34" s="1">
        <v>0.5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0.4</v>
      </c>
      <c r="I34" s="1">
        <v>33</v>
      </c>
      <c r="J34" s="1">
        <v>0</v>
      </c>
      <c r="K34" s="1">
        <v>0.4</v>
      </c>
      <c r="L34" s="1">
        <v>0</v>
      </c>
      <c r="M34" s="1">
        <v>1.5151515151515152E-2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448</v>
      </c>
      <c r="V34" s="1">
        <v>504</v>
      </c>
      <c r="W34" s="1">
        <v>0</v>
      </c>
      <c r="X34" s="1">
        <v>202</v>
      </c>
      <c r="Y34" s="1">
        <v>0</v>
      </c>
      <c r="Z34" s="1">
        <v>30</v>
      </c>
      <c r="AA34" s="1">
        <v>423</v>
      </c>
      <c r="AB34" s="1">
        <v>0.11111111111111112</v>
      </c>
      <c r="AC34" s="1">
        <v>0</v>
      </c>
    </row>
    <row r="35" spans="1:29" x14ac:dyDescent="0.3">
      <c r="A35" s="1">
        <v>0.5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0.4</v>
      </c>
      <c r="I35" s="1">
        <v>33</v>
      </c>
      <c r="J35" s="1">
        <v>0</v>
      </c>
      <c r="K35" s="1">
        <v>0.4</v>
      </c>
      <c r="L35" s="1">
        <v>0</v>
      </c>
      <c r="M35" s="1">
        <v>1.5151515151515152E-2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448</v>
      </c>
      <c r="V35" s="1">
        <v>504</v>
      </c>
      <c r="W35" s="1">
        <v>0</v>
      </c>
      <c r="X35" s="1">
        <v>202</v>
      </c>
      <c r="Y35" s="1">
        <v>0</v>
      </c>
      <c r="Z35" s="1">
        <v>30</v>
      </c>
      <c r="AA35" s="1">
        <v>523</v>
      </c>
      <c r="AB35" s="1">
        <v>0</v>
      </c>
      <c r="AC35" s="1">
        <v>0</v>
      </c>
    </row>
    <row r="36" spans="1:29" x14ac:dyDescent="0.3">
      <c r="A36" s="1">
        <v>0.5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0.4</v>
      </c>
      <c r="I36" s="1">
        <v>33</v>
      </c>
      <c r="J36" s="1">
        <v>0</v>
      </c>
      <c r="K36" s="1">
        <v>0.4</v>
      </c>
      <c r="L36" s="1">
        <v>0</v>
      </c>
      <c r="M36" s="1">
        <v>1.5151515151515152E-2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448</v>
      </c>
      <c r="V36" s="1">
        <v>504</v>
      </c>
      <c r="W36" s="1">
        <v>0</v>
      </c>
      <c r="X36" s="1">
        <v>202</v>
      </c>
      <c r="Y36" s="1">
        <v>0</v>
      </c>
      <c r="Z36" s="1">
        <v>30</v>
      </c>
      <c r="AA36" s="1">
        <v>623</v>
      </c>
      <c r="AB36" s="1">
        <v>0</v>
      </c>
      <c r="AC36" s="1">
        <v>0</v>
      </c>
    </row>
    <row r="37" spans="1:29" x14ac:dyDescent="0.3">
      <c r="A37" s="1">
        <v>0.5</v>
      </c>
      <c r="B37" s="1">
        <v>0</v>
      </c>
      <c r="C37" s="1">
        <v>0</v>
      </c>
      <c r="D37" s="1">
        <v>0</v>
      </c>
      <c r="E37" s="1">
        <v>1.5151515151515152E-2</v>
      </c>
      <c r="F37" s="1">
        <v>0</v>
      </c>
      <c r="G37" s="1">
        <v>0</v>
      </c>
      <c r="H37" s="1">
        <v>0.4</v>
      </c>
      <c r="I37" s="1">
        <v>33</v>
      </c>
      <c r="J37" s="1">
        <v>0</v>
      </c>
      <c r="K37" s="1">
        <v>0.4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448</v>
      </c>
      <c r="V37" s="1">
        <v>504</v>
      </c>
      <c r="W37" s="1">
        <v>0</v>
      </c>
      <c r="X37" s="1">
        <v>202</v>
      </c>
      <c r="Y37" s="1">
        <v>0</v>
      </c>
      <c r="Z37" s="1">
        <v>30</v>
      </c>
      <c r="AA37" s="1">
        <v>423</v>
      </c>
      <c r="AB37" s="1">
        <v>4.2857142857142851E-2</v>
      </c>
      <c r="AC37" s="1">
        <v>0</v>
      </c>
    </row>
    <row r="38" spans="1:29" x14ac:dyDescent="0.3">
      <c r="A38" s="1">
        <v>0.5</v>
      </c>
      <c r="B38" s="1">
        <v>0</v>
      </c>
      <c r="C38" s="1">
        <v>0</v>
      </c>
      <c r="D38" s="1">
        <v>0</v>
      </c>
      <c r="E38" s="1">
        <v>1.5151515151515152E-2</v>
      </c>
      <c r="F38" s="1">
        <v>0</v>
      </c>
      <c r="G38" s="1">
        <v>0</v>
      </c>
      <c r="H38" s="1">
        <v>0.4</v>
      </c>
      <c r="I38" s="1">
        <v>33</v>
      </c>
      <c r="J38" s="1">
        <v>0</v>
      </c>
      <c r="K38" s="1">
        <v>0.4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448</v>
      </c>
      <c r="V38" s="1">
        <v>504</v>
      </c>
      <c r="W38" s="1">
        <v>0</v>
      </c>
      <c r="X38" s="1">
        <v>202</v>
      </c>
      <c r="Y38" s="1">
        <v>0</v>
      </c>
      <c r="Z38" s="1">
        <v>30</v>
      </c>
      <c r="AA38" s="1">
        <v>523</v>
      </c>
      <c r="AB38" s="1">
        <v>0</v>
      </c>
      <c r="AC38" s="1">
        <v>0</v>
      </c>
    </row>
    <row r="39" spans="1:29" x14ac:dyDescent="0.3">
      <c r="A39" s="1">
        <v>0.5</v>
      </c>
      <c r="B39" s="1">
        <v>0</v>
      </c>
      <c r="C39" s="1">
        <v>0</v>
      </c>
      <c r="D39" s="1">
        <v>0</v>
      </c>
      <c r="E39" s="1">
        <v>1.5151515151515152E-2</v>
      </c>
      <c r="F39" s="1">
        <v>0</v>
      </c>
      <c r="G39" s="1">
        <v>0</v>
      </c>
      <c r="H39" s="1">
        <v>0.4</v>
      </c>
      <c r="I39" s="1">
        <v>33</v>
      </c>
      <c r="J39" s="1">
        <v>0</v>
      </c>
      <c r="K39" s="1">
        <v>0.4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448</v>
      </c>
      <c r="V39" s="1">
        <v>504</v>
      </c>
      <c r="W39" s="1">
        <v>0</v>
      </c>
      <c r="X39" s="1">
        <v>202</v>
      </c>
      <c r="Y39" s="1">
        <v>0</v>
      </c>
      <c r="Z39" s="1">
        <v>30</v>
      </c>
      <c r="AA39" s="1">
        <v>623</v>
      </c>
      <c r="AB39" s="1">
        <v>0</v>
      </c>
      <c r="AC39" s="1">
        <v>0</v>
      </c>
    </row>
    <row r="40" spans="1:29" x14ac:dyDescent="0.3">
      <c r="A40" s="1">
        <v>0</v>
      </c>
      <c r="B40" s="1">
        <v>0</v>
      </c>
      <c r="C40" s="1">
        <v>6.6000000000000003E-2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35</v>
      </c>
      <c r="J40" s="1">
        <v>0</v>
      </c>
      <c r="K40" s="1">
        <v>0.5</v>
      </c>
      <c r="L40" s="1">
        <v>0</v>
      </c>
      <c r="M40" s="1">
        <v>0</v>
      </c>
      <c r="N40" s="1">
        <v>2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423</v>
      </c>
      <c r="V40" s="1">
        <v>168</v>
      </c>
      <c r="W40" s="1">
        <v>0</v>
      </c>
      <c r="X40" s="1">
        <v>100</v>
      </c>
      <c r="Y40" s="1">
        <v>0</v>
      </c>
      <c r="Z40" s="1">
        <v>60</v>
      </c>
      <c r="AA40" s="1">
        <v>573</v>
      </c>
      <c r="AB40" s="1">
        <v>2.1725663716814161</v>
      </c>
      <c r="AC40" s="1">
        <v>1</v>
      </c>
    </row>
    <row r="41" spans="1:29" x14ac:dyDescent="0.3">
      <c r="A41" s="1">
        <v>0</v>
      </c>
      <c r="B41" s="1">
        <v>0</v>
      </c>
      <c r="C41" s="1">
        <v>6.6000000000000003E-2</v>
      </c>
      <c r="D41" s="1">
        <v>0</v>
      </c>
      <c r="E41" s="1">
        <v>0</v>
      </c>
      <c r="F41" s="1">
        <v>0</v>
      </c>
      <c r="G41" s="1">
        <v>0</v>
      </c>
      <c r="H41" s="1">
        <v>0.4</v>
      </c>
      <c r="I41" s="1">
        <v>44</v>
      </c>
      <c r="J41" s="1">
        <v>0</v>
      </c>
      <c r="K41" s="1">
        <v>0.2</v>
      </c>
      <c r="L41" s="1">
        <v>0</v>
      </c>
      <c r="M41" s="1">
        <v>0</v>
      </c>
      <c r="N41" s="1">
        <v>0.1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433</v>
      </c>
      <c r="V41" s="1">
        <v>264</v>
      </c>
      <c r="W41" s="1">
        <v>0</v>
      </c>
      <c r="X41" s="1">
        <v>197</v>
      </c>
      <c r="Y41" s="1">
        <v>0</v>
      </c>
      <c r="Z41" s="1">
        <v>0</v>
      </c>
      <c r="AA41" s="1">
        <v>573</v>
      </c>
      <c r="AB41" s="1">
        <v>1.2526690391459074</v>
      </c>
      <c r="AC41" s="1">
        <v>1</v>
      </c>
    </row>
    <row r="42" spans="1:29" x14ac:dyDescent="0.3">
      <c r="A42" s="1">
        <v>0</v>
      </c>
      <c r="B42" s="1">
        <v>0</v>
      </c>
      <c r="C42" s="1">
        <v>6.6000000000000003E-2</v>
      </c>
      <c r="D42" s="1">
        <v>0</v>
      </c>
      <c r="E42" s="1">
        <v>0</v>
      </c>
      <c r="F42" s="1">
        <v>0</v>
      </c>
      <c r="G42" s="1">
        <v>0</v>
      </c>
      <c r="H42" s="1">
        <v>0.19</v>
      </c>
      <c r="I42" s="1">
        <v>25</v>
      </c>
      <c r="J42" s="1">
        <v>0</v>
      </c>
      <c r="K42" s="1">
        <v>0.15</v>
      </c>
      <c r="L42" s="1">
        <v>0</v>
      </c>
      <c r="M42" s="1">
        <v>0</v>
      </c>
      <c r="N42" s="1">
        <v>0.02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443</v>
      </c>
      <c r="V42" s="1">
        <v>48</v>
      </c>
      <c r="W42" s="1">
        <v>0</v>
      </c>
      <c r="X42" s="1">
        <v>233</v>
      </c>
      <c r="Y42" s="1">
        <v>0</v>
      </c>
      <c r="Z42" s="1">
        <v>0</v>
      </c>
      <c r="AA42" s="1">
        <v>573</v>
      </c>
      <c r="AB42" s="1">
        <v>1.2509881422924902</v>
      </c>
      <c r="AC42" s="1">
        <v>1</v>
      </c>
    </row>
    <row r="43" spans="1:29" x14ac:dyDescent="0.3">
      <c r="A43" s="1">
        <v>0</v>
      </c>
      <c r="B43" s="1">
        <v>0.02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0.53333333333333333</v>
      </c>
      <c r="I43" s="1">
        <v>40</v>
      </c>
      <c r="J43" s="1">
        <v>0</v>
      </c>
      <c r="K43" s="1">
        <v>0.05</v>
      </c>
      <c r="L43" s="1">
        <v>0.05</v>
      </c>
      <c r="M43" s="1">
        <v>0</v>
      </c>
      <c r="N43" s="1">
        <v>0.16666666666666666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433</v>
      </c>
      <c r="V43" s="1">
        <v>168</v>
      </c>
      <c r="W43" s="1">
        <v>0</v>
      </c>
      <c r="X43" s="1">
        <v>240</v>
      </c>
      <c r="Y43" s="1">
        <v>258</v>
      </c>
      <c r="Z43" s="1">
        <v>100</v>
      </c>
      <c r="AA43" s="1">
        <v>298</v>
      </c>
      <c r="AB43" s="1">
        <v>6.0769230769230766</v>
      </c>
      <c r="AC43" s="1">
        <v>1</v>
      </c>
    </row>
    <row r="44" spans="1:29" x14ac:dyDescent="0.3">
      <c r="A44" s="1">
        <v>0</v>
      </c>
      <c r="B44" s="1">
        <v>1.4285714285714285E-2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0.53333333333333333</v>
      </c>
      <c r="I44" s="1">
        <v>40</v>
      </c>
      <c r="J44" s="1">
        <v>0</v>
      </c>
      <c r="K44" s="1">
        <v>0.05</v>
      </c>
      <c r="L44" s="1">
        <v>0.05</v>
      </c>
      <c r="M44" s="1">
        <v>0</v>
      </c>
      <c r="N44" s="1">
        <v>0.16666666666666666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433</v>
      </c>
      <c r="V44" s="1">
        <v>168</v>
      </c>
      <c r="W44" s="1">
        <v>0</v>
      </c>
      <c r="X44" s="1">
        <v>240</v>
      </c>
      <c r="Y44" s="1">
        <v>258</v>
      </c>
      <c r="Z44" s="1">
        <v>100</v>
      </c>
      <c r="AA44" s="1">
        <v>298</v>
      </c>
      <c r="AB44" s="1">
        <v>12.411764705882353</v>
      </c>
      <c r="AC44" s="1">
        <v>1</v>
      </c>
    </row>
    <row r="45" spans="1:29" x14ac:dyDescent="0.3">
      <c r="A45" s="1">
        <v>0</v>
      </c>
      <c r="B45" s="1">
        <v>1.1111111111111112E-2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0.53333333333333333</v>
      </c>
      <c r="I45" s="1">
        <v>40</v>
      </c>
      <c r="J45" s="1">
        <v>0</v>
      </c>
      <c r="K45" s="1">
        <v>0.05</v>
      </c>
      <c r="L45" s="1">
        <v>0.05</v>
      </c>
      <c r="M45" s="1">
        <v>0</v>
      </c>
      <c r="N45" s="1">
        <v>0.16666666666666666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433</v>
      </c>
      <c r="V45" s="1">
        <v>168</v>
      </c>
      <c r="W45" s="1">
        <v>0</v>
      </c>
      <c r="X45" s="1">
        <v>240</v>
      </c>
      <c r="Y45" s="1">
        <v>258</v>
      </c>
      <c r="Z45" s="1">
        <v>100</v>
      </c>
      <c r="AA45" s="1">
        <v>298</v>
      </c>
      <c r="AB45" s="1">
        <v>13.076923076923077</v>
      </c>
      <c r="AC45" s="1">
        <v>1</v>
      </c>
    </row>
    <row r="46" spans="1:29" x14ac:dyDescent="0.3">
      <c r="A46" s="1">
        <v>0</v>
      </c>
      <c r="B46" s="1">
        <v>8.3333333333333332E-3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0.53333333333333333</v>
      </c>
      <c r="I46" s="1">
        <v>40</v>
      </c>
      <c r="J46" s="1">
        <v>0</v>
      </c>
      <c r="K46" s="1">
        <v>0.05</v>
      </c>
      <c r="L46" s="1">
        <v>0.05</v>
      </c>
      <c r="M46" s="1">
        <v>0</v>
      </c>
      <c r="N46" s="1">
        <v>0.16666666666666666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433</v>
      </c>
      <c r="V46" s="1">
        <v>168</v>
      </c>
      <c r="W46" s="1">
        <v>0</v>
      </c>
      <c r="X46" s="1">
        <v>240</v>
      </c>
      <c r="Y46" s="1">
        <v>258</v>
      </c>
      <c r="Z46" s="1">
        <v>100</v>
      </c>
      <c r="AA46" s="1">
        <v>298</v>
      </c>
      <c r="AB46" s="1">
        <v>13.909090909090908</v>
      </c>
      <c r="AC46" s="1">
        <v>1</v>
      </c>
    </row>
    <row r="47" spans="1:29" x14ac:dyDescent="0.3">
      <c r="A47" s="1">
        <v>0</v>
      </c>
      <c r="B47" s="1">
        <v>5.0000000000000001E-3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0.3</v>
      </c>
      <c r="I47" s="1">
        <v>3.67</v>
      </c>
      <c r="J47" s="1">
        <v>0.54</v>
      </c>
      <c r="K47" s="1">
        <v>0.3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5.0000000000000001E-3</v>
      </c>
      <c r="S47" s="1">
        <v>0</v>
      </c>
      <c r="T47" s="1">
        <v>0</v>
      </c>
      <c r="U47" s="1">
        <v>413</v>
      </c>
      <c r="V47" s="1">
        <v>168</v>
      </c>
      <c r="W47" s="1">
        <v>0</v>
      </c>
      <c r="X47" s="1">
        <v>160</v>
      </c>
      <c r="Y47" s="1">
        <v>0</v>
      </c>
      <c r="Z47" s="1">
        <v>0</v>
      </c>
      <c r="AA47" s="1">
        <v>298</v>
      </c>
      <c r="AB47" s="1">
        <v>0.65384615384615385</v>
      </c>
      <c r="AC47" s="1">
        <v>0</v>
      </c>
    </row>
    <row r="48" spans="1:29" x14ac:dyDescent="0.3">
      <c r="A48" s="1">
        <v>0</v>
      </c>
      <c r="B48" s="1">
        <v>5.0000000000000001E-3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0.3</v>
      </c>
      <c r="I48" s="1">
        <v>3.67</v>
      </c>
      <c r="J48" s="1">
        <v>0.3</v>
      </c>
      <c r="K48" s="1">
        <v>0.3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5.0000000000000001E-3</v>
      </c>
      <c r="S48" s="1">
        <v>0</v>
      </c>
      <c r="T48" s="1">
        <v>0</v>
      </c>
      <c r="U48" s="1">
        <v>413</v>
      </c>
      <c r="V48" s="1">
        <v>168</v>
      </c>
      <c r="W48" s="1">
        <v>0</v>
      </c>
      <c r="X48" s="1">
        <v>160</v>
      </c>
      <c r="Y48" s="1">
        <v>0</v>
      </c>
      <c r="Z48" s="1">
        <v>0</v>
      </c>
      <c r="AA48" s="1">
        <v>298</v>
      </c>
      <c r="AB48" s="1">
        <v>1.6666666666666667</v>
      </c>
      <c r="AC48" s="1">
        <v>1</v>
      </c>
    </row>
    <row r="49" spans="1:29" x14ac:dyDescent="0.3">
      <c r="A49" s="1">
        <v>0</v>
      </c>
      <c r="B49" s="1">
        <v>5.0000000000000001E-3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0.3</v>
      </c>
      <c r="I49" s="1">
        <v>3.67</v>
      </c>
      <c r="J49" s="1">
        <v>0.15</v>
      </c>
      <c r="K49" s="1">
        <v>0.3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5.0000000000000001E-3</v>
      </c>
      <c r="S49" s="1">
        <v>0</v>
      </c>
      <c r="T49" s="1">
        <v>0</v>
      </c>
      <c r="U49" s="1">
        <v>413</v>
      </c>
      <c r="V49" s="1">
        <v>168</v>
      </c>
      <c r="W49" s="1">
        <v>0</v>
      </c>
      <c r="X49" s="1">
        <v>160</v>
      </c>
      <c r="Y49" s="1">
        <v>0</v>
      </c>
      <c r="Z49" s="1">
        <v>0</v>
      </c>
      <c r="AA49" s="1">
        <v>298</v>
      </c>
      <c r="AB49" s="1">
        <v>1.2553191489361701</v>
      </c>
      <c r="AC49" s="1">
        <v>1</v>
      </c>
    </row>
    <row r="50" spans="1:29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0.3</v>
      </c>
      <c r="I50" s="1">
        <v>3.67</v>
      </c>
      <c r="J50" s="1">
        <v>0.3</v>
      </c>
      <c r="K50" s="1">
        <v>0.3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5.0000000000000001E-3</v>
      </c>
      <c r="S50" s="1">
        <v>0</v>
      </c>
      <c r="T50" s="1">
        <v>0</v>
      </c>
      <c r="U50" s="1">
        <v>413</v>
      </c>
      <c r="V50" s="1">
        <v>168</v>
      </c>
      <c r="W50" s="1">
        <v>0</v>
      </c>
      <c r="X50" s="1">
        <v>160</v>
      </c>
      <c r="Y50" s="1">
        <v>0</v>
      </c>
      <c r="Z50" s="1">
        <v>0</v>
      </c>
      <c r="AA50" s="1">
        <v>298</v>
      </c>
      <c r="AB50" s="1">
        <v>0</v>
      </c>
      <c r="AC50" s="1">
        <v>0</v>
      </c>
    </row>
    <row r="51" spans="1:29" x14ac:dyDescent="0.3">
      <c r="A51" s="1">
        <v>0</v>
      </c>
      <c r="B51" s="1">
        <v>2.5000000000000001E-3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0.3</v>
      </c>
      <c r="I51" s="1">
        <v>3.67</v>
      </c>
      <c r="J51" s="1">
        <v>0.3</v>
      </c>
      <c r="K51" s="1">
        <v>0.3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5.0000000000000001E-3</v>
      </c>
      <c r="S51" s="1">
        <v>0</v>
      </c>
      <c r="T51" s="1">
        <v>0</v>
      </c>
      <c r="U51" s="1">
        <v>413</v>
      </c>
      <c r="V51" s="1">
        <v>168</v>
      </c>
      <c r="W51" s="1">
        <v>0</v>
      </c>
      <c r="X51" s="1">
        <v>160</v>
      </c>
      <c r="Y51" s="1">
        <v>0</v>
      </c>
      <c r="Z51" s="1">
        <v>0</v>
      </c>
      <c r="AA51" s="1">
        <v>298</v>
      </c>
      <c r="AB51" s="1">
        <v>1.1071428571428572</v>
      </c>
      <c r="AC51" s="1">
        <v>1</v>
      </c>
    </row>
    <row r="52" spans="1:29" x14ac:dyDescent="0.3">
      <c r="A52" s="1">
        <v>0</v>
      </c>
      <c r="B52" s="1">
        <v>0.01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0.3</v>
      </c>
      <c r="I52" s="1">
        <v>3.67</v>
      </c>
      <c r="J52" s="1">
        <v>0.3</v>
      </c>
      <c r="K52" s="1">
        <v>0.3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5.0000000000000001E-3</v>
      </c>
      <c r="S52" s="1">
        <v>0</v>
      </c>
      <c r="T52" s="1">
        <v>0</v>
      </c>
      <c r="U52" s="1">
        <v>413</v>
      </c>
      <c r="V52" s="1">
        <v>168</v>
      </c>
      <c r="W52" s="1">
        <v>0</v>
      </c>
      <c r="X52" s="1">
        <v>160</v>
      </c>
      <c r="Y52" s="1">
        <v>0</v>
      </c>
      <c r="Z52" s="1">
        <v>0</v>
      </c>
      <c r="AA52" s="1">
        <v>298</v>
      </c>
      <c r="AB52" s="1">
        <v>2.0169491525423728</v>
      </c>
      <c r="AC52" s="1">
        <v>1</v>
      </c>
    </row>
    <row r="53" spans="1:29" x14ac:dyDescent="0.3">
      <c r="A53" s="1">
        <v>0</v>
      </c>
      <c r="B53" s="1">
        <v>5.0000000000000001E-3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0.3</v>
      </c>
      <c r="I53" s="1">
        <v>3.67</v>
      </c>
      <c r="J53" s="1">
        <v>0.3</v>
      </c>
      <c r="K53" s="1">
        <v>0.3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413</v>
      </c>
      <c r="V53" s="1">
        <v>168</v>
      </c>
      <c r="W53" s="1">
        <v>0</v>
      </c>
      <c r="X53" s="1">
        <v>160</v>
      </c>
      <c r="Y53" s="1">
        <v>0</v>
      </c>
      <c r="Z53" s="1">
        <v>0</v>
      </c>
      <c r="AA53" s="1">
        <v>298</v>
      </c>
      <c r="AB53" s="1">
        <v>4.4375</v>
      </c>
      <c r="AC53" s="1">
        <v>1</v>
      </c>
    </row>
    <row r="54" spans="1:29" x14ac:dyDescent="0.3">
      <c r="A54" s="1">
        <v>0</v>
      </c>
      <c r="B54" s="1">
        <v>5.0000000000000001E-3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0.3</v>
      </c>
      <c r="I54" s="1">
        <v>3.67</v>
      </c>
      <c r="J54" s="1">
        <v>0.3</v>
      </c>
      <c r="K54" s="1">
        <v>0.3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2.5000000000000001E-3</v>
      </c>
      <c r="S54" s="1">
        <v>0</v>
      </c>
      <c r="T54" s="1">
        <v>0</v>
      </c>
      <c r="U54" s="1">
        <v>413</v>
      </c>
      <c r="V54" s="1">
        <v>168</v>
      </c>
      <c r="W54" s="1">
        <v>0</v>
      </c>
      <c r="X54" s="1">
        <v>160</v>
      </c>
      <c r="Y54" s="1">
        <v>0</v>
      </c>
      <c r="Z54" s="1">
        <v>0</v>
      </c>
      <c r="AA54" s="1">
        <v>298</v>
      </c>
      <c r="AB54" s="1">
        <v>2.2592592592592591</v>
      </c>
      <c r="AC54" s="1">
        <v>1</v>
      </c>
    </row>
    <row r="55" spans="1:29" x14ac:dyDescent="0.3">
      <c r="A55" s="1">
        <v>0</v>
      </c>
      <c r="B55" s="1">
        <v>5.0000000000000001E-3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0.3</v>
      </c>
      <c r="I55" s="1">
        <v>3.67</v>
      </c>
      <c r="J55" s="1">
        <v>0.3</v>
      </c>
      <c r="K55" s="1">
        <v>0.3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0.01</v>
      </c>
      <c r="S55" s="1">
        <v>0</v>
      </c>
      <c r="T55" s="1">
        <v>0</v>
      </c>
      <c r="U55" s="1">
        <v>413</v>
      </c>
      <c r="V55" s="1">
        <v>168</v>
      </c>
      <c r="W55" s="1">
        <v>0</v>
      </c>
      <c r="X55" s="1">
        <v>160</v>
      </c>
      <c r="Y55" s="1">
        <v>0</v>
      </c>
      <c r="Z55" s="1">
        <v>0</v>
      </c>
      <c r="AA55" s="1">
        <v>298</v>
      </c>
      <c r="AB55" s="1">
        <v>1.0909090909090908</v>
      </c>
      <c r="AC55" s="1">
        <v>1</v>
      </c>
    </row>
    <row r="56" spans="1:29" x14ac:dyDescent="0.3">
      <c r="A56" s="1">
        <v>0</v>
      </c>
      <c r="B56" s="1">
        <v>0.23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0.30499999999999999</v>
      </c>
      <c r="I56" s="1">
        <v>31.14</v>
      </c>
      <c r="J56" s="1">
        <v>0</v>
      </c>
      <c r="K56" s="1">
        <v>1.32</v>
      </c>
      <c r="L56" s="1">
        <v>0</v>
      </c>
      <c r="M56" s="1">
        <v>0</v>
      </c>
      <c r="N56" s="1">
        <v>0.1525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463</v>
      </c>
      <c r="V56" s="1">
        <v>48</v>
      </c>
      <c r="W56" s="1">
        <v>0</v>
      </c>
      <c r="X56" s="1">
        <v>91</v>
      </c>
      <c r="Y56" s="1">
        <v>0</v>
      </c>
      <c r="Z56" s="1">
        <v>0</v>
      </c>
      <c r="AA56" s="1">
        <v>403</v>
      </c>
      <c r="AB56" s="1">
        <v>7.35</v>
      </c>
      <c r="AC56" s="1">
        <v>1</v>
      </c>
    </row>
    <row r="57" spans="1:29" x14ac:dyDescent="0.3">
      <c r="A57" s="1">
        <v>0</v>
      </c>
      <c r="B57" s="1">
        <v>0.23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0.30499999999999999</v>
      </c>
      <c r="I57" s="1">
        <v>31.14</v>
      </c>
      <c r="J57" s="1">
        <v>0</v>
      </c>
      <c r="K57" s="1">
        <v>1.32</v>
      </c>
      <c r="L57" s="1">
        <v>0</v>
      </c>
      <c r="M57" s="1">
        <v>0</v>
      </c>
      <c r="N57" s="1">
        <v>0.1525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463</v>
      </c>
      <c r="V57" s="1">
        <v>48</v>
      </c>
      <c r="W57" s="1">
        <v>0</v>
      </c>
      <c r="X57" s="1">
        <v>77</v>
      </c>
      <c r="Y57" s="1">
        <v>0</v>
      </c>
      <c r="Z57" s="1">
        <v>0</v>
      </c>
      <c r="AA57" s="1">
        <v>403</v>
      </c>
      <c r="AB57" s="1">
        <v>14</v>
      </c>
      <c r="AC57" s="1">
        <v>1</v>
      </c>
    </row>
    <row r="58" spans="1:29" x14ac:dyDescent="0.3">
      <c r="A58" s="1">
        <v>0</v>
      </c>
      <c r="B58" s="1">
        <v>0.23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0.30499999999999999</v>
      </c>
      <c r="I58" s="1">
        <v>31.14</v>
      </c>
      <c r="J58" s="1">
        <v>0</v>
      </c>
      <c r="K58" s="1">
        <v>1.32</v>
      </c>
      <c r="L58" s="1">
        <v>0</v>
      </c>
      <c r="M58" s="1">
        <v>0</v>
      </c>
      <c r="N58" s="1">
        <v>0.1525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463</v>
      </c>
      <c r="V58" s="1">
        <v>48</v>
      </c>
      <c r="W58" s="1">
        <v>0</v>
      </c>
      <c r="X58" s="1">
        <v>102</v>
      </c>
      <c r="Y58" s="1">
        <v>0</v>
      </c>
      <c r="Z58" s="1">
        <v>0</v>
      </c>
      <c r="AA58" s="1">
        <v>403</v>
      </c>
      <c r="AB58" s="1">
        <v>26.25</v>
      </c>
      <c r="AC58" s="1">
        <v>1</v>
      </c>
    </row>
    <row r="59" spans="1:29" x14ac:dyDescent="0.3">
      <c r="A59" s="1">
        <v>0</v>
      </c>
      <c r="B59" s="1">
        <v>0.23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0.30499999999999999</v>
      </c>
      <c r="I59" s="1">
        <v>31.14</v>
      </c>
      <c r="J59" s="1">
        <v>0</v>
      </c>
      <c r="K59" s="1">
        <v>1.32</v>
      </c>
      <c r="L59" s="1">
        <v>0</v>
      </c>
      <c r="M59" s="1">
        <v>0</v>
      </c>
      <c r="N59" s="1">
        <v>0.1525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463</v>
      </c>
      <c r="V59" s="1">
        <v>48</v>
      </c>
      <c r="W59" s="1">
        <v>0</v>
      </c>
      <c r="X59" s="1">
        <v>91</v>
      </c>
      <c r="Y59" s="1">
        <v>0</v>
      </c>
      <c r="Z59" s="1">
        <v>0</v>
      </c>
      <c r="AA59" s="1">
        <v>573</v>
      </c>
      <c r="AB59" s="1">
        <v>6.3636363636363633</v>
      </c>
      <c r="AC59" s="1">
        <v>1</v>
      </c>
    </row>
    <row r="60" spans="1:29" x14ac:dyDescent="0.3">
      <c r="A60" s="1">
        <v>0</v>
      </c>
      <c r="B60" s="1">
        <v>0.23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0.30499999999999999</v>
      </c>
      <c r="I60" s="1">
        <v>31.14</v>
      </c>
      <c r="J60" s="1">
        <v>0</v>
      </c>
      <c r="K60" s="1">
        <v>1.32</v>
      </c>
      <c r="L60" s="1">
        <v>0</v>
      </c>
      <c r="M60" s="1">
        <v>0</v>
      </c>
      <c r="N60" s="1">
        <v>0.1525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463</v>
      </c>
      <c r="V60" s="1">
        <v>48</v>
      </c>
      <c r="W60" s="1">
        <v>0</v>
      </c>
      <c r="X60" s="1">
        <v>77</v>
      </c>
      <c r="Y60" s="1">
        <v>0</v>
      </c>
      <c r="Z60" s="1">
        <v>0</v>
      </c>
      <c r="AA60" s="1">
        <v>573</v>
      </c>
      <c r="AB60" s="1">
        <v>15.189873417721518</v>
      </c>
      <c r="AC60" s="1">
        <v>1</v>
      </c>
    </row>
    <row r="61" spans="1:29" x14ac:dyDescent="0.3">
      <c r="A61" s="1">
        <v>0</v>
      </c>
      <c r="B61" s="1">
        <v>0.23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0.30499999999999999</v>
      </c>
      <c r="I61" s="1">
        <v>31.14</v>
      </c>
      <c r="J61" s="1">
        <v>0</v>
      </c>
      <c r="K61" s="1">
        <v>1.32</v>
      </c>
      <c r="L61" s="1">
        <v>0</v>
      </c>
      <c r="M61" s="1">
        <v>0</v>
      </c>
      <c r="N61" s="1">
        <v>0.1525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463</v>
      </c>
      <c r="V61" s="1">
        <v>48</v>
      </c>
      <c r="W61" s="1">
        <v>0</v>
      </c>
      <c r="X61" s="1">
        <v>102</v>
      </c>
      <c r="Y61" s="1">
        <v>0</v>
      </c>
      <c r="Z61" s="1">
        <v>0</v>
      </c>
      <c r="AA61" s="1">
        <v>573</v>
      </c>
      <c r="AB61" s="1">
        <v>7.5675675675675675</v>
      </c>
      <c r="AC61" s="1">
        <v>1</v>
      </c>
    </row>
    <row r="62" spans="1:29" x14ac:dyDescent="0.3">
      <c r="A62" s="1">
        <v>0</v>
      </c>
      <c r="B62" s="1">
        <v>2.7777777777777776E-2</v>
      </c>
      <c r="C62" s="1">
        <v>0</v>
      </c>
      <c r="D62" s="1">
        <v>6.5789473684210523E-3</v>
      </c>
      <c r="E62" s="1">
        <v>0</v>
      </c>
      <c r="F62" s="1">
        <v>0</v>
      </c>
      <c r="G62" s="1">
        <v>0</v>
      </c>
      <c r="H62" s="1">
        <v>0.30000000000000004</v>
      </c>
      <c r="I62" s="1">
        <v>45</v>
      </c>
      <c r="J62" s="1">
        <v>0</v>
      </c>
      <c r="K62" s="1">
        <v>0.1</v>
      </c>
      <c r="L62" s="1">
        <v>0</v>
      </c>
      <c r="M62" s="1">
        <v>0</v>
      </c>
      <c r="N62" s="1">
        <v>0.1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448</v>
      </c>
      <c r="V62" s="1">
        <v>120</v>
      </c>
      <c r="W62" s="1">
        <v>0</v>
      </c>
      <c r="X62" s="1">
        <v>233</v>
      </c>
      <c r="Y62" s="1">
        <v>0</v>
      </c>
      <c r="Z62" s="1">
        <v>0</v>
      </c>
      <c r="AA62" s="1">
        <v>523</v>
      </c>
      <c r="AB62" s="1">
        <v>4.416666666666667</v>
      </c>
      <c r="AC62" s="1">
        <v>1</v>
      </c>
    </row>
    <row r="63" spans="1:29" x14ac:dyDescent="0.3">
      <c r="A63" s="1">
        <v>0</v>
      </c>
      <c r="B63" s="1">
        <v>2.7777777777777776E-2</v>
      </c>
      <c r="C63" s="1">
        <v>0</v>
      </c>
      <c r="D63" s="1">
        <v>6.5789473684210523E-3</v>
      </c>
      <c r="E63" s="1">
        <v>0</v>
      </c>
      <c r="F63" s="1">
        <v>0</v>
      </c>
      <c r="G63" s="1">
        <v>0</v>
      </c>
      <c r="H63" s="1">
        <v>0.61</v>
      </c>
      <c r="I63" s="1">
        <v>7.5</v>
      </c>
      <c r="J63" s="1">
        <v>0.5</v>
      </c>
      <c r="K63" s="1">
        <v>0.61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423</v>
      </c>
      <c r="V63" s="1">
        <v>240</v>
      </c>
      <c r="W63" s="1">
        <v>0</v>
      </c>
      <c r="X63" s="1">
        <v>160</v>
      </c>
      <c r="Y63" s="1">
        <v>0</v>
      </c>
      <c r="Z63" s="1">
        <v>0</v>
      </c>
      <c r="AA63" s="1">
        <v>523</v>
      </c>
      <c r="AB63" s="1">
        <v>0.88888888888888884</v>
      </c>
      <c r="AC63" s="1">
        <v>0</v>
      </c>
    </row>
    <row r="64" spans="1:29" x14ac:dyDescent="0.3">
      <c r="A64" s="1">
        <v>0</v>
      </c>
      <c r="B64" s="1">
        <v>0.01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0.3</v>
      </c>
      <c r="I64" s="1">
        <v>44</v>
      </c>
      <c r="J64" s="1">
        <v>0</v>
      </c>
      <c r="K64" s="1">
        <v>0.13</v>
      </c>
      <c r="L64" s="1">
        <v>0</v>
      </c>
      <c r="M64" s="1">
        <v>0</v>
      </c>
      <c r="N64" s="1">
        <v>0.15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423</v>
      </c>
      <c r="V64" s="1">
        <v>48</v>
      </c>
      <c r="W64" s="1">
        <v>0</v>
      </c>
      <c r="X64" s="1">
        <v>233</v>
      </c>
      <c r="Y64" s="1">
        <v>0</v>
      </c>
      <c r="Z64" s="1">
        <v>0</v>
      </c>
      <c r="AA64" s="1">
        <v>523</v>
      </c>
      <c r="AB64" s="1">
        <v>5.4</v>
      </c>
      <c r="AC64" s="1">
        <v>1</v>
      </c>
    </row>
    <row r="65" spans="1:29" x14ac:dyDescent="0.3">
      <c r="A65" s="1">
        <v>0</v>
      </c>
      <c r="B65" s="1">
        <v>0</v>
      </c>
      <c r="C65" s="1">
        <v>0.01</v>
      </c>
      <c r="D65" s="1">
        <v>0</v>
      </c>
      <c r="E65" s="1">
        <v>0</v>
      </c>
      <c r="F65" s="1">
        <v>0</v>
      </c>
      <c r="G65" s="1">
        <v>0</v>
      </c>
      <c r="H65" s="1">
        <v>0.3</v>
      </c>
      <c r="I65" s="1">
        <v>44</v>
      </c>
      <c r="J65" s="1">
        <v>0</v>
      </c>
      <c r="K65" s="1">
        <v>0.13</v>
      </c>
      <c r="L65" s="1">
        <v>0</v>
      </c>
      <c r="M65" s="1">
        <v>0</v>
      </c>
      <c r="N65" s="1">
        <v>0.15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423</v>
      </c>
      <c r="V65" s="1">
        <v>48</v>
      </c>
      <c r="W65" s="1">
        <v>0</v>
      </c>
      <c r="X65" s="1">
        <v>233</v>
      </c>
      <c r="Y65" s="1">
        <v>0</v>
      </c>
      <c r="Z65" s="1">
        <v>0</v>
      </c>
      <c r="AA65" s="1">
        <v>523</v>
      </c>
      <c r="AB65" s="1">
        <v>3.4999999999999996</v>
      </c>
      <c r="AC65" s="1">
        <v>1</v>
      </c>
    </row>
    <row r="66" spans="1:29" x14ac:dyDescent="0.3">
      <c r="A66" s="1">
        <v>0</v>
      </c>
      <c r="B66" s="1">
        <v>0</v>
      </c>
      <c r="C66" s="1">
        <v>0</v>
      </c>
      <c r="D66" s="1">
        <v>2.1000000000000001E-2</v>
      </c>
      <c r="E66" s="1">
        <v>0</v>
      </c>
      <c r="F66" s="1">
        <v>0</v>
      </c>
      <c r="G66" s="1">
        <v>0</v>
      </c>
      <c r="H66" s="1">
        <v>0.3</v>
      </c>
      <c r="I66" s="1">
        <v>44</v>
      </c>
      <c r="J66" s="1">
        <v>0</v>
      </c>
      <c r="K66" s="1">
        <v>0.13</v>
      </c>
      <c r="L66" s="1">
        <v>0</v>
      </c>
      <c r="M66" s="1">
        <v>0</v>
      </c>
      <c r="N66" s="1">
        <v>0.15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423</v>
      </c>
      <c r="V66" s="1">
        <v>48</v>
      </c>
      <c r="W66" s="1">
        <v>0</v>
      </c>
      <c r="X66" s="1">
        <v>233</v>
      </c>
      <c r="Y66" s="1">
        <v>0</v>
      </c>
      <c r="Z66" s="1">
        <v>0</v>
      </c>
      <c r="AA66" s="1">
        <v>513</v>
      </c>
      <c r="AB66" s="1">
        <v>3.4</v>
      </c>
      <c r="AC66" s="1">
        <v>1</v>
      </c>
    </row>
    <row r="67" spans="1:29" x14ac:dyDescent="0.3">
      <c r="A67" s="1">
        <v>0</v>
      </c>
      <c r="B67" s="1">
        <v>0</v>
      </c>
      <c r="C67" s="1">
        <v>0</v>
      </c>
      <c r="D67" s="1">
        <v>0</v>
      </c>
      <c r="E67" s="1">
        <v>0.02</v>
      </c>
      <c r="F67" s="1">
        <v>0</v>
      </c>
      <c r="G67" s="1">
        <v>0</v>
      </c>
      <c r="H67" s="1">
        <v>0.3</v>
      </c>
      <c r="I67" s="1">
        <v>44</v>
      </c>
      <c r="J67" s="1">
        <v>0</v>
      </c>
      <c r="K67" s="1">
        <v>0.13</v>
      </c>
      <c r="L67" s="1">
        <v>0</v>
      </c>
      <c r="M67" s="1">
        <v>0</v>
      </c>
      <c r="N67" s="1">
        <v>0.15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423</v>
      </c>
      <c r="V67" s="1">
        <v>48</v>
      </c>
      <c r="W67" s="1">
        <v>0</v>
      </c>
      <c r="X67" s="1">
        <v>233</v>
      </c>
      <c r="Y67" s="1">
        <v>0</v>
      </c>
      <c r="Z67" s="1">
        <v>0</v>
      </c>
      <c r="AA67" s="1">
        <v>453</v>
      </c>
      <c r="AB67" s="1">
        <v>3.0769230769230767E-2</v>
      </c>
      <c r="AC67" s="1">
        <v>0</v>
      </c>
    </row>
    <row r="68" spans="1:29" x14ac:dyDescent="0.3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0.3</v>
      </c>
      <c r="I68" s="1">
        <v>44</v>
      </c>
      <c r="J68" s="1">
        <v>0</v>
      </c>
      <c r="K68" s="1">
        <v>0.13</v>
      </c>
      <c r="L68" s="1">
        <v>0</v>
      </c>
      <c r="M68" s="1">
        <v>3.3000000000000002E-2</v>
      </c>
      <c r="N68" s="1">
        <v>0.15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423</v>
      </c>
      <c r="V68" s="1">
        <v>48</v>
      </c>
      <c r="W68" s="1">
        <v>0</v>
      </c>
      <c r="X68" s="1">
        <v>233</v>
      </c>
      <c r="Y68" s="1">
        <v>0</v>
      </c>
      <c r="Z68" s="1">
        <v>0</v>
      </c>
      <c r="AA68" s="1">
        <v>453</v>
      </c>
      <c r="AB68" s="1">
        <v>0.21249999999999999</v>
      </c>
      <c r="AC68" s="1">
        <v>0</v>
      </c>
    </row>
    <row r="69" spans="1:29" x14ac:dyDescent="0.3">
      <c r="A69" s="1">
        <v>0</v>
      </c>
      <c r="B69" s="1">
        <v>0.1111111111111111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0.27222222222222225</v>
      </c>
      <c r="I69" s="1">
        <v>1.25</v>
      </c>
      <c r="J69" s="1">
        <v>0</v>
      </c>
      <c r="K69" s="1">
        <v>0</v>
      </c>
      <c r="L69" s="1">
        <v>0</v>
      </c>
      <c r="M69" s="1">
        <v>0</v>
      </c>
      <c r="N69" s="1">
        <v>6.7222222222222225E-2</v>
      </c>
      <c r="O69" s="1">
        <v>6.8888888888888888E-2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453</v>
      </c>
      <c r="V69" s="1">
        <v>18</v>
      </c>
      <c r="W69" s="1">
        <v>0</v>
      </c>
      <c r="X69" s="1">
        <v>0</v>
      </c>
      <c r="Y69" s="1">
        <v>0</v>
      </c>
      <c r="Z69" s="1">
        <v>0</v>
      </c>
      <c r="AA69" s="1">
        <v>473</v>
      </c>
      <c r="AB69" s="1">
        <v>1.7</v>
      </c>
      <c r="AC69" s="1">
        <v>1</v>
      </c>
    </row>
    <row r="70" spans="1:29" x14ac:dyDescent="0.3">
      <c r="A70" s="1">
        <v>0</v>
      </c>
      <c r="B70" s="1">
        <v>1.2333333333333333E-2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0.3</v>
      </c>
      <c r="I70" s="1">
        <v>36.299999999999997</v>
      </c>
      <c r="J70" s="1">
        <v>0</v>
      </c>
      <c r="K70" s="1">
        <v>0.15</v>
      </c>
      <c r="L70" s="1">
        <v>0</v>
      </c>
      <c r="M70" s="1">
        <v>0</v>
      </c>
      <c r="N70" s="1">
        <v>0</v>
      </c>
      <c r="O70" s="1">
        <v>0.15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433</v>
      </c>
      <c r="V70" s="1">
        <v>60</v>
      </c>
      <c r="W70" s="1">
        <v>0</v>
      </c>
      <c r="X70" s="1">
        <v>187</v>
      </c>
      <c r="Y70" s="1">
        <v>0</v>
      </c>
      <c r="Z70" s="1">
        <v>150</v>
      </c>
      <c r="AA70" s="1">
        <v>443</v>
      </c>
      <c r="AB70" s="1">
        <v>6.5</v>
      </c>
      <c r="AC70" s="1">
        <v>1</v>
      </c>
    </row>
    <row r="71" spans="1:29" x14ac:dyDescent="0.3">
      <c r="A71" s="1">
        <v>0</v>
      </c>
      <c r="B71" s="1">
        <v>1.2333333333333333E-2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0.3</v>
      </c>
      <c r="I71" s="1">
        <v>36.299999999999997</v>
      </c>
      <c r="J71" s="1">
        <v>0</v>
      </c>
      <c r="K71" s="1">
        <v>0.15</v>
      </c>
      <c r="L71" s="1">
        <v>0</v>
      </c>
      <c r="M71" s="1">
        <v>0</v>
      </c>
      <c r="N71" s="1">
        <v>0</v>
      </c>
      <c r="O71" s="1">
        <v>0.15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433</v>
      </c>
      <c r="V71" s="1">
        <v>60</v>
      </c>
      <c r="W71" s="1">
        <v>0</v>
      </c>
      <c r="X71" s="1">
        <v>187</v>
      </c>
      <c r="Y71" s="1">
        <v>0</v>
      </c>
      <c r="Z71" s="1">
        <v>150</v>
      </c>
      <c r="AA71" s="1">
        <v>793</v>
      </c>
      <c r="AB71" s="1">
        <v>1.7</v>
      </c>
      <c r="AC71" s="1">
        <v>1</v>
      </c>
    </row>
    <row r="72" spans="1:29" x14ac:dyDescent="0.3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43.3</v>
      </c>
      <c r="J72" s="1">
        <v>0</v>
      </c>
      <c r="K72" s="1">
        <v>0.3</v>
      </c>
      <c r="L72" s="1">
        <v>0</v>
      </c>
      <c r="M72" s="1">
        <v>7.3999999999999996E-2</v>
      </c>
      <c r="N72" s="1">
        <v>1.7999999999999999E-2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423</v>
      </c>
      <c r="V72" s="1">
        <v>408</v>
      </c>
      <c r="W72" s="1">
        <v>1</v>
      </c>
      <c r="X72" s="1">
        <v>205</v>
      </c>
      <c r="Y72" s="1">
        <v>0</v>
      </c>
      <c r="Z72" s="1">
        <v>0</v>
      </c>
      <c r="AA72" s="1">
        <v>423</v>
      </c>
      <c r="AB72" s="1">
        <v>44.4</v>
      </c>
      <c r="AC72" s="1">
        <v>1</v>
      </c>
    </row>
    <row r="73" spans="1:29" x14ac:dyDescent="0.3">
      <c r="A73" s="1">
        <v>0</v>
      </c>
      <c r="B73" s="1">
        <v>0.02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6.666666666666667</v>
      </c>
      <c r="J73" s="1">
        <v>0</v>
      </c>
      <c r="K73" s="1">
        <v>9.9999999999999992E-2</v>
      </c>
      <c r="L73" s="1">
        <v>0</v>
      </c>
      <c r="M73" s="1">
        <v>0</v>
      </c>
      <c r="N73" s="1">
        <v>0.15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433</v>
      </c>
      <c r="V73" s="1">
        <v>96</v>
      </c>
      <c r="W73" s="1">
        <v>1</v>
      </c>
      <c r="X73" s="1">
        <v>286</v>
      </c>
      <c r="Y73" s="1">
        <v>0</v>
      </c>
      <c r="Z73" s="1">
        <v>50</v>
      </c>
      <c r="AA73" s="1">
        <v>423</v>
      </c>
      <c r="AB73" s="1">
        <v>4.5432098765432096</v>
      </c>
      <c r="AC73" s="1">
        <v>1</v>
      </c>
    </row>
    <row r="74" spans="1:29" x14ac:dyDescent="0.3">
      <c r="A74" s="1">
        <v>0</v>
      </c>
      <c r="B74" s="1">
        <v>0.02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6.666666666666667</v>
      </c>
      <c r="J74" s="1">
        <v>0</v>
      </c>
      <c r="K74" s="1">
        <v>9.9999999999999992E-2</v>
      </c>
      <c r="L74" s="1">
        <v>0</v>
      </c>
      <c r="M74" s="1">
        <v>0</v>
      </c>
      <c r="N74" s="1">
        <v>0.15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433</v>
      </c>
      <c r="V74" s="1">
        <v>96</v>
      </c>
      <c r="W74" s="1">
        <v>1</v>
      </c>
      <c r="X74" s="1">
        <v>306</v>
      </c>
      <c r="Y74" s="1">
        <v>0</v>
      </c>
      <c r="Z74" s="1">
        <v>50</v>
      </c>
      <c r="AA74" s="1">
        <v>423</v>
      </c>
      <c r="AB74" s="1">
        <v>3.8245614035087718</v>
      </c>
      <c r="AC74" s="1">
        <v>1</v>
      </c>
    </row>
    <row r="75" spans="1:29" x14ac:dyDescent="0.3">
      <c r="A75" s="1">
        <v>0</v>
      </c>
      <c r="B75" s="1">
        <v>0.02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6.666666666666667</v>
      </c>
      <c r="J75" s="1">
        <v>0</v>
      </c>
      <c r="K75" s="1">
        <v>9.9999999999999992E-2</v>
      </c>
      <c r="L75" s="1">
        <v>0</v>
      </c>
      <c r="M75" s="1">
        <v>0</v>
      </c>
      <c r="N75" s="1">
        <v>0.15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433</v>
      </c>
      <c r="V75" s="1">
        <v>96</v>
      </c>
      <c r="W75" s="1">
        <v>1</v>
      </c>
      <c r="X75" s="1">
        <v>306</v>
      </c>
      <c r="Y75" s="1">
        <v>0</v>
      </c>
      <c r="Z75" s="1">
        <v>50</v>
      </c>
      <c r="AA75" s="1">
        <v>423</v>
      </c>
      <c r="AB75" s="1">
        <v>5.270833333333333</v>
      </c>
      <c r="AC75" s="1">
        <v>1</v>
      </c>
    </row>
    <row r="76" spans="1:29" x14ac:dyDescent="0.3">
      <c r="A76" s="1">
        <v>0</v>
      </c>
      <c r="B76" s="1">
        <v>0.02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6.666666666666667</v>
      </c>
      <c r="J76" s="1">
        <v>0</v>
      </c>
      <c r="K76" s="1">
        <v>9.9999999999999992E-2</v>
      </c>
      <c r="L76" s="1">
        <v>0</v>
      </c>
      <c r="M76" s="1">
        <v>0</v>
      </c>
      <c r="N76" s="1">
        <v>0.15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433</v>
      </c>
      <c r="V76" s="1">
        <v>96</v>
      </c>
      <c r="W76" s="1">
        <v>1</v>
      </c>
      <c r="X76" s="1">
        <v>147</v>
      </c>
      <c r="Y76" s="1">
        <v>0</v>
      </c>
      <c r="Z76" s="1">
        <v>50</v>
      </c>
      <c r="AA76" s="1">
        <v>423</v>
      </c>
      <c r="AB76" s="1">
        <v>4.927835051546392</v>
      </c>
      <c r="AC76" s="1">
        <v>1</v>
      </c>
    </row>
    <row r="77" spans="1:29" x14ac:dyDescent="0.3">
      <c r="A77" s="1">
        <v>0.1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55</v>
      </c>
      <c r="J77" s="1">
        <v>1.4</v>
      </c>
      <c r="K77" s="1">
        <v>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448</v>
      </c>
      <c r="V77" s="1">
        <v>240</v>
      </c>
      <c r="W77" s="1">
        <v>0</v>
      </c>
      <c r="X77" s="1">
        <v>227</v>
      </c>
      <c r="Y77" s="1">
        <v>0</v>
      </c>
      <c r="Z77" s="1">
        <v>0</v>
      </c>
      <c r="AA77" s="1">
        <v>423</v>
      </c>
      <c r="AB77" s="1">
        <v>0</v>
      </c>
      <c r="AC77" s="1">
        <v>0</v>
      </c>
    </row>
    <row r="78" spans="1:29" x14ac:dyDescent="0.3">
      <c r="A78" s="1">
        <v>0.1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55</v>
      </c>
      <c r="J78" s="1">
        <v>1.4</v>
      </c>
      <c r="K78" s="1">
        <v>7</v>
      </c>
      <c r="L78" s="1">
        <v>0</v>
      </c>
      <c r="M78" s="1">
        <v>0.06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448</v>
      </c>
      <c r="V78" s="1">
        <v>240</v>
      </c>
      <c r="W78" s="1">
        <v>0</v>
      </c>
      <c r="X78" s="1">
        <v>227</v>
      </c>
      <c r="Y78" s="1">
        <v>0</v>
      </c>
      <c r="Z78" s="1">
        <v>0</v>
      </c>
      <c r="AA78" s="1">
        <v>423</v>
      </c>
      <c r="AB78" s="1">
        <v>0.42372881355932202</v>
      </c>
      <c r="AC78" s="1">
        <v>0</v>
      </c>
    </row>
    <row r="79" spans="1:29" x14ac:dyDescent="0.3">
      <c r="A79" s="1">
        <v>0.1</v>
      </c>
      <c r="B79" s="1">
        <v>0.01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55</v>
      </c>
      <c r="J79" s="1">
        <v>1.4</v>
      </c>
      <c r="K79" s="1">
        <v>7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448</v>
      </c>
      <c r="V79" s="1">
        <v>240</v>
      </c>
      <c r="W79" s="1">
        <v>0</v>
      </c>
      <c r="X79" s="1">
        <v>227</v>
      </c>
      <c r="Y79" s="1">
        <v>0</v>
      </c>
      <c r="Z79" s="1">
        <v>0</v>
      </c>
      <c r="AA79" s="1">
        <v>423</v>
      </c>
      <c r="AB79" s="1">
        <v>4.6363636363636367</v>
      </c>
      <c r="AC79" s="1">
        <v>1</v>
      </c>
    </row>
    <row r="80" spans="1:29" x14ac:dyDescent="0.3">
      <c r="A80" s="1">
        <v>0.1</v>
      </c>
      <c r="B80" s="1">
        <v>2.1999999999999999E-2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55</v>
      </c>
      <c r="J80" s="1">
        <v>1.4</v>
      </c>
      <c r="K80" s="1">
        <v>7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448</v>
      </c>
      <c r="V80" s="1">
        <v>240</v>
      </c>
      <c r="W80" s="1">
        <v>0</v>
      </c>
      <c r="X80" s="1">
        <v>227</v>
      </c>
      <c r="Y80" s="1">
        <v>0</v>
      </c>
      <c r="Z80" s="1">
        <v>0</v>
      </c>
      <c r="AA80" s="1">
        <v>423</v>
      </c>
      <c r="AB80" s="1">
        <v>0.97674418604651159</v>
      </c>
      <c r="AC80" s="1">
        <v>0</v>
      </c>
    </row>
    <row r="81" spans="1:29" x14ac:dyDescent="0.3">
      <c r="A81" s="1">
        <v>0.1</v>
      </c>
      <c r="B81" s="1">
        <v>0</v>
      </c>
      <c r="C81" s="1">
        <v>0.01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55</v>
      </c>
      <c r="J81" s="1">
        <v>1.4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448</v>
      </c>
      <c r="V81" s="1">
        <v>240</v>
      </c>
      <c r="W81" s="1">
        <v>0</v>
      </c>
      <c r="X81" s="1">
        <v>227</v>
      </c>
      <c r="Y81" s="1">
        <v>0</v>
      </c>
      <c r="Z81" s="1">
        <v>0</v>
      </c>
      <c r="AA81" s="1">
        <v>423</v>
      </c>
      <c r="AB81" s="1">
        <v>0.65555555555555556</v>
      </c>
      <c r="AC81" s="1">
        <v>0</v>
      </c>
    </row>
    <row r="82" spans="1:29" x14ac:dyDescent="0.3">
      <c r="A82" s="1">
        <v>0.5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55</v>
      </c>
      <c r="J82" s="1">
        <v>1.4</v>
      </c>
      <c r="K82" s="1">
        <v>7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448</v>
      </c>
      <c r="V82" s="1">
        <v>240</v>
      </c>
      <c r="W82" s="1">
        <v>0</v>
      </c>
      <c r="X82" s="1">
        <v>227</v>
      </c>
      <c r="Y82" s="1">
        <v>0</v>
      </c>
      <c r="Z82" s="1">
        <v>0</v>
      </c>
      <c r="AA82" s="1">
        <v>423</v>
      </c>
      <c r="AB82" s="1">
        <v>0</v>
      </c>
      <c r="AC82" s="1">
        <v>0</v>
      </c>
    </row>
    <row r="83" spans="1:29" x14ac:dyDescent="0.3">
      <c r="A83" s="1">
        <v>0.5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55</v>
      </c>
      <c r="J83" s="1">
        <v>1.4</v>
      </c>
      <c r="K83" s="1">
        <v>7</v>
      </c>
      <c r="L83" s="1">
        <v>0</v>
      </c>
      <c r="M83" s="1">
        <v>7.9000000000000001E-2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448</v>
      </c>
      <c r="V83" s="1">
        <v>240</v>
      </c>
      <c r="W83" s="1">
        <v>0</v>
      </c>
      <c r="X83" s="1">
        <v>227</v>
      </c>
      <c r="Y83" s="1">
        <v>0</v>
      </c>
      <c r="Z83" s="1">
        <v>0</v>
      </c>
      <c r="AA83" s="1">
        <v>423</v>
      </c>
      <c r="AB83" s="1">
        <v>3.3333333333333335</v>
      </c>
      <c r="AC83" s="1">
        <v>1</v>
      </c>
    </row>
    <row r="84" spans="1:29" x14ac:dyDescent="0.3">
      <c r="A84" s="1">
        <v>0.5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55</v>
      </c>
      <c r="J84" s="1">
        <v>1.4</v>
      </c>
      <c r="K84" s="1">
        <v>7</v>
      </c>
      <c r="L84" s="1">
        <v>0</v>
      </c>
      <c r="M84" s="1">
        <v>0.158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448</v>
      </c>
      <c r="V84" s="1">
        <v>240</v>
      </c>
      <c r="W84" s="1">
        <v>0</v>
      </c>
      <c r="X84" s="1">
        <v>227</v>
      </c>
      <c r="Y84" s="1">
        <v>0</v>
      </c>
      <c r="Z84" s="1">
        <v>0</v>
      </c>
      <c r="AA84" s="1">
        <v>423</v>
      </c>
      <c r="AB84" s="1">
        <v>4.166666666666667</v>
      </c>
      <c r="AC84" s="1">
        <v>1</v>
      </c>
    </row>
    <row r="85" spans="1:29" x14ac:dyDescent="0.3">
      <c r="A85" s="1">
        <v>0.5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  <c r="J85" s="1">
        <v>1.4</v>
      </c>
      <c r="K85" s="1">
        <v>7</v>
      </c>
      <c r="L85" s="1">
        <v>0</v>
      </c>
      <c r="M85" s="1">
        <v>0.316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448</v>
      </c>
      <c r="V85" s="1">
        <v>240</v>
      </c>
      <c r="W85" s="1">
        <v>0</v>
      </c>
      <c r="X85" s="1">
        <v>227</v>
      </c>
      <c r="Y85" s="1">
        <v>0</v>
      </c>
      <c r="Z85" s="1">
        <v>0</v>
      </c>
      <c r="AA85" s="1">
        <v>423</v>
      </c>
      <c r="AB85" s="1">
        <v>0.50370370370370365</v>
      </c>
      <c r="AC85" s="1">
        <v>0</v>
      </c>
    </row>
    <row r="86" spans="1:29" x14ac:dyDescent="0.3">
      <c r="A86" s="1">
        <v>0.5</v>
      </c>
      <c r="B86" s="1">
        <v>1.4999999999999999E-2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55</v>
      </c>
      <c r="J86" s="1">
        <v>1.4</v>
      </c>
      <c r="K86" s="1">
        <v>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448</v>
      </c>
      <c r="V86" s="1">
        <v>240</v>
      </c>
      <c r="W86" s="1">
        <v>0</v>
      </c>
      <c r="X86" s="1">
        <v>227</v>
      </c>
      <c r="Y86" s="1">
        <v>0</v>
      </c>
      <c r="Z86" s="1">
        <v>0</v>
      </c>
      <c r="AA86" s="1">
        <v>423</v>
      </c>
      <c r="AB86" s="1">
        <v>1.1212121212121211</v>
      </c>
      <c r="AC86" s="1">
        <v>1</v>
      </c>
    </row>
    <row r="87" spans="1:29" x14ac:dyDescent="0.3">
      <c r="A87" s="1">
        <v>0.5</v>
      </c>
      <c r="B87" s="1">
        <v>0.03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55</v>
      </c>
      <c r="J87" s="1">
        <v>1.4</v>
      </c>
      <c r="K87" s="1">
        <v>7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448</v>
      </c>
      <c r="V87" s="1">
        <v>240</v>
      </c>
      <c r="W87" s="1">
        <v>0</v>
      </c>
      <c r="X87" s="1">
        <v>227</v>
      </c>
      <c r="Y87" s="1">
        <v>0</v>
      </c>
      <c r="Z87" s="1">
        <v>0</v>
      </c>
      <c r="AA87" s="1">
        <v>423</v>
      </c>
      <c r="AB87" s="1">
        <v>1.203125</v>
      </c>
      <c r="AC87" s="1">
        <v>1</v>
      </c>
    </row>
    <row r="88" spans="1:29" x14ac:dyDescent="0.3">
      <c r="A88" s="1">
        <v>0.5</v>
      </c>
      <c r="B88" s="1">
        <v>0.06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55</v>
      </c>
      <c r="J88" s="1">
        <v>1.4</v>
      </c>
      <c r="K88" s="1">
        <v>7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448</v>
      </c>
      <c r="V88" s="1">
        <v>240</v>
      </c>
      <c r="W88" s="1">
        <v>0</v>
      </c>
      <c r="X88" s="1">
        <v>227</v>
      </c>
      <c r="Y88" s="1">
        <v>0</v>
      </c>
      <c r="Z88" s="1">
        <v>0</v>
      </c>
      <c r="AA88" s="1">
        <v>423</v>
      </c>
      <c r="AB88" s="1">
        <v>0.81481481481481477</v>
      </c>
      <c r="AC88" s="1">
        <v>0</v>
      </c>
    </row>
    <row r="89" spans="1:29" x14ac:dyDescent="0.3">
      <c r="A89" s="1">
        <v>0.5</v>
      </c>
      <c r="B89" s="1">
        <v>0.09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55</v>
      </c>
      <c r="J89" s="1">
        <v>1.4</v>
      </c>
      <c r="K89" s="1">
        <v>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448</v>
      </c>
      <c r="V89" s="1">
        <v>240</v>
      </c>
      <c r="W89" s="1">
        <v>0</v>
      </c>
      <c r="X89" s="1">
        <v>227</v>
      </c>
      <c r="Y89" s="1">
        <v>0</v>
      </c>
      <c r="Z89" s="1">
        <v>0</v>
      </c>
      <c r="AA89" s="1">
        <v>423</v>
      </c>
      <c r="AB89" s="1">
        <v>0.9285714285714286</v>
      </c>
      <c r="AC89" s="1">
        <v>0</v>
      </c>
    </row>
    <row r="90" spans="1:29" x14ac:dyDescent="0.3">
      <c r="A90" s="1">
        <v>0</v>
      </c>
      <c r="B90" s="1">
        <v>1.6666666666666666E-2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11.7</v>
      </c>
      <c r="I90" s="1">
        <v>37</v>
      </c>
      <c r="J90" s="1">
        <v>0</v>
      </c>
      <c r="K90" s="1">
        <v>0.1125</v>
      </c>
      <c r="L90" s="1">
        <v>0</v>
      </c>
      <c r="M90" s="1">
        <v>0</v>
      </c>
      <c r="N90" s="1">
        <v>5.85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438</v>
      </c>
      <c r="V90" s="1">
        <v>67</v>
      </c>
      <c r="W90" s="1">
        <v>0</v>
      </c>
      <c r="X90" s="1">
        <v>299</v>
      </c>
      <c r="Y90" s="1">
        <v>0</v>
      </c>
      <c r="Z90" s="1">
        <v>0</v>
      </c>
      <c r="AA90" s="1">
        <v>423</v>
      </c>
      <c r="AB90" s="1">
        <v>4.0697674418604652</v>
      </c>
      <c r="AC90" s="1">
        <v>1</v>
      </c>
    </row>
    <row r="91" spans="1:29" x14ac:dyDescent="0.3">
      <c r="A91" s="1">
        <v>0</v>
      </c>
      <c r="B91" s="1">
        <v>1.6666666666666666E-2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11.7</v>
      </c>
      <c r="I91" s="1">
        <v>37</v>
      </c>
      <c r="J91" s="1">
        <v>1</v>
      </c>
      <c r="K91" s="1">
        <v>0.1125</v>
      </c>
      <c r="L91" s="1">
        <v>0</v>
      </c>
      <c r="M91" s="1">
        <v>0</v>
      </c>
      <c r="N91" s="1">
        <v>5.85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438</v>
      </c>
      <c r="V91" s="1">
        <v>67</v>
      </c>
      <c r="W91" s="1">
        <v>0</v>
      </c>
      <c r="X91" s="1">
        <v>233</v>
      </c>
      <c r="Y91" s="1">
        <v>0</v>
      </c>
      <c r="Z91" s="1">
        <v>0</v>
      </c>
      <c r="AA91" s="1">
        <v>423</v>
      </c>
      <c r="AB91" s="1">
        <v>3.1818181818181817</v>
      </c>
      <c r="AC91" s="1">
        <v>1</v>
      </c>
    </row>
    <row r="92" spans="1:29" x14ac:dyDescent="0.3">
      <c r="A92" s="1">
        <v>0</v>
      </c>
      <c r="B92" s="1">
        <v>5.0000000000000001E-3</v>
      </c>
      <c r="C92" s="1">
        <v>0</v>
      </c>
      <c r="D92" s="1">
        <v>5.0000000000000001E-3</v>
      </c>
      <c r="E92" s="1">
        <v>0</v>
      </c>
      <c r="F92" s="1">
        <v>0</v>
      </c>
      <c r="G92" s="1">
        <v>0</v>
      </c>
      <c r="H92" s="1">
        <v>9.8000000000000004E-2</v>
      </c>
      <c r="I92" s="1">
        <v>3</v>
      </c>
      <c r="J92" s="1">
        <v>0</v>
      </c>
      <c r="K92" s="1">
        <v>3.5000000000000003E-2</v>
      </c>
      <c r="L92" s="1">
        <v>0</v>
      </c>
      <c r="M92" s="1">
        <v>0</v>
      </c>
      <c r="N92" s="1">
        <v>4.9000000000000002E-2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453</v>
      </c>
      <c r="V92" s="1">
        <v>40</v>
      </c>
      <c r="W92" s="1">
        <v>0</v>
      </c>
      <c r="X92" s="1">
        <v>258</v>
      </c>
      <c r="Y92" s="1">
        <v>0</v>
      </c>
      <c r="Z92" s="1">
        <v>40</v>
      </c>
      <c r="AA92" s="1">
        <v>423</v>
      </c>
      <c r="AB92" s="1">
        <v>0.5</v>
      </c>
      <c r="AC92" s="1">
        <v>0</v>
      </c>
    </row>
    <row r="93" spans="1:29" x14ac:dyDescent="0.3">
      <c r="A93" s="1">
        <v>0</v>
      </c>
      <c r="B93" s="1">
        <v>7.4999999999999997E-3</v>
      </c>
      <c r="C93" s="1">
        <v>0</v>
      </c>
      <c r="D93" s="1">
        <v>2.5000000000000001E-3</v>
      </c>
      <c r="E93" s="1">
        <v>0</v>
      </c>
      <c r="F93" s="1">
        <v>0</v>
      </c>
      <c r="G93" s="1">
        <v>0</v>
      </c>
      <c r="H93" s="1">
        <v>0.104</v>
      </c>
      <c r="I93" s="1">
        <v>3</v>
      </c>
      <c r="J93" s="1">
        <v>0</v>
      </c>
      <c r="K93" s="1">
        <v>3.5000000000000003E-2</v>
      </c>
      <c r="L93" s="1">
        <v>0</v>
      </c>
      <c r="M93" s="1">
        <v>0</v>
      </c>
      <c r="N93" s="1">
        <v>5.1999999999999998E-2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453</v>
      </c>
      <c r="V93" s="1">
        <v>40</v>
      </c>
      <c r="W93" s="1">
        <v>0</v>
      </c>
      <c r="X93" s="1">
        <v>258</v>
      </c>
      <c r="Y93" s="1">
        <v>0</v>
      </c>
      <c r="Z93" s="1">
        <v>40</v>
      </c>
      <c r="AA93" s="1">
        <v>423</v>
      </c>
      <c r="AB93" s="1">
        <v>0.70370370370370372</v>
      </c>
      <c r="AC93" s="1">
        <v>0</v>
      </c>
    </row>
    <row r="94" spans="1:29" x14ac:dyDescent="0.3">
      <c r="A94" s="1">
        <v>0</v>
      </c>
      <c r="B94" s="1">
        <v>8.0000000000000002E-3</v>
      </c>
      <c r="C94" s="1">
        <v>0</v>
      </c>
      <c r="D94" s="1">
        <v>1.6999999999999999E-3</v>
      </c>
      <c r="E94" s="1">
        <v>0</v>
      </c>
      <c r="F94" s="1">
        <v>0</v>
      </c>
      <c r="G94" s="1">
        <v>0</v>
      </c>
      <c r="H94" s="1">
        <v>0.106</v>
      </c>
      <c r="I94" s="1">
        <v>3</v>
      </c>
      <c r="J94" s="1">
        <v>0</v>
      </c>
      <c r="K94" s="1">
        <v>3.5000000000000003E-2</v>
      </c>
      <c r="L94" s="1">
        <v>0</v>
      </c>
      <c r="M94" s="1">
        <v>0</v>
      </c>
      <c r="N94" s="1">
        <v>5.2999999999999999E-2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453</v>
      </c>
      <c r="V94" s="1">
        <v>40</v>
      </c>
      <c r="W94" s="1">
        <v>0</v>
      </c>
      <c r="X94" s="1">
        <v>258</v>
      </c>
      <c r="Y94" s="1">
        <v>0</v>
      </c>
      <c r="Z94" s="1">
        <v>40</v>
      </c>
      <c r="AA94" s="1">
        <v>423</v>
      </c>
      <c r="AB94" s="1">
        <v>0.75</v>
      </c>
      <c r="AC94" s="1">
        <v>0</v>
      </c>
    </row>
    <row r="95" spans="1:29" x14ac:dyDescent="0.3">
      <c r="A95" s="1">
        <v>0</v>
      </c>
      <c r="B95" s="1">
        <v>5.0000000000000001E-3</v>
      </c>
      <c r="C95" s="1">
        <v>0</v>
      </c>
      <c r="D95" s="1">
        <v>5.0000000000000001E-3</v>
      </c>
      <c r="E95" s="1">
        <v>0</v>
      </c>
      <c r="F95" s="1">
        <v>0</v>
      </c>
      <c r="G95" s="1">
        <v>0</v>
      </c>
      <c r="H95" s="1">
        <v>9.8000000000000004E-2</v>
      </c>
      <c r="I95" s="1">
        <v>3</v>
      </c>
      <c r="J95" s="1">
        <v>0</v>
      </c>
      <c r="K95" s="1">
        <v>3.5000000000000003E-2</v>
      </c>
      <c r="L95" s="1">
        <v>0</v>
      </c>
      <c r="M95" s="1">
        <v>0</v>
      </c>
      <c r="N95" s="1">
        <v>4.9000000000000002E-2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453</v>
      </c>
      <c r="V95" s="1">
        <v>40</v>
      </c>
      <c r="W95" s="1">
        <v>0</v>
      </c>
      <c r="X95" s="1">
        <v>258</v>
      </c>
      <c r="Y95" s="1">
        <v>0</v>
      </c>
      <c r="Z95" s="1">
        <v>40</v>
      </c>
      <c r="AA95" s="1">
        <v>623</v>
      </c>
      <c r="AB95" s="1">
        <v>1.1153846153846154</v>
      </c>
      <c r="AC95" s="1">
        <v>1</v>
      </c>
    </row>
    <row r="96" spans="1:29" x14ac:dyDescent="0.3">
      <c r="A96" s="1">
        <v>0</v>
      </c>
      <c r="B96" s="1">
        <v>7.4999999999999997E-3</v>
      </c>
      <c r="C96" s="1">
        <v>0</v>
      </c>
      <c r="D96" s="1">
        <v>2.5000000000000001E-3</v>
      </c>
      <c r="E96" s="1">
        <v>0</v>
      </c>
      <c r="F96" s="1">
        <v>0</v>
      </c>
      <c r="G96" s="1">
        <v>0</v>
      </c>
      <c r="H96" s="1">
        <v>0.104</v>
      </c>
      <c r="I96" s="1">
        <v>3</v>
      </c>
      <c r="J96" s="1">
        <v>0</v>
      </c>
      <c r="K96" s="1">
        <v>3.5000000000000003E-2</v>
      </c>
      <c r="L96" s="1">
        <v>0</v>
      </c>
      <c r="M96" s="1">
        <v>0</v>
      </c>
      <c r="N96" s="1">
        <v>5.1999999999999998E-2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453</v>
      </c>
      <c r="V96" s="1">
        <v>40</v>
      </c>
      <c r="W96" s="1">
        <v>0</v>
      </c>
      <c r="X96" s="1">
        <v>258</v>
      </c>
      <c r="Y96" s="1">
        <v>0</v>
      </c>
      <c r="Z96" s="1">
        <v>40</v>
      </c>
      <c r="AA96" s="1">
        <v>623</v>
      </c>
      <c r="AB96" s="1">
        <v>1.3043478260869565</v>
      </c>
      <c r="AC96" s="1">
        <v>1</v>
      </c>
    </row>
    <row r="97" spans="1:29" x14ac:dyDescent="0.3">
      <c r="A97" s="1">
        <v>0</v>
      </c>
      <c r="B97" s="1">
        <v>8.0000000000000002E-3</v>
      </c>
      <c r="C97" s="1">
        <v>0</v>
      </c>
      <c r="D97" s="1">
        <v>1.6999999999999999E-3</v>
      </c>
      <c r="E97" s="1">
        <v>0</v>
      </c>
      <c r="F97" s="1">
        <v>0</v>
      </c>
      <c r="G97" s="1">
        <v>0</v>
      </c>
      <c r="H97" s="1">
        <v>0.106</v>
      </c>
      <c r="I97" s="1">
        <v>3</v>
      </c>
      <c r="J97" s="1">
        <v>0</v>
      </c>
      <c r="K97" s="1">
        <v>3.5000000000000003E-2</v>
      </c>
      <c r="L97" s="1">
        <v>0</v>
      </c>
      <c r="M97" s="1">
        <v>0</v>
      </c>
      <c r="N97" s="1">
        <v>5.2999999999999999E-2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453</v>
      </c>
      <c r="V97" s="1">
        <v>40</v>
      </c>
      <c r="W97" s="1">
        <v>0</v>
      </c>
      <c r="X97" s="1">
        <v>258</v>
      </c>
      <c r="Y97" s="1">
        <v>0</v>
      </c>
      <c r="Z97" s="1">
        <v>40</v>
      </c>
      <c r="AA97" s="1">
        <v>623</v>
      </c>
      <c r="AB97" s="1">
        <v>1.5862068965517242</v>
      </c>
      <c r="AC97" s="1">
        <v>1</v>
      </c>
    </row>
    <row r="98" spans="1:29" x14ac:dyDescent="0.3">
      <c r="A98" s="1">
        <v>0.5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0.75</v>
      </c>
      <c r="I98" s="1">
        <v>8.3333333333333339</v>
      </c>
      <c r="J98" s="1">
        <v>0</v>
      </c>
      <c r="K98" s="1">
        <v>0.375</v>
      </c>
      <c r="L98" s="1">
        <v>0</v>
      </c>
      <c r="M98" s="1">
        <v>0.16666666666666669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448</v>
      </c>
      <c r="V98" s="1">
        <v>240</v>
      </c>
      <c r="W98" s="1">
        <v>0</v>
      </c>
      <c r="X98" s="1">
        <v>258</v>
      </c>
      <c r="Y98" s="1">
        <v>0</v>
      </c>
      <c r="Z98" s="1">
        <v>60</v>
      </c>
      <c r="AA98" s="1">
        <v>423</v>
      </c>
      <c r="AB98" s="1">
        <v>0.25806451612903225</v>
      </c>
      <c r="AC98" s="1">
        <v>0</v>
      </c>
    </row>
    <row r="99" spans="1:29" x14ac:dyDescent="0.3">
      <c r="A99" s="1">
        <v>0</v>
      </c>
      <c r="B99" s="1">
        <v>1.4E-2</v>
      </c>
      <c r="C99" s="1">
        <v>0</v>
      </c>
      <c r="D99" s="1">
        <v>5.0000000000000001E-3</v>
      </c>
      <c r="E99" s="1">
        <v>0</v>
      </c>
      <c r="F99" s="1">
        <v>0</v>
      </c>
      <c r="G99" s="1">
        <v>0</v>
      </c>
      <c r="H99" s="1">
        <v>0.4</v>
      </c>
      <c r="I99" s="1">
        <v>20</v>
      </c>
      <c r="J99" s="1">
        <v>0</v>
      </c>
      <c r="K99" s="1">
        <v>0.2</v>
      </c>
      <c r="L99" s="1">
        <v>0</v>
      </c>
      <c r="M99" s="1">
        <v>0</v>
      </c>
      <c r="N99" s="1">
        <v>0.1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443</v>
      </c>
      <c r="V99" s="1">
        <v>48</v>
      </c>
      <c r="W99" s="1">
        <v>0</v>
      </c>
      <c r="X99" s="1">
        <v>233</v>
      </c>
      <c r="Y99" s="1">
        <v>0</v>
      </c>
      <c r="Z99" s="1">
        <v>0</v>
      </c>
      <c r="AA99" s="1">
        <v>423</v>
      </c>
      <c r="AB99" s="1">
        <v>3.96</v>
      </c>
      <c r="AC99" s="1">
        <v>1</v>
      </c>
    </row>
    <row r="100" spans="1:29" x14ac:dyDescent="0.3">
      <c r="A100" s="1">
        <v>0</v>
      </c>
      <c r="B100" s="1">
        <v>0.02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0.25</v>
      </c>
      <c r="I100" s="1">
        <v>30</v>
      </c>
      <c r="J100" s="1">
        <v>0</v>
      </c>
      <c r="K100" s="1">
        <v>0.25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443</v>
      </c>
      <c r="V100" s="1">
        <v>72</v>
      </c>
      <c r="W100" s="1">
        <v>0</v>
      </c>
      <c r="X100" s="1">
        <v>233</v>
      </c>
      <c r="Y100" s="1">
        <v>0</v>
      </c>
      <c r="Z100" s="1">
        <v>0</v>
      </c>
      <c r="AA100" s="1">
        <v>423</v>
      </c>
      <c r="AB100" s="1">
        <v>1.7252747252747254</v>
      </c>
      <c r="AC100" s="1">
        <v>1</v>
      </c>
    </row>
    <row r="101" spans="1:29" x14ac:dyDescent="0.3">
      <c r="A101" s="1">
        <v>0</v>
      </c>
      <c r="B101" s="1">
        <v>0.02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0.25</v>
      </c>
      <c r="I101" s="1">
        <v>30</v>
      </c>
      <c r="J101" s="1">
        <v>0</v>
      </c>
      <c r="K101" s="1">
        <v>0.25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3.3333333333333335E-3</v>
      </c>
      <c r="S101" s="1">
        <v>0</v>
      </c>
      <c r="T101" s="1">
        <v>0</v>
      </c>
      <c r="U101" s="1">
        <v>443</v>
      </c>
      <c r="V101" s="1">
        <v>72</v>
      </c>
      <c r="W101" s="1">
        <v>0</v>
      </c>
      <c r="X101" s="1">
        <v>233</v>
      </c>
      <c r="Y101" s="1">
        <v>0</v>
      </c>
      <c r="Z101" s="1">
        <v>0</v>
      </c>
      <c r="AA101" s="1">
        <v>423</v>
      </c>
      <c r="AB101" s="1">
        <v>1.2540983606557377</v>
      </c>
      <c r="AC101" s="1">
        <v>1</v>
      </c>
    </row>
    <row r="102" spans="1:29" x14ac:dyDescent="0.3">
      <c r="A102" s="1">
        <v>0</v>
      </c>
      <c r="B102" s="1">
        <v>0.02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0.25</v>
      </c>
      <c r="I102" s="1">
        <v>30</v>
      </c>
      <c r="J102" s="1">
        <v>0</v>
      </c>
      <c r="K102" s="1">
        <v>0.25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5.0000000000000001E-3</v>
      </c>
      <c r="S102" s="1">
        <v>0</v>
      </c>
      <c r="T102" s="1">
        <v>0</v>
      </c>
      <c r="U102" s="1">
        <v>443</v>
      </c>
      <c r="V102" s="1">
        <v>72</v>
      </c>
      <c r="W102" s="1">
        <v>0</v>
      </c>
      <c r="X102" s="1">
        <v>233</v>
      </c>
      <c r="Y102" s="1">
        <v>0</v>
      </c>
      <c r="Z102" s="1">
        <v>0</v>
      </c>
      <c r="AA102" s="1">
        <v>423</v>
      </c>
      <c r="AB102" s="1">
        <v>1.15625</v>
      </c>
      <c r="AC102" s="1">
        <v>1</v>
      </c>
    </row>
    <row r="103" spans="1:29" x14ac:dyDescent="0.3">
      <c r="A103" s="1">
        <v>0</v>
      </c>
      <c r="B103" s="1">
        <v>0.02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0.25</v>
      </c>
      <c r="I103" s="1">
        <v>30</v>
      </c>
      <c r="J103" s="1">
        <v>0</v>
      </c>
      <c r="K103" s="1">
        <v>0.25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0.01</v>
      </c>
      <c r="S103" s="1">
        <v>0</v>
      </c>
      <c r="T103" s="1">
        <v>0</v>
      </c>
      <c r="U103" s="1">
        <v>443</v>
      </c>
      <c r="V103" s="1">
        <v>72</v>
      </c>
      <c r="W103" s="1">
        <v>0</v>
      </c>
      <c r="X103" s="1">
        <v>233</v>
      </c>
      <c r="Y103" s="1">
        <v>0</v>
      </c>
      <c r="Z103" s="1">
        <v>0</v>
      </c>
      <c r="AA103" s="1">
        <v>423</v>
      </c>
      <c r="AB103" s="1">
        <v>1.1021897810218979</v>
      </c>
      <c r="AC103" s="1">
        <v>1</v>
      </c>
    </row>
    <row r="104" spans="1:29" x14ac:dyDescent="0.3">
      <c r="A104" s="1">
        <v>0</v>
      </c>
      <c r="B104" s="1">
        <v>2.5000000000000001E-2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0.1</v>
      </c>
      <c r="I104" s="1">
        <v>52</v>
      </c>
      <c r="J104" s="1">
        <v>0</v>
      </c>
      <c r="K104" s="1">
        <v>0.05</v>
      </c>
      <c r="L104" s="1">
        <v>0</v>
      </c>
      <c r="M104" s="1">
        <v>0</v>
      </c>
      <c r="N104" s="1">
        <v>0.125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443</v>
      </c>
      <c r="V104" s="1">
        <v>240</v>
      </c>
      <c r="W104" s="1">
        <v>0</v>
      </c>
      <c r="X104" s="1">
        <v>325</v>
      </c>
      <c r="Y104" s="1">
        <v>0</v>
      </c>
      <c r="Z104" s="1">
        <v>60</v>
      </c>
      <c r="AA104" s="1">
        <v>373</v>
      </c>
      <c r="AB104" s="1">
        <v>0.56999999999999995</v>
      </c>
      <c r="AC104" s="1">
        <v>0</v>
      </c>
    </row>
    <row r="105" spans="1:29" x14ac:dyDescent="0.3">
      <c r="A105" s="1">
        <v>0</v>
      </c>
      <c r="B105" s="1">
        <v>2.5000000000000001E-2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0.1</v>
      </c>
      <c r="I105" s="1">
        <v>52</v>
      </c>
      <c r="J105" s="1">
        <v>0</v>
      </c>
      <c r="K105" s="1">
        <v>0.05</v>
      </c>
      <c r="L105" s="1">
        <v>0</v>
      </c>
      <c r="M105" s="1">
        <v>0</v>
      </c>
      <c r="N105" s="1">
        <v>0.125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443</v>
      </c>
      <c r="V105" s="1">
        <v>240</v>
      </c>
      <c r="W105" s="1">
        <v>0</v>
      </c>
      <c r="X105" s="1">
        <v>325</v>
      </c>
      <c r="Y105" s="1">
        <v>0</v>
      </c>
      <c r="Z105" s="1">
        <v>60</v>
      </c>
      <c r="AA105" s="1">
        <v>473</v>
      </c>
      <c r="AB105" s="1">
        <v>1.32</v>
      </c>
      <c r="AC105" s="1">
        <v>1</v>
      </c>
    </row>
    <row r="106" spans="1:29" x14ac:dyDescent="0.3">
      <c r="A106" s="1">
        <v>0</v>
      </c>
      <c r="B106" s="1">
        <v>2.5000000000000001E-2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0.1</v>
      </c>
      <c r="I106" s="1">
        <v>52</v>
      </c>
      <c r="J106" s="1">
        <v>0</v>
      </c>
      <c r="K106" s="1">
        <v>0.05</v>
      </c>
      <c r="L106" s="1">
        <v>0</v>
      </c>
      <c r="M106" s="1">
        <v>0</v>
      </c>
      <c r="N106" s="1">
        <v>0.125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443</v>
      </c>
      <c r="V106" s="1">
        <v>240</v>
      </c>
      <c r="W106" s="1">
        <v>0</v>
      </c>
      <c r="X106" s="1">
        <v>325</v>
      </c>
      <c r="Y106" s="1">
        <v>0</v>
      </c>
      <c r="Z106" s="1">
        <v>60</v>
      </c>
      <c r="AA106" s="1">
        <v>573</v>
      </c>
      <c r="AB106" s="1">
        <v>1.28</v>
      </c>
      <c r="AC106" s="1">
        <v>1</v>
      </c>
    </row>
    <row r="107" spans="1:29" x14ac:dyDescent="0.3">
      <c r="A107" s="1">
        <v>0</v>
      </c>
      <c r="B107" s="1">
        <v>2.5000000000000001E-2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0.1</v>
      </c>
      <c r="I107" s="1">
        <v>52</v>
      </c>
      <c r="J107" s="1">
        <v>0</v>
      </c>
      <c r="K107" s="1">
        <v>0.05</v>
      </c>
      <c r="L107" s="1">
        <v>0</v>
      </c>
      <c r="M107" s="1">
        <v>0</v>
      </c>
      <c r="N107" s="1">
        <v>0.125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443</v>
      </c>
      <c r="V107" s="1">
        <v>240</v>
      </c>
      <c r="W107" s="1">
        <v>0</v>
      </c>
      <c r="X107" s="1">
        <v>325</v>
      </c>
      <c r="Y107" s="1">
        <v>0</v>
      </c>
      <c r="Z107" s="1">
        <v>60</v>
      </c>
      <c r="AA107" s="1">
        <v>673</v>
      </c>
      <c r="AB107" s="1">
        <v>1.38</v>
      </c>
      <c r="AC107" s="1">
        <v>1</v>
      </c>
    </row>
    <row r="108" spans="1:29" x14ac:dyDescent="0.3">
      <c r="A108" s="1">
        <v>0</v>
      </c>
      <c r="B108" s="1">
        <v>0</v>
      </c>
      <c r="C108" s="1">
        <v>2.5000000000000001E-2</v>
      </c>
      <c r="D108" s="1">
        <v>0</v>
      </c>
      <c r="E108" s="1">
        <v>0</v>
      </c>
      <c r="F108" s="1">
        <v>0</v>
      </c>
      <c r="G108" s="1">
        <v>0</v>
      </c>
      <c r="H108" s="1">
        <v>0.1</v>
      </c>
      <c r="I108" s="1">
        <v>52</v>
      </c>
      <c r="J108" s="1">
        <v>0</v>
      </c>
      <c r="K108" s="1">
        <v>0.05</v>
      </c>
      <c r="L108" s="1">
        <v>0</v>
      </c>
      <c r="M108" s="1">
        <v>0</v>
      </c>
      <c r="N108" s="1">
        <v>0.125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443</v>
      </c>
      <c r="V108" s="1">
        <v>240</v>
      </c>
      <c r="W108" s="1">
        <v>0</v>
      </c>
      <c r="X108" s="1">
        <v>325</v>
      </c>
      <c r="Y108" s="1">
        <v>0</v>
      </c>
      <c r="Z108" s="1">
        <v>60</v>
      </c>
      <c r="AA108" s="1">
        <v>373</v>
      </c>
      <c r="AB108" s="1">
        <v>0.54</v>
      </c>
      <c r="AC108" s="1">
        <v>0</v>
      </c>
    </row>
    <row r="109" spans="1:29" x14ac:dyDescent="0.3">
      <c r="A109" s="1">
        <v>0</v>
      </c>
      <c r="B109" s="1">
        <v>0</v>
      </c>
      <c r="C109" s="1">
        <v>2.5000000000000001E-2</v>
      </c>
      <c r="D109" s="1">
        <v>0</v>
      </c>
      <c r="E109" s="1">
        <v>0</v>
      </c>
      <c r="F109" s="1">
        <v>0</v>
      </c>
      <c r="G109" s="1">
        <v>0</v>
      </c>
      <c r="H109" s="1">
        <v>0.1</v>
      </c>
      <c r="I109" s="1">
        <v>52</v>
      </c>
      <c r="J109" s="1">
        <v>0</v>
      </c>
      <c r="K109" s="1">
        <v>0.05</v>
      </c>
      <c r="L109" s="1">
        <v>0</v>
      </c>
      <c r="M109" s="1">
        <v>0</v>
      </c>
      <c r="N109" s="1">
        <v>0.125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443</v>
      </c>
      <c r="V109" s="1">
        <v>241</v>
      </c>
      <c r="W109" s="1">
        <v>0</v>
      </c>
      <c r="X109" s="1">
        <v>325</v>
      </c>
      <c r="Y109" s="1">
        <v>0</v>
      </c>
      <c r="Z109" s="1">
        <v>60</v>
      </c>
      <c r="AA109" s="1">
        <v>473</v>
      </c>
      <c r="AB109" s="1">
        <v>0.45</v>
      </c>
      <c r="AC109" s="1">
        <v>0</v>
      </c>
    </row>
    <row r="110" spans="1:29" x14ac:dyDescent="0.3">
      <c r="A110" s="1">
        <v>0</v>
      </c>
      <c r="B110" s="1">
        <v>0</v>
      </c>
      <c r="C110" s="1">
        <v>2.5000000000000001E-2</v>
      </c>
      <c r="D110" s="1">
        <v>0</v>
      </c>
      <c r="E110" s="1">
        <v>0</v>
      </c>
      <c r="F110" s="1">
        <v>0</v>
      </c>
      <c r="G110" s="1">
        <v>0</v>
      </c>
      <c r="H110" s="1">
        <v>0.1</v>
      </c>
      <c r="I110" s="1">
        <v>52</v>
      </c>
      <c r="J110" s="1">
        <v>0</v>
      </c>
      <c r="K110" s="1">
        <v>0.05</v>
      </c>
      <c r="L110" s="1">
        <v>0</v>
      </c>
      <c r="M110" s="1">
        <v>0</v>
      </c>
      <c r="N110" s="1">
        <v>0.125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443</v>
      </c>
      <c r="V110" s="1">
        <v>242</v>
      </c>
      <c r="W110" s="1">
        <v>0</v>
      </c>
      <c r="X110" s="1">
        <v>325</v>
      </c>
      <c r="Y110" s="1">
        <v>0</v>
      </c>
      <c r="Z110" s="1">
        <v>60</v>
      </c>
      <c r="AA110" s="1">
        <v>573</v>
      </c>
      <c r="AB110" s="1">
        <v>0.4</v>
      </c>
      <c r="AC110" s="1">
        <v>0</v>
      </c>
    </row>
    <row r="111" spans="1:29" x14ac:dyDescent="0.3">
      <c r="A111" s="1">
        <v>0</v>
      </c>
      <c r="B111" s="1">
        <v>0</v>
      </c>
      <c r="C111" s="1">
        <v>2.5000000000000001E-2</v>
      </c>
      <c r="D111" s="1">
        <v>0</v>
      </c>
      <c r="E111" s="1">
        <v>0</v>
      </c>
      <c r="F111" s="1">
        <v>0</v>
      </c>
      <c r="G111" s="1">
        <v>0</v>
      </c>
      <c r="H111" s="1">
        <v>0.1</v>
      </c>
      <c r="I111" s="1">
        <v>52</v>
      </c>
      <c r="J111" s="1">
        <v>0</v>
      </c>
      <c r="K111" s="1">
        <v>0.05</v>
      </c>
      <c r="L111" s="1">
        <v>0</v>
      </c>
      <c r="M111" s="1">
        <v>0</v>
      </c>
      <c r="N111" s="1">
        <v>0.125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443</v>
      </c>
      <c r="V111" s="1">
        <v>243</v>
      </c>
      <c r="W111" s="1">
        <v>0</v>
      </c>
      <c r="X111" s="1">
        <v>325</v>
      </c>
      <c r="Y111" s="1">
        <v>0</v>
      </c>
      <c r="Z111" s="1">
        <v>60</v>
      </c>
      <c r="AA111" s="1">
        <v>673</v>
      </c>
      <c r="AB111" s="1">
        <v>0.35</v>
      </c>
      <c r="AC111" s="1">
        <v>0</v>
      </c>
    </row>
    <row r="112" spans="1:29" x14ac:dyDescent="0.3">
      <c r="A112" s="1">
        <v>0</v>
      </c>
      <c r="B112" s="1">
        <v>0</v>
      </c>
      <c r="C112" s="1">
        <v>0</v>
      </c>
      <c r="D112" s="1">
        <v>2.5000000000000001E-2</v>
      </c>
      <c r="E112" s="1">
        <v>0</v>
      </c>
      <c r="F112" s="1">
        <v>0</v>
      </c>
      <c r="G112" s="1">
        <v>0</v>
      </c>
      <c r="H112" s="1">
        <v>0.1</v>
      </c>
      <c r="I112" s="1">
        <v>52</v>
      </c>
      <c r="J112" s="1">
        <v>0</v>
      </c>
      <c r="K112" s="1">
        <v>0.05</v>
      </c>
      <c r="L112" s="1">
        <v>0</v>
      </c>
      <c r="M112" s="1">
        <v>0</v>
      </c>
      <c r="N112" s="1">
        <v>0.125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443</v>
      </c>
      <c r="V112" s="1">
        <v>243</v>
      </c>
      <c r="W112" s="1">
        <v>0</v>
      </c>
      <c r="X112" s="1">
        <v>325</v>
      </c>
      <c r="Y112" s="1">
        <v>0</v>
      </c>
      <c r="Z112" s="1">
        <v>60</v>
      </c>
      <c r="AA112" s="1">
        <v>373</v>
      </c>
      <c r="AB112" s="1">
        <v>0.5</v>
      </c>
      <c r="AC112" s="1">
        <v>0</v>
      </c>
    </row>
    <row r="113" spans="1:29" x14ac:dyDescent="0.3">
      <c r="A113" s="1">
        <v>0</v>
      </c>
      <c r="B113" s="1">
        <v>0</v>
      </c>
      <c r="C113" s="1">
        <v>0</v>
      </c>
      <c r="D113" s="1">
        <v>2.5000000000000001E-2</v>
      </c>
      <c r="E113" s="1">
        <v>0</v>
      </c>
      <c r="F113" s="1">
        <v>0</v>
      </c>
      <c r="G113" s="1">
        <v>0</v>
      </c>
      <c r="H113" s="1">
        <v>0.1</v>
      </c>
      <c r="I113" s="1">
        <v>52</v>
      </c>
      <c r="J113" s="1">
        <v>0</v>
      </c>
      <c r="K113" s="1">
        <v>0.05</v>
      </c>
      <c r="L113" s="1">
        <v>0</v>
      </c>
      <c r="M113" s="1">
        <v>0</v>
      </c>
      <c r="N113" s="1">
        <v>0.125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443</v>
      </c>
      <c r="V113" s="1">
        <v>243</v>
      </c>
      <c r="W113" s="1">
        <v>0</v>
      </c>
      <c r="X113" s="1">
        <v>325</v>
      </c>
      <c r="Y113" s="1">
        <v>0</v>
      </c>
      <c r="Z113" s="1">
        <v>60</v>
      </c>
      <c r="AA113" s="1">
        <v>473</v>
      </c>
      <c r="AB113" s="1">
        <v>0.22</v>
      </c>
      <c r="AC113" s="1">
        <v>0</v>
      </c>
    </row>
    <row r="114" spans="1:29" x14ac:dyDescent="0.3">
      <c r="A114" s="1">
        <v>0</v>
      </c>
      <c r="B114" s="1">
        <v>0</v>
      </c>
      <c r="C114" s="1">
        <v>0</v>
      </c>
      <c r="D114" s="1">
        <v>2.5000000000000001E-2</v>
      </c>
      <c r="E114" s="1">
        <v>0</v>
      </c>
      <c r="F114" s="1">
        <v>0</v>
      </c>
      <c r="G114" s="1">
        <v>0</v>
      </c>
      <c r="H114" s="1">
        <v>0.1</v>
      </c>
      <c r="I114" s="1">
        <v>52</v>
      </c>
      <c r="J114" s="1">
        <v>0</v>
      </c>
      <c r="K114" s="1">
        <v>0.05</v>
      </c>
      <c r="L114" s="1">
        <v>0</v>
      </c>
      <c r="M114" s="1">
        <v>0</v>
      </c>
      <c r="N114" s="1">
        <v>0.125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443</v>
      </c>
      <c r="V114" s="1">
        <v>243</v>
      </c>
      <c r="W114" s="1">
        <v>0</v>
      </c>
      <c r="X114" s="1">
        <v>325</v>
      </c>
      <c r="Y114" s="1">
        <v>0</v>
      </c>
      <c r="Z114" s="1">
        <v>60</v>
      </c>
      <c r="AA114" s="1">
        <v>573</v>
      </c>
      <c r="AB114" s="1">
        <v>0.17</v>
      </c>
      <c r="AC114" s="1">
        <v>0</v>
      </c>
    </row>
    <row r="115" spans="1:29" x14ac:dyDescent="0.3">
      <c r="A115" s="1">
        <v>0</v>
      </c>
      <c r="B115" s="1">
        <v>0</v>
      </c>
      <c r="C115" s="1">
        <v>0</v>
      </c>
      <c r="D115" s="1">
        <v>2.5000000000000001E-2</v>
      </c>
      <c r="E115" s="1">
        <v>0</v>
      </c>
      <c r="F115" s="1">
        <v>0</v>
      </c>
      <c r="G115" s="1">
        <v>0</v>
      </c>
      <c r="H115" s="1">
        <v>0.1</v>
      </c>
      <c r="I115" s="1">
        <v>52</v>
      </c>
      <c r="J115" s="1">
        <v>0</v>
      </c>
      <c r="K115" s="1">
        <v>0.05</v>
      </c>
      <c r="L115" s="1">
        <v>0</v>
      </c>
      <c r="M115" s="1">
        <v>0</v>
      </c>
      <c r="N115" s="1">
        <v>0.125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443</v>
      </c>
      <c r="V115" s="1">
        <v>243</v>
      </c>
      <c r="W115" s="1">
        <v>0</v>
      </c>
      <c r="X115" s="1">
        <v>325</v>
      </c>
      <c r="Y115" s="1">
        <v>0</v>
      </c>
      <c r="Z115" s="1">
        <v>60</v>
      </c>
      <c r="AA115" s="1">
        <v>673</v>
      </c>
      <c r="AB115" s="1">
        <v>0.15</v>
      </c>
      <c r="AC115" s="1">
        <v>0</v>
      </c>
    </row>
    <row r="116" spans="1:29" x14ac:dyDescent="0.3">
      <c r="A116" s="1">
        <v>0</v>
      </c>
      <c r="B116" s="1">
        <v>0.1</v>
      </c>
      <c r="C116" s="1">
        <v>0</v>
      </c>
      <c r="D116" s="1">
        <v>0</v>
      </c>
      <c r="E116" s="1">
        <v>0</v>
      </c>
      <c r="F116" s="1">
        <v>1.5625E-2</v>
      </c>
      <c r="G116" s="1">
        <v>0</v>
      </c>
      <c r="H116" s="1">
        <v>0.92400000000000004</v>
      </c>
      <c r="I116" s="1">
        <v>18</v>
      </c>
      <c r="J116" s="1">
        <v>0</v>
      </c>
      <c r="K116" s="1">
        <v>0</v>
      </c>
      <c r="L116" s="1">
        <v>0</v>
      </c>
      <c r="M116" s="1">
        <v>0</v>
      </c>
      <c r="N116" s="1">
        <v>0.46200000000000002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373</v>
      </c>
      <c r="V116" s="1">
        <v>5</v>
      </c>
      <c r="W116" s="1">
        <v>0</v>
      </c>
      <c r="X116" s="1">
        <v>0</v>
      </c>
      <c r="Y116" s="1">
        <v>0</v>
      </c>
      <c r="Z116" s="1">
        <v>0</v>
      </c>
      <c r="AA116" s="1">
        <v>423</v>
      </c>
      <c r="AB116" s="1">
        <v>0</v>
      </c>
      <c r="AC116" s="1">
        <v>0</v>
      </c>
    </row>
    <row r="117" spans="1:29" x14ac:dyDescent="0.3">
      <c r="A117" s="1">
        <v>0</v>
      </c>
      <c r="B117" s="1">
        <v>0.1</v>
      </c>
      <c r="C117" s="1">
        <v>0</v>
      </c>
      <c r="D117" s="1">
        <v>0</v>
      </c>
      <c r="E117" s="1">
        <v>0</v>
      </c>
      <c r="F117" s="1">
        <v>1.5625E-2</v>
      </c>
      <c r="G117" s="1">
        <v>0</v>
      </c>
      <c r="H117" s="1">
        <v>0.92400000000000004</v>
      </c>
      <c r="I117" s="1">
        <v>18</v>
      </c>
      <c r="J117" s="1">
        <v>0</v>
      </c>
      <c r="K117" s="1">
        <v>0</v>
      </c>
      <c r="L117" s="1">
        <v>0</v>
      </c>
      <c r="M117" s="1">
        <v>0</v>
      </c>
      <c r="N117" s="1">
        <v>0.46200000000000002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373</v>
      </c>
      <c r="V117" s="1">
        <v>5</v>
      </c>
      <c r="W117" s="1">
        <v>0</v>
      </c>
      <c r="X117" s="1">
        <v>0</v>
      </c>
      <c r="Y117" s="1">
        <v>0</v>
      </c>
      <c r="Z117" s="1">
        <v>0</v>
      </c>
      <c r="AA117" s="1">
        <v>473</v>
      </c>
      <c r="AB117" s="1">
        <v>0.96078431372549011</v>
      </c>
      <c r="AC117" s="1">
        <v>0</v>
      </c>
    </row>
    <row r="118" spans="1:29" x14ac:dyDescent="0.3">
      <c r="A118" s="1">
        <v>0</v>
      </c>
      <c r="B118" s="1">
        <v>0.1</v>
      </c>
      <c r="C118" s="1">
        <v>0</v>
      </c>
      <c r="D118" s="1">
        <v>0</v>
      </c>
      <c r="E118" s="1">
        <v>0</v>
      </c>
      <c r="F118" s="1">
        <v>1.5625E-2</v>
      </c>
      <c r="G118" s="1">
        <v>0</v>
      </c>
      <c r="H118" s="1">
        <v>0.92400000000000004</v>
      </c>
      <c r="I118" s="1">
        <v>18</v>
      </c>
      <c r="J118" s="1">
        <v>0</v>
      </c>
      <c r="K118" s="1">
        <v>0</v>
      </c>
      <c r="L118" s="1">
        <v>0</v>
      </c>
      <c r="M118" s="1">
        <v>0</v>
      </c>
      <c r="N118" s="1">
        <v>0.46200000000000002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373</v>
      </c>
      <c r="V118" s="1">
        <v>5</v>
      </c>
      <c r="W118" s="1">
        <v>0</v>
      </c>
      <c r="X118" s="1">
        <v>0</v>
      </c>
      <c r="Y118" s="1">
        <v>0</v>
      </c>
      <c r="Z118" s="1">
        <v>0</v>
      </c>
      <c r="AA118" s="1">
        <v>523</v>
      </c>
      <c r="AB118" s="1">
        <v>1.9411764705882353</v>
      </c>
      <c r="AC118" s="1">
        <v>1</v>
      </c>
    </row>
    <row r="119" spans="1:29" x14ac:dyDescent="0.3">
      <c r="A119" s="1">
        <v>0</v>
      </c>
      <c r="B119" s="1">
        <v>0.1</v>
      </c>
      <c r="C119" s="1">
        <v>0</v>
      </c>
      <c r="D119" s="1">
        <v>0</v>
      </c>
      <c r="E119" s="1">
        <v>0</v>
      </c>
      <c r="F119" s="1">
        <v>1.5625E-2</v>
      </c>
      <c r="G119" s="1">
        <v>0</v>
      </c>
      <c r="H119" s="1">
        <v>0.92400000000000004</v>
      </c>
      <c r="I119" s="1">
        <v>18</v>
      </c>
      <c r="J119" s="1">
        <v>0</v>
      </c>
      <c r="K119" s="1">
        <v>0</v>
      </c>
      <c r="L119" s="1">
        <v>0</v>
      </c>
      <c r="M119" s="1">
        <v>0</v>
      </c>
      <c r="N119" s="1">
        <v>0.46200000000000002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373</v>
      </c>
      <c r="V119" s="1">
        <v>5</v>
      </c>
      <c r="W119" s="1">
        <v>0</v>
      </c>
      <c r="X119" s="1">
        <v>0</v>
      </c>
      <c r="Y119" s="1">
        <v>0</v>
      </c>
      <c r="Z119" s="1">
        <v>0</v>
      </c>
      <c r="AA119" s="1">
        <v>573</v>
      </c>
      <c r="AB119" s="1">
        <v>13.285714285714285</v>
      </c>
      <c r="AC119" s="1">
        <v>1</v>
      </c>
    </row>
    <row r="120" spans="1:29" x14ac:dyDescent="0.3">
      <c r="A120" s="1">
        <v>0</v>
      </c>
      <c r="B120" s="1">
        <v>0.1</v>
      </c>
      <c r="C120" s="1">
        <v>0</v>
      </c>
      <c r="D120" s="1">
        <v>0</v>
      </c>
      <c r="E120" s="1">
        <v>0</v>
      </c>
      <c r="F120" s="1">
        <v>3.125E-2</v>
      </c>
      <c r="G120" s="1">
        <v>0</v>
      </c>
      <c r="H120" s="1">
        <v>0.92400000000000004</v>
      </c>
      <c r="I120" s="1">
        <v>18</v>
      </c>
      <c r="J120" s="1">
        <v>0</v>
      </c>
      <c r="K120" s="1">
        <v>0</v>
      </c>
      <c r="L120" s="1">
        <v>0</v>
      </c>
      <c r="M120" s="1">
        <v>0</v>
      </c>
      <c r="N120" s="1">
        <v>0.46200000000000002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373</v>
      </c>
      <c r="V120" s="1">
        <v>5</v>
      </c>
      <c r="W120" s="1">
        <v>0</v>
      </c>
      <c r="X120" s="1">
        <v>0</v>
      </c>
      <c r="Y120" s="1">
        <v>0</v>
      </c>
      <c r="Z120" s="1">
        <v>0</v>
      </c>
      <c r="AA120" s="1">
        <v>423</v>
      </c>
      <c r="AB120" s="1">
        <v>0</v>
      </c>
      <c r="AC120" s="1">
        <v>0</v>
      </c>
    </row>
    <row r="121" spans="1:29" x14ac:dyDescent="0.3">
      <c r="A121" s="1">
        <v>0</v>
      </c>
      <c r="B121" s="1">
        <v>0.1</v>
      </c>
      <c r="C121" s="1">
        <v>0</v>
      </c>
      <c r="D121" s="1">
        <v>0</v>
      </c>
      <c r="E121" s="1">
        <v>0</v>
      </c>
      <c r="F121" s="1">
        <v>3.125E-2</v>
      </c>
      <c r="G121" s="1">
        <v>0</v>
      </c>
      <c r="H121" s="1">
        <v>0.92400000000000004</v>
      </c>
      <c r="I121" s="1">
        <v>18</v>
      </c>
      <c r="J121" s="1">
        <v>0</v>
      </c>
      <c r="K121" s="1">
        <v>0</v>
      </c>
      <c r="L121" s="1">
        <v>0</v>
      </c>
      <c r="M121" s="1">
        <v>0</v>
      </c>
      <c r="N121" s="1">
        <v>0.46200000000000002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373</v>
      </c>
      <c r="V121" s="1">
        <v>5</v>
      </c>
      <c r="W121" s="1">
        <v>0</v>
      </c>
      <c r="X121" s="1">
        <v>0</v>
      </c>
      <c r="Y121" s="1">
        <v>0</v>
      </c>
      <c r="Z121" s="1">
        <v>0</v>
      </c>
      <c r="AA121" s="1">
        <v>473</v>
      </c>
      <c r="AB121" s="1">
        <v>0.81818181818181812</v>
      </c>
      <c r="AC121" s="1">
        <v>0</v>
      </c>
    </row>
    <row r="122" spans="1:29" x14ac:dyDescent="0.3">
      <c r="A122" s="1">
        <v>0</v>
      </c>
      <c r="B122" s="1">
        <v>0.1</v>
      </c>
      <c r="C122" s="1">
        <v>0</v>
      </c>
      <c r="D122" s="1">
        <v>0</v>
      </c>
      <c r="E122" s="1">
        <v>0</v>
      </c>
      <c r="F122" s="1">
        <v>3.125E-2</v>
      </c>
      <c r="G122" s="1">
        <v>0</v>
      </c>
      <c r="H122" s="1">
        <v>0.92400000000000004</v>
      </c>
      <c r="I122" s="1">
        <v>18</v>
      </c>
      <c r="J122" s="1">
        <v>0</v>
      </c>
      <c r="K122" s="1">
        <v>0</v>
      </c>
      <c r="L122" s="1">
        <v>0</v>
      </c>
      <c r="M122" s="1">
        <v>0</v>
      </c>
      <c r="N122" s="1">
        <v>0.46200000000000002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373</v>
      </c>
      <c r="V122" s="1">
        <v>5</v>
      </c>
      <c r="W122" s="1">
        <v>0</v>
      </c>
      <c r="X122" s="1">
        <v>0</v>
      </c>
      <c r="Y122" s="1">
        <v>0</v>
      </c>
      <c r="Z122" s="1">
        <v>0</v>
      </c>
      <c r="AA122" s="1">
        <v>523</v>
      </c>
      <c r="AB122" s="1">
        <v>4</v>
      </c>
      <c r="AC122" s="1">
        <v>1</v>
      </c>
    </row>
    <row r="123" spans="1:29" x14ac:dyDescent="0.3">
      <c r="A123" s="1">
        <v>0</v>
      </c>
      <c r="B123" s="1">
        <v>0.1</v>
      </c>
      <c r="C123" s="1">
        <v>0</v>
      </c>
      <c r="D123" s="1">
        <v>0</v>
      </c>
      <c r="E123" s="1">
        <v>0</v>
      </c>
      <c r="F123" s="1">
        <v>3.125E-2</v>
      </c>
      <c r="G123" s="1">
        <v>0</v>
      </c>
      <c r="H123" s="1">
        <v>0.92400000000000004</v>
      </c>
      <c r="I123" s="1">
        <v>18</v>
      </c>
      <c r="J123" s="1">
        <v>0</v>
      </c>
      <c r="K123" s="1">
        <v>0</v>
      </c>
      <c r="L123" s="1">
        <v>0</v>
      </c>
      <c r="M123" s="1">
        <v>0</v>
      </c>
      <c r="N123" s="1">
        <v>0.46200000000000002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373</v>
      </c>
      <c r="V123" s="1">
        <v>5</v>
      </c>
      <c r="W123" s="1">
        <v>0</v>
      </c>
      <c r="X123" s="1">
        <v>0</v>
      </c>
      <c r="Y123" s="1">
        <v>0</v>
      </c>
      <c r="Z123" s="1">
        <v>0</v>
      </c>
      <c r="AA123" s="1">
        <v>573</v>
      </c>
      <c r="AB123" s="1">
        <v>32.333333333333336</v>
      </c>
      <c r="AC123" s="1">
        <v>1</v>
      </c>
    </row>
    <row r="124" spans="1:29" x14ac:dyDescent="0.3">
      <c r="A124" s="1">
        <v>0</v>
      </c>
      <c r="B124" s="1">
        <v>0.1</v>
      </c>
      <c r="C124" s="1">
        <v>0</v>
      </c>
      <c r="D124" s="1">
        <v>0</v>
      </c>
      <c r="E124" s="1">
        <v>0</v>
      </c>
      <c r="F124" s="1">
        <v>0</v>
      </c>
      <c r="G124" s="1">
        <v>1.5625E-2</v>
      </c>
      <c r="H124" s="1">
        <v>0.92400000000000004</v>
      </c>
      <c r="I124" s="1">
        <v>18</v>
      </c>
      <c r="J124" s="1">
        <v>0</v>
      </c>
      <c r="K124" s="1">
        <v>0</v>
      </c>
      <c r="L124" s="1">
        <v>0</v>
      </c>
      <c r="M124" s="1">
        <v>0</v>
      </c>
      <c r="N124" s="1">
        <v>0.46200000000000002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373</v>
      </c>
      <c r="V124" s="1">
        <v>5</v>
      </c>
      <c r="W124" s="1">
        <v>0</v>
      </c>
      <c r="X124" s="1">
        <v>0</v>
      </c>
      <c r="Y124" s="1">
        <v>0</v>
      </c>
      <c r="Z124" s="1">
        <v>0</v>
      </c>
      <c r="AA124" s="1">
        <v>423</v>
      </c>
      <c r="AB124" s="1">
        <v>0</v>
      </c>
      <c r="AC124" s="1">
        <v>0</v>
      </c>
    </row>
    <row r="125" spans="1:29" x14ac:dyDescent="0.3">
      <c r="A125" s="1">
        <v>0</v>
      </c>
      <c r="B125" s="1">
        <v>0.1</v>
      </c>
      <c r="C125" s="1">
        <v>0</v>
      </c>
      <c r="D125" s="1">
        <v>0</v>
      </c>
      <c r="E125" s="1">
        <v>0</v>
      </c>
      <c r="F125" s="1">
        <v>0</v>
      </c>
      <c r="G125" s="1">
        <v>1.5625E-2</v>
      </c>
      <c r="H125" s="1">
        <v>0.92400000000000004</v>
      </c>
      <c r="I125" s="1">
        <v>18</v>
      </c>
      <c r="J125" s="1">
        <v>0</v>
      </c>
      <c r="K125" s="1">
        <v>0</v>
      </c>
      <c r="L125" s="1">
        <v>0</v>
      </c>
      <c r="M125" s="1">
        <v>0</v>
      </c>
      <c r="N125" s="1">
        <v>0.46200000000000002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373</v>
      </c>
      <c r="V125" s="1">
        <v>5</v>
      </c>
      <c r="W125" s="1">
        <v>0</v>
      </c>
      <c r="X125" s="1">
        <v>0</v>
      </c>
      <c r="Y125" s="1">
        <v>0</v>
      </c>
      <c r="Z125" s="1">
        <v>0</v>
      </c>
      <c r="AA125" s="1">
        <v>473</v>
      </c>
      <c r="AB125" s="1">
        <v>1.7777777777777779</v>
      </c>
      <c r="AC125" s="1">
        <v>1</v>
      </c>
    </row>
    <row r="126" spans="1:29" x14ac:dyDescent="0.3">
      <c r="A126" s="1">
        <v>0</v>
      </c>
      <c r="B126" s="1">
        <v>0.1</v>
      </c>
      <c r="C126" s="1">
        <v>0</v>
      </c>
      <c r="D126" s="1">
        <v>0</v>
      </c>
      <c r="E126" s="1">
        <v>0</v>
      </c>
      <c r="F126" s="1">
        <v>0</v>
      </c>
      <c r="G126" s="1">
        <v>1.5625E-2</v>
      </c>
      <c r="H126" s="1">
        <v>0.92400000000000004</v>
      </c>
      <c r="I126" s="1">
        <v>18</v>
      </c>
      <c r="J126" s="1">
        <v>0</v>
      </c>
      <c r="K126" s="1">
        <v>0</v>
      </c>
      <c r="L126" s="1">
        <v>0</v>
      </c>
      <c r="M126" s="1">
        <v>0</v>
      </c>
      <c r="N126" s="1">
        <v>0.46200000000000002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373</v>
      </c>
      <c r="V126" s="1">
        <v>5</v>
      </c>
      <c r="W126" s="1">
        <v>0</v>
      </c>
      <c r="X126" s="1">
        <v>0</v>
      </c>
      <c r="Y126" s="1">
        <v>0</v>
      </c>
      <c r="Z126" s="1">
        <v>0</v>
      </c>
      <c r="AA126" s="1">
        <v>523</v>
      </c>
      <c r="AB126" s="1">
        <v>4</v>
      </c>
      <c r="AC126" s="1">
        <v>1</v>
      </c>
    </row>
    <row r="127" spans="1:29" x14ac:dyDescent="0.3">
      <c r="A127" s="1">
        <v>0</v>
      </c>
      <c r="B127" s="1">
        <v>0.1</v>
      </c>
      <c r="C127" s="1">
        <v>0</v>
      </c>
      <c r="D127" s="1">
        <v>0</v>
      </c>
      <c r="E127" s="1">
        <v>0</v>
      </c>
      <c r="F127" s="1">
        <v>0</v>
      </c>
      <c r="G127" s="1">
        <v>1.5625E-2</v>
      </c>
      <c r="H127" s="1">
        <v>0.92400000000000004</v>
      </c>
      <c r="I127" s="1">
        <v>18</v>
      </c>
      <c r="J127" s="1">
        <v>0</v>
      </c>
      <c r="K127" s="1">
        <v>0</v>
      </c>
      <c r="L127" s="1">
        <v>0</v>
      </c>
      <c r="M127" s="1">
        <v>0</v>
      </c>
      <c r="N127" s="1">
        <v>0.46200000000000002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373</v>
      </c>
      <c r="V127" s="1">
        <v>5</v>
      </c>
      <c r="W127" s="1">
        <v>0</v>
      </c>
      <c r="X127" s="1">
        <v>0</v>
      </c>
      <c r="Y127" s="1">
        <v>0</v>
      </c>
      <c r="Z127" s="1">
        <v>0</v>
      </c>
      <c r="AA127" s="1">
        <v>573</v>
      </c>
      <c r="AB127" s="1">
        <v>49</v>
      </c>
      <c r="AC127" s="1">
        <v>1</v>
      </c>
    </row>
    <row r="128" spans="1:29" x14ac:dyDescent="0.3">
      <c r="A128" s="1">
        <v>0</v>
      </c>
      <c r="B128" s="1">
        <v>0.1</v>
      </c>
      <c r="C128" s="1">
        <v>0</v>
      </c>
      <c r="D128" s="1">
        <v>0</v>
      </c>
      <c r="E128" s="1">
        <v>0</v>
      </c>
      <c r="F128" s="1">
        <v>0</v>
      </c>
      <c r="G128" s="1">
        <v>3.125E-2</v>
      </c>
      <c r="H128" s="1">
        <v>0.92400000000000004</v>
      </c>
      <c r="I128" s="1">
        <v>18</v>
      </c>
      <c r="J128" s="1">
        <v>0</v>
      </c>
      <c r="K128" s="1">
        <v>0</v>
      </c>
      <c r="L128" s="1">
        <v>0</v>
      </c>
      <c r="M128" s="1">
        <v>0</v>
      </c>
      <c r="N128" s="1">
        <v>0.46200000000000002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373</v>
      </c>
      <c r="V128" s="1">
        <v>5</v>
      </c>
      <c r="W128" s="1">
        <v>0</v>
      </c>
      <c r="X128" s="1">
        <v>0</v>
      </c>
      <c r="Y128" s="1">
        <v>0</v>
      </c>
      <c r="Z128" s="1">
        <v>0</v>
      </c>
      <c r="AA128" s="1">
        <v>423</v>
      </c>
      <c r="AB128" s="1">
        <v>0</v>
      </c>
      <c r="AC128" s="1">
        <v>0</v>
      </c>
    </row>
    <row r="129" spans="1:29" x14ac:dyDescent="0.3">
      <c r="A129" s="1">
        <v>0</v>
      </c>
      <c r="B129" s="1">
        <v>0.1</v>
      </c>
      <c r="C129" s="1">
        <v>0</v>
      </c>
      <c r="D129" s="1">
        <v>0</v>
      </c>
      <c r="E129" s="1">
        <v>0</v>
      </c>
      <c r="F129" s="1">
        <v>0</v>
      </c>
      <c r="G129" s="1">
        <v>3.125E-2</v>
      </c>
      <c r="H129" s="1">
        <v>0.92400000000000004</v>
      </c>
      <c r="I129" s="1">
        <v>18</v>
      </c>
      <c r="J129" s="1">
        <v>0</v>
      </c>
      <c r="K129" s="1">
        <v>0</v>
      </c>
      <c r="L129" s="1">
        <v>0</v>
      </c>
      <c r="M129" s="1">
        <v>0</v>
      </c>
      <c r="N129" s="1">
        <v>0.46200000000000002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373</v>
      </c>
      <c r="V129" s="1">
        <v>5</v>
      </c>
      <c r="W129" s="1">
        <v>0</v>
      </c>
      <c r="X129" s="1">
        <v>0</v>
      </c>
      <c r="Y129" s="1">
        <v>0</v>
      </c>
      <c r="Z129" s="1">
        <v>0</v>
      </c>
      <c r="AA129" s="1">
        <v>473</v>
      </c>
      <c r="AB129" s="1">
        <v>1.0833333333333335</v>
      </c>
      <c r="AC129" s="1">
        <v>1</v>
      </c>
    </row>
    <row r="130" spans="1:29" x14ac:dyDescent="0.3">
      <c r="A130" s="1">
        <v>0</v>
      </c>
      <c r="B130" s="1">
        <v>0.1</v>
      </c>
      <c r="C130" s="1">
        <v>0</v>
      </c>
      <c r="D130" s="1">
        <v>0</v>
      </c>
      <c r="E130" s="1">
        <v>0</v>
      </c>
      <c r="F130" s="1">
        <v>0</v>
      </c>
      <c r="G130" s="1">
        <v>3.125E-2</v>
      </c>
      <c r="H130" s="1">
        <v>0.92400000000000004</v>
      </c>
      <c r="I130" s="1">
        <v>18</v>
      </c>
      <c r="J130" s="1">
        <v>0</v>
      </c>
      <c r="K130" s="1">
        <v>0</v>
      </c>
      <c r="L130" s="1">
        <v>0</v>
      </c>
      <c r="M130" s="1">
        <v>0</v>
      </c>
      <c r="N130" s="1">
        <v>0.46200000000000002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373</v>
      </c>
      <c r="V130" s="1">
        <v>5</v>
      </c>
      <c r="W130" s="1">
        <v>0</v>
      </c>
      <c r="X130" s="1">
        <v>0</v>
      </c>
      <c r="Y130" s="1">
        <v>0</v>
      </c>
      <c r="Z130" s="1">
        <v>0</v>
      </c>
      <c r="AA130" s="1">
        <v>523</v>
      </c>
      <c r="AB130" s="1">
        <v>8.0909090909090917</v>
      </c>
      <c r="AC130" s="1">
        <v>1</v>
      </c>
    </row>
    <row r="131" spans="1:29" x14ac:dyDescent="0.3">
      <c r="A131" s="1">
        <v>0</v>
      </c>
      <c r="B131" s="1">
        <v>0.1</v>
      </c>
      <c r="C131" s="1">
        <v>0</v>
      </c>
      <c r="D131" s="1">
        <v>0</v>
      </c>
      <c r="E131" s="1">
        <v>0</v>
      </c>
      <c r="F131" s="1">
        <v>0</v>
      </c>
      <c r="G131" s="1">
        <v>3.125E-2</v>
      </c>
      <c r="H131" s="1">
        <v>0.92400000000000004</v>
      </c>
      <c r="I131" s="1">
        <v>18</v>
      </c>
      <c r="J131" s="1">
        <v>0</v>
      </c>
      <c r="K131" s="1">
        <v>0</v>
      </c>
      <c r="L131" s="1">
        <v>0</v>
      </c>
      <c r="M131" s="1">
        <v>0</v>
      </c>
      <c r="N131" s="1">
        <v>0.46200000000000002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373</v>
      </c>
      <c r="V131" s="1">
        <v>5</v>
      </c>
      <c r="W131" s="1">
        <v>0</v>
      </c>
      <c r="X131" s="1">
        <v>0</v>
      </c>
      <c r="Y131" s="1">
        <v>0</v>
      </c>
      <c r="Z131" s="1">
        <v>0</v>
      </c>
      <c r="AA131" s="1">
        <v>573</v>
      </c>
      <c r="AB131" s="1">
        <v>49</v>
      </c>
      <c r="AC131" s="1">
        <v>1</v>
      </c>
    </row>
    <row r="132" spans="1:29" x14ac:dyDescent="0.3">
      <c r="A132" s="1">
        <v>0</v>
      </c>
      <c r="B132" s="1">
        <v>1.7000000000000001E-2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0.1</v>
      </c>
      <c r="I132" s="1">
        <v>20</v>
      </c>
      <c r="J132" s="1">
        <v>0</v>
      </c>
      <c r="K132" s="1">
        <v>0.8</v>
      </c>
      <c r="L132" s="1">
        <v>0</v>
      </c>
      <c r="M132" s="1">
        <v>0</v>
      </c>
      <c r="N132" s="1">
        <v>0.05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416</v>
      </c>
      <c r="V132" s="1">
        <v>72</v>
      </c>
      <c r="W132" s="1">
        <v>0</v>
      </c>
      <c r="X132" s="1">
        <v>100</v>
      </c>
      <c r="Y132" s="1">
        <v>0</v>
      </c>
      <c r="Z132" s="1">
        <v>60</v>
      </c>
      <c r="AA132" s="1">
        <v>473</v>
      </c>
      <c r="AB132" s="1">
        <v>1.5833333333333335</v>
      </c>
      <c r="AC132" s="1">
        <v>1</v>
      </c>
    </row>
    <row r="133" spans="1:29" x14ac:dyDescent="0.3">
      <c r="A133" s="1">
        <v>0</v>
      </c>
      <c r="B133" s="1">
        <v>1.7000000000000001E-2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0.1</v>
      </c>
      <c r="I133" s="1">
        <v>20</v>
      </c>
      <c r="J133" s="1">
        <v>0</v>
      </c>
      <c r="K133" s="1">
        <v>0.8</v>
      </c>
      <c r="L133" s="1">
        <v>0</v>
      </c>
      <c r="M133" s="1">
        <v>3.4000000000000002E-2</v>
      </c>
      <c r="N133" s="1">
        <v>0.05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416</v>
      </c>
      <c r="V133" s="1">
        <v>72</v>
      </c>
      <c r="W133" s="1">
        <v>0</v>
      </c>
      <c r="X133" s="1">
        <v>100</v>
      </c>
      <c r="Y133" s="1">
        <v>0</v>
      </c>
      <c r="Z133" s="1">
        <v>60</v>
      </c>
      <c r="AA133" s="1">
        <v>473</v>
      </c>
      <c r="AB133" s="1">
        <v>1.6</v>
      </c>
      <c r="AC133" s="1">
        <v>1</v>
      </c>
    </row>
    <row r="134" spans="1:29" x14ac:dyDescent="0.3">
      <c r="A134" s="1">
        <v>0</v>
      </c>
      <c r="B134" s="1">
        <v>1.7000000000000001E-2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0.1</v>
      </c>
      <c r="I134" s="1">
        <v>20</v>
      </c>
      <c r="J134" s="1">
        <v>0</v>
      </c>
      <c r="K134" s="1">
        <v>0.8</v>
      </c>
      <c r="L134" s="1">
        <v>0</v>
      </c>
      <c r="M134" s="1">
        <v>0.13600000000000001</v>
      </c>
      <c r="N134" s="1">
        <v>0.05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416</v>
      </c>
      <c r="V134" s="1">
        <v>72</v>
      </c>
      <c r="W134" s="1">
        <v>0</v>
      </c>
      <c r="X134" s="1">
        <v>100</v>
      </c>
      <c r="Y134" s="1">
        <v>0</v>
      </c>
      <c r="Z134" s="1">
        <v>60</v>
      </c>
      <c r="AA134" s="1">
        <v>473</v>
      </c>
      <c r="AB134" s="1">
        <v>1.6818181818181819</v>
      </c>
      <c r="AC134" s="1">
        <v>1</v>
      </c>
    </row>
    <row r="135" spans="1:29" x14ac:dyDescent="0.3">
      <c r="A135" s="1">
        <v>0</v>
      </c>
      <c r="B135" s="1">
        <v>1.7000000000000001E-2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0.1</v>
      </c>
      <c r="I135" s="1">
        <v>20</v>
      </c>
      <c r="J135" s="1">
        <v>0</v>
      </c>
      <c r="K135" s="1">
        <v>0.8</v>
      </c>
      <c r="L135" s="1">
        <v>0</v>
      </c>
      <c r="M135" s="1">
        <v>0.54400000000000004</v>
      </c>
      <c r="N135" s="1">
        <v>0.05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416</v>
      </c>
      <c r="V135" s="1">
        <v>72</v>
      </c>
      <c r="W135" s="1">
        <v>0</v>
      </c>
      <c r="X135" s="1">
        <v>100</v>
      </c>
      <c r="Y135" s="1">
        <v>0</v>
      </c>
      <c r="Z135" s="1">
        <v>60</v>
      </c>
      <c r="AA135" s="1">
        <v>473</v>
      </c>
      <c r="AB135" s="1">
        <v>1.6956521739130435</v>
      </c>
      <c r="AC135" s="1">
        <v>1</v>
      </c>
    </row>
    <row r="136" spans="1:29" x14ac:dyDescent="0.3">
      <c r="A136" s="1">
        <v>0</v>
      </c>
      <c r="B136" s="1">
        <v>8.4656084656084662E-3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0.3</v>
      </c>
      <c r="I136" s="1">
        <v>125.62777777777777</v>
      </c>
      <c r="J136" s="1">
        <v>0</v>
      </c>
      <c r="K136" s="1">
        <v>0.52910052910052918</v>
      </c>
      <c r="L136" s="1">
        <v>0</v>
      </c>
      <c r="M136" s="1">
        <v>0</v>
      </c>
      <c r="N136" s="1">
        <v>0.15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433</v>
      </c>
      <c r="V136" s="1">
        <v>168</v>
      </c>
      <c r="W136" s="1">
        <v>0</v>
      </c>
      <c r="X136" s="1">
        <v>147</v>
      </c>
      <c r="Y136" s="1">
        <v>0</v>
      </c>
      <c r="Z136" s="1">
        <v>0</v>
      </c>
      <c r="AA136" s="1">
        <v>423</v>
      </c>
      <c r="AB136" s="1">
        <v>81</v>
      </c>
      <c r="AC136" s="1">
        <v>1</v>
      </c>
    </row>
    <row r="137" spans="1:29" x14ac:dyDescent="0.3">
      <c r="A137" s="1">
        <v>0</v>
      </c>
      <c r="B137" s="1">
        <v>0</v>
      </c>
      <c r="C137" s="1">
        <v>0</v>
      </c>
      <c r="D137" s="1">
        <v>1.2552301255230124E-2</v>
      </c>
      <c r="E137" s="1">
        <v>0</v>
      </c>
      <c r="F137" s="1">
        <v>0</v>
      </c>
      <c r="G137" s="1">
        <v>0</v>
      </c>
      <c r="H137" s="1">
        <v>0.3</v>
      </c>
      <c r="I137" s="1">
        <v>51.087866108786606</v>
      </c>
      <c r="J137" s="1">
        <v>0</v>
      </c>
      <c r="K137" s="1">
        <v>0.41841004184100417</v>
      </c>
      <c r="L137" s="1">
        <v>0</v>
      </c>
      <c r="M137" s="1">
        <v>0</v>
      </c>
      <c r="N137" s="1">
        <v>0.15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433</v>
      </c>
      <c r="V137" s="1">
        <v>120</v>
      </c>
      <c r="W137" s="1">
        <v>0</v>
      </c>
      <c r="X137" s="1">
        <v>147</v>
      </c>
      <c r="Y137" s="1">
        <v>0</v>
      </c>
      <c r="Z137" s="1">
        <v>0</v>
      </c>
      <c r="AA137" s="1">
        <v>423</v>
      </c>
      <c r="AB137" s="1">
        <v>1.9</v>
      </c>
      <c r="AC137" s="1">
        <v>1</v>
      </c>
    </row>
    <row r="138" spans="1:29" x14ac:dyDescent="0.3">
      <c r="A138" s="1">
        <v>0</v>
      </c>
      <c r="B138" s="1">
        <v>0</v>
      </c>
      <c r="C138" s="1">
        <v>0</v>
      </c>
      <c r="D138" s="1">
        <v>1.00418410041841E-2</v>
      </c>
      <c r="E138" s="1">
        <v>0</v>
      </c>
      <c r="F138" s="1">
        <v>0</v>
      </c>
      <c r="G138" s="1">
        <v>0</v>
      </c>
      <c r="H138" s="1">
        <v>0.3</v>
      </c>
      <c r="I138" s="1">
        <v>51.087866108786606</v>
      </c>
      <c r="J138" s="1">
        <v>0</v>
      </c>
      <c r="K138" s="1">
        <v>0.41841004184100417</v>
      </c>
      <c r="L138" s="1">
        <v>0</v>
      </c>
      <c r="M138" s="1">
        <v>0</v>
      </c>
      <c r="N138" s="1">
        <v>0.15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433</v>
      </c>
      <c r="V138" s="1">
        <v>120</v>
      </c>
      <c r="W138" s="1">
        <v>0</v>
      </c>
      <c r="X138" s="1">
        <v>147</v>
      </c>
      <c r="Y138" s="1">
        <v>0</v>
      </c>
      <c r="Z138" s="1">
        <v>0</v>
      </c>
      <c r="AA138" s="1">
        <v>423</v>
      </c>
      <c r="AB138" s="1">
        <v>3.2</v>
      </c>
      <c r="AC138" s="1">
        <v>1</v>
      </c>
    </row>
    <row r="139" spans="1:29" x14ac:dyDescent="0.3">
      <c r="A139" s="1">
        <v>0</v>
      </c>
      <c r="B139" s="1">
        <v>0</v>
      </c>
      <c r="C139" s="1">
        <v>0</v>
      </c>
      <c r="D139" s="1">
        <v>7.1129707112970713E-3</v>
      </c>
      <c r="E139" s="1">
        <v>0</v>
      </c>
      <c r="F139" s="1">
        <v>0</v>
      </c>
      <c r="G139" s="1">
        <v>0</v>
      </c>
      <c r="H139" s="1">
        <v>0.3</v>
      </c>
      <c r="I139" s="1">
        <v>51.087866108786606</v>
      </c>
      <c r="J139" s="1">
        <v>0</v>
      </c>
      <c r="K139" s="1">
        <v>0.41841004184100417</v>
      </c>
      <c r="L139" s="1">
        <v>0</v>
      </c>
      <c r="M139" s="1">
        <v>0</v>
      </c>
      <c r="N139" s="1">
        <v>0.15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433</v>
      </c>
      <c r="V139" s="1">
        <v>120</v>
      </c>
      <c r="W139" s="1">
        <v>0</v>
      </c>
      <c r="X139" s="1">
        <v>147</v>
      </c>
      <c r="Y139" s="1">
        <v>0</v>
      </c>
      <c r="Z139" s="1">
        <v>0</v>
      </c>
      <c r="AA139" s="1">
        <v>423</v>
      </c>
      <c r="AB139" s="1">
        <v>5.7</v>
      </c>
      <c r="AC139" s="1">
        <v>1</v>
      </c>
    </row>
    <row r="140" spans="1:29" x14ac:dyDescent="0.3">
      <c r="A140" s="1">
        <v>0</v>
      </c>
      <c r="B140" s="1">
        <v>5.8577405857740588E-3</v>
      </c>
      <c r="C140" s="1">
        <v>0</v>
      </c>
      <c r="D140" s="1">
        <v>5.8577405857740588E-3</v>
      </c>
      <c r="E140" s="1">
        <v>0</v>
      </c>
      <c r="F140" s="1">
        <v>0</v>
      </c>
      <c r="G140" s="1">
        <v>0</v>
      </c>
      <c r="H140" s="1">
        <v>0.3</v>
      </c>
      <c r="I140" s="1">
        <v>51.087866108786606</v>
      </c>
      <c r="J140" s="1">
        <v>0</v>
      </c>
      <c r="K140" s="1">
        <v>0.41841004184100417</v>
      </c>
      <c r="L140" s="1">
        <v>0</v>
      </c>
      <c r="M140" s="1">
        <v>0</v>
      </c>
      <c r="N140" s="1">
        <v>0.15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433</v>
      </c>
      <c r="V140" s="1">
        <v>120</v>
      </c>
      <c r="W140" s="1">
        <v>0</v>
      </c>
      <c r="X140" s="1">
        <v>147</v>
      </c>
      <c r="Y140" s="1">
        <v>0</v>
      </c>
      <c r="Z140" s="1">
        <v>0</v>
      </c>
      <c r="AA140" s="1">
        <v>423</v>
      </c>
      <c r="AB140" s="1">
        <v>2.9</v>
      </c>
      <c r="AC140" s="1">
        <v>1</v>
      </c>
    </row>
    <row r="141" spans="1:29" x14ac:dyDescent="0.3">
      <c r="A141" s="1">
        <v>0</v>
      </c>
      <c r="B141" s="1">
        <v>4.1841004184100415E-3</v>
      </c>
      <c r="C141" s="1">
        <v>0</v>
      </c>
      <c r="D141" s="1">
        <v>4.1841004184100415E-3</v>
      </c>
      <c r="E141" s="1">
        <v>0</v>
      </c>
      <c r="F141" s="1">
        <v>0</v>
      </c>
      <c r="G141" s="1">
        <v>0</v>
      </c>
      <c r="H141" s="1">
        <v>0.3</v>
      </c>
      <c r="I141" s="1">
        <v>51.087866108786606</v>
      </c>
      <c r="J141" s="1">
        <v>0</v>
      </c>
      <c r="K141" s="1">
        <v>0.41841004184100417</v>
      </c>
      <c r="L141" s="1">
        <v>0</v>
      </c>
      <c r="M141" s="1">
        <v>0</v>
      </c>
      <c r="N141" s="1">
        <v>0.15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433</v>
      </c>
      <c r="V141" s="1">
        <v>120</v>
      </c>
      <c r="W141" s="1">
        <v>0</v>
      </c>
      <c r="X141" s="1">
        <v>147</v>
      </c>
      <c r="Y141" s="1">
        <v>0</v>
      </c>
      <c r="Z141" s="1">
        <v>0</v>
      </c>
      <c r="AA141" s="1">
        <v>423</v>
      </c>
      <c r="AB141" s="1">
        <v>5</v>
      </c>
      <c r="AC141" s="1">
        <v>1</v>
      </c>
    </row>
    <row r="142" spans="1:29" x14ac:dyDescent="0.3">
      <c r="A142" s="1">
        <v>0</v>
      </c>
      <c r="B142" s="1">
        <v>2.7777777777777776E-2</v>
      </c>
      <c r="C142" s="1">
        <v>0</v>
      </c>
      <c r="D142" s="1">
        <v>6.5789473684210523E-3</v>
      </c>
      <c r="E142" s="1">
        <v>0</v>
      </c>
      <c r="F142" s="1">
        <v>0</v>
      </c>
      <c r="G142" s="1">
        <v>0</v>
      </c>
      <c r="H142" s="1">
        <v>0.30000000000000004</v>
      </c>
      <c r="I142" s="1">
        <v>45</v>
      </c>
      <c r="J142" s="1">
        <v>0</v>
      </c>
      <c r="K142" s="1">
        <v>0.1</v>
      </c>
      <c r="L142" s="1">
        <v>0</v>
      </c>
      <c r="M142" s="1">
        <v>0</v>
      </c>
      <c r="N142" s="1">
        <v>0.11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448</v>
      </c>
      <c r="V142" s="1">
        <v>120</v>
      </c>
      <c r="W142" s="1">
        <v>0</v>
      </c>
      <c r="X142" s="1">
        <v>233</v>
      </c>
      <c r="Y142" s="1">
        <v>0</v>
      </c>
      <c r="Z142" s="1">
        <v>0</v>
      </c>
      <c r="AA142" s="1">
        <v>523</v>
      </c>
      <c r="AB142" s="1">
        <v>4.416666666666667</v>
      </c>
      <c r="AC142" s="1">
        <v>1</v>
      </c>
    </row>
    <row r="143" spans="1:29" x14ac:dyDescent="0.3">
      <c r="A143" s="1">
        <v>0</v>
      </c>
      <c r="B143" s="1">
        <v>2.7777777777777776E-2</v>
      </c>
      <c r="C143" s="1">
        <v>0</v>
      </c>
      <c r="D143" s="1">
        <v>6.5789473684210523E-3</v>
      </c>
      <c r="E143" s="1">
        <v>0</v>
      </c>
      <c r="F143" s="1">
        <v>0</v>
      </c>
      <c r="G143" s="1">
        <v>0</v>
      </c>
      <c r="H143" s="1">
        <v>0.6</v>
      </c>
      <c r="I143" s="1">
        <v>7.5</v>
      </c>
      <c r="J143" s="1">
        <v>0.5</v>
      </c>
      <c r="K143" s="1">
        <v>0.6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423</v>
      </c>
      <c r="V143" s="1">
        <v>240</v>
      </c>
      <c r="W143" s="1">
        <v>0</v>
      </c>
      <c r="X143" s="1">
        <v>160</v>
      </c>
      <c r="Y143" s="1">
        <v>0</v>
      </c>
      <c r="Z143" s="1">
        <v>0</v>
      </c>
      <c r="AA143" s="1">
        <v>523</v>
      </c>
      <c r="AB143" s="1">
        <v>0.88888888888888884</v>
      </c>
      <c r="AC143" s="1">
        <v>0</v>
      </c>
    </row>
    <row r="144" spans="1:29" x14ac:dyDescent="0.3">
      <c r="A144" s="1">
        <v>0</v>
      </c>
      <c r="B144" s="1">
        <v>1.0999999999999999E-2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0.52200000000000002</v>
      </c>
      <c r="I144" s="1">
        <v>15</v>
      </c>
      <c r="J144" s="1">
        <v>0.5</v>
      </c>
      <c r="K144" s="1">
        <v>0.52200000000000002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423</v>
      </c>
      <c r="V144" s="1">
        <v>216</v>
      </c>
      <c r="W144" s="1">
        <v>1</v>
      </c>
      <c r="X144" s="1">
        <v>210</v>
      </c>
      <c r="Y144" s="1">
        <v>0</v>
      </c>
      <c r="Z144" s="1">
        <v>60</v>
      </c>
      <c r="AA144" s="1">
        <v>523</v>
      </c>
      <c r="AB144" s="1">
        <v>7.14</v>
      </c>
      <c r="AC144" s="1">
        <v>1</v>
      </c>
    </row>
    <row r="145" spans="1:29" x14ac:dyDescent="0.3">
      <c r="A145" s="1">
        <v>0</v>
      </c>
      <c r="B145" s="1">
        <v>1.0999999999999999E-2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0.52200000000000002</v>
      </c>
      <c r="I145" s="1">
        <v>15</v>
      </c>
      <c r="J145" s="1">
        <v>0.5</v>
      </c>
      <c r="K145" s="1">
        <v>0.52200000000000002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423</v>
      </c>
      <c r="V145" s="1">
        <v>216</v>
      </c>
      <c r="W145" s="1">
        <v>1</v>
      </c>
      <c r="X145" s="1">
        <v>210</v>
      </c>
      <c r="Y145" s="1">
        <v>0</v>
      </c>
      <c r="Z145" s="1">
        <v>60</v>
      </c>
      <c r="AA145" s="1">
        <v>673</v>
      </c>
      <c r="AB145" s="1">
        <v>3.9333333333333331</v>
      </c>
      <c r="AC145" s="1">
        <v>1</v>
      </c>
    </row>
    <row r="146" spans="1:29" x14ac:dyDescent="0.3">
      <c r="A146" s="1">
        <v>0</v>
      </c>
      <c r="B146" s="1">
        <v>2.1000000000000001E-2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0.54200000000000004</v>
      </c>
      <c r="I146" s="1">
        <v>15</v>
      </c>
      <c r="J146" s="1">
        <v>0.5</v>
      </c>
      <c r="K146" s="1">
        <v>0.54200000000000004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423</v>
      </c>
      <c r="V146" s="1">
        <v>216</v>
      </c>
      <c r="W146" s="1">
        <v>1</v>
      </c>
      <c r="X146" s="1">
        <v>210</v>
      </c>
      <c r="Y146" s="1">
        <v>0</v>
      </c>
      <c r="Z146" s="1">
        <v>60</v>
      </c>
      <c r="AA146" s="1">
        <v>523</v>
      </c>
      <c r="AB146" s="1">
        <v>7.611940298507462</v>
      </c>
      <c r="AC146" s="1">
        <v>1</v>
      </c>
    </row>
    <row r="147" spans="1:29" x14ac:dyDescent="0.3">
      <c r="A147" s="1">
        <v>0</v>
      </c>
      <c r="B147" s="1">
        <v>2.1000000000000001E-2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0.54200000000000004</v>
      </c>
      <c r="I147" s="1">
        <v>15</v>
      </c>
      <c r="J147" s="1">
        <v>0.5</v>
      </c>
      <c r="K147" s="1">
        <v>0.54200000000000004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423</v>
      </c>
      <c r="V147" s="1">
        <v>216</v>
      </c>
      <c r="W147" s="1">
        <v>1</v>
      </c>
      <c r="X147" s="1">
        <v>210</v>
      </c>
      <c r="Y147" s="1">
        <v>0</v>
      </c>
      <c r="Z147" s="1">
        <v>60</v>
      </c>
      <c r="AA147" s="1">
        <v>673</v>
      </c>
      <c r="AB147" s="1">
        <v>2.4158415841584158</v>
      </c>
      <c r="AC147" s="1">
        <v>1</v>
      </c>
    </row>
    <row r="148" spans="1:29" x14ac:dyDescent="0.3">
      <c r="A148" s="1">
        <v>0</v>
      </c>
      <c r="B148" s="1">
        <v>0</v>
      </c>
      <c r="C148" s="1">
        <v>1.6666666666666666E-2</v>
      </c>
      <c r="D148" s="1">
        <v>0</v>
      </c>
      <c r="E148" s="1">
        <v>0</v>
      </c>
      <c r="F148" s="1">
        <v>0</v>
      </c>
      <c r="G148" s="1">
        <v>0</v>
      </c>
      <c r="H148" s="1">
        <v>0.43333333333333335</v>
      </c>
      <c r="I148" s="1">
        <v>45.892857142857146</v>
      </c>
      <c r="J148" s="1">
        <v>0</v>
      </c>
      <c r="K148" s="1">
        <v>0.4</v>
      </c>
      <c r="L148" s="1">
        <v>0</v>
      </c>
      <c r="M148" s="1">
        <v>0</v>
      </c>
      <c r="N148" s="1">
        <v>1.6666666666666666E-2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403</v>
      </c>
      <c r="V148" s="1">
        <v>240</v>
      </c>
      <c r="W148" s="1">
        <v>0</v>
      </c>
      <c r="X148" s="1">
        <v>160</v>
      </c>
      <c r="Y148" s="1">
        <v>0</v>
      </c>
      <c r="Z148" s="1">
        <v>0</v>
      </c>
      <c r="AA148" s="1">
        <v>473</v>
      </c>
      <c r="AB148" s="1">
        <v>0.74285714285714288</v>
      </c>
      <c r="AC148" s="1">
        <v>0</v>
      </c>
    </row>
    <row r="149" spans="1:29" x14ac:dyDescent="0.3">
      <c r="A149" s="1">
        <v>0</v>
      </c>
      <c r="B149" s="1">
        <v>0</v>
      </c>
      <c r="C149" s="1">
        <v>1.6666666666666666E-2</v>
      </c>
      <c r="D149" s="1">
        <v>0</v>
      </c>
      <c r="E149" s="1">
        <v>0</v>
      </c>
      <c r="F149" s="1">
        <v>0</v>
      </c>
      <c r="G149" s="1">
        <v>0</v>
      </c>
      <c r="H149" s="1">
        <v>0.43333333333333335</v>
      </c>
      <c r="I149" s="1">
        <v>45.892857142857146</v>
      </c>
      <c r="J149" s="1">
        <v>0</v>
      </c>
      <c r="K149" s="1">
        <v>0.4</v>
      </c>
      <c r="L149" s="1">
        <v>0</v>
      </c>
      <c r="M149" s="1">
        <v>0</v>
      </c>
      <c r="N149" s="1">
        <v>1.6666666666666666E-2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403</v>
      </c>
      <c r="V149" s="1">
        <v>240</v>
      </c>
      <c r="W149" s="1">
        <v>0</v>
      </c>
      <c r="X149" s="1">
        <v>160</v>
      </c>
      <c r="Y149" s="1">
        <v>0</v>
      </c>
      <c r="Z149" s="1">
        <v>0</v>
      </c>
      <c r="AA149" s="1">
        <v>573</v>
      </c>
      <c r="AB149" s="1">
        <v>0.54838709677419362</v>
      </c>
      <c r="AC149" s="1">
        <v>0</v>
      </c>
    </row>
    <row r="150" spans="1:29" x14ac:dyDescent="0.3">
      <c r="A150" s="1">
        <v>0</v>
      </c>
      <c r="B150" s="1">
        <v>0</v>
      </c>
      <c r="C150" s="1">
        <v>1.6666666666666666E-2</v>
      </c>
      <c r="D150" s="1">
        <v>0</v>
      </c>
      <c r="E150" s="1">
        <v>0</v>
      </c>
      <c r="F150" s="1">
        <v>0</v>
      </c>
      <c r="G150" s="1">
        <v>0</v>
      </c>
      <c r="H150" s="1">
        <v>0.43333333333333335</v>
      </c>
      <c r="I150" s="1">
        <v>45.892857142857146</v>
      </c>
      <c r="J150" s="1">
        <v>0</v>
      </c>
      <c r="K150" s="1">
        <v>0.4</v>
      </c>
      <c r="L150" s="1">
        <v>0</v>
      </c>
      <c r="M150" s="1">
        <v>0</v>
      </c>
      <c r="N150" s="1">
        <v>1.6666666666666666E-2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403</v>
      </c>
      <c r="V150" s="1">
        <v>240</v>
      </c>
      <c r="W150" s="1">
        <v>0</v>
      </c>
      <c r="X150" s="1">
        <v>160</v>
      </c>
      <c r="Y150" s="1">
        <v>0</v>
      </c>
      <c r="Z150" s="1">
        <v>0</v>
      </c>
      <c r="AA150" s="1">
        <v>673</v>
      </c>
      <c r="AB150" s="1">
        <v>0.19230769230769232</v>
      </c>
      <c r="AC150" s="1">
        <v>0</v>
      </c>
    </row>
    <row r="151" spans="1:29" x14ac:dyDescent="0.3">
      <c r="A151" s="1">
        <v>0</v>
      </c>
      <c r="B151" s="1">
        <v>0</v>
      </c>
      <c r="C151" s="1">
        <v>1.6666666666666666E-2</v>
      </c>
      <c r="D151" s="1">
        <v>0</v>
      </c>
      <c r="E151" s="1">
        <v>0</v>
      </c>
      <c r="F151" s="1">
        <v>0</v>
      </c>
      <c r="G151" s="1">
        <v>0</v>
      </c>
      <c r="H151" s="1">
        <v>0.43333333333333335</v>
      </c>
      <c r="I151" s="1">
        <v>45.892857142857146</v>
      </c>
      <c r="J151" s="1">
        <v>0</v>
      </c>
      <c r="K151" s="1">
        <v>0.4</v>
      </c>
      <c r="L151" s="1">
        <v>0</v>
      </c>
      <c r="M151" s="1">
        <v>0</v>
      </c>
      <c r="N151" s="1">
        <v>1.6666666666666666E-2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403</v>
      </c>
      <c r="V151" s="1">
        <v>240</v>
      </c>
      <c r="W151" s="1">
        <v>0</v>
      </c>
      <c r="X151" s="1">
        <v>160</v>
      </c>
      <c r="Y151" s="1">
        <v>0</v>
      </c>
      <c r="Z151" s="1">
        <v>0</v>
      </c>
      <c r="AA151" s="1">
        <v>773</v>
      </c>
      <c r="AB151" s="1">
        <v>0</v>
      </c>
      <c r="AC151" s="1">
        <v>0</v>
      </c>
    </row>
    <row r="152" spans="1:29" x14ac:dyDescent="0.3">
      <c r="A152" s="1">
        <v>0</v>
      </c>
      <c r="B152" s="1">
        <v>1.1111111111111112E-2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6.6666666666666666E-2</v>
      </c>
      <c r="I152" s="1">
        <v>39.866666666666667</v>
      </c>
      <c r="J152" s="1">
        <v>0</v>
      </c>
      <c r="K152" s="1">
        <v>0.30333333333333334</v>
      </c>
      <c r="L152" s="1">
        <v>0</v>
      </c>
      <c r="M152" s="1">
        <v>0</v>
      </c>
      <c r="N152" s="1">
        <v>0</v>
      </c>
      <c r="O152" s="1">
        <v>3.3333333333333333E-2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433</v>
      </c>
      <c r="V152" s="1">
        <v>72</v>
      </c>
      <c r="W152" s="1">
        <v>0</v>
      </c>
      <c r="X152" s="1">
        <v>202</v>
      </c>
      <c r="Y152" s="1">
        <v>0</v>
      </c>
      <c r="Z152" s="1">
        <v>37</v>
      </c>
      <c r="AA152" s="1">
        <v>473</v>
      </c>
      <c r="AB152" s="1">
        <v>8</v>
      </c>
      <c r="AC152" s="1">
        <v>1</v>
      </c>
    </row>
    <row r="153" spans="1:29" x14ac:dyDescent="0.3">
      <c r="A153" s="1">
        <v>0</v>
      </c>
      <c r="B153" s="1">
        <v>1.2500000000000001E-2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0.13166666666666668</v>
      </c>
      <c r="I153" s="1">
        <v>20</v>
      </c>
      <c r="J153" s="1">
        <v>0</v>
      </c>
      <c r="K153" s="1">
        <v>0.02</v>
      </c>
      <c r="L153" s="1">
        <v>0</v>
      </c>
      <c r="M153" s="1">
        <v>0</v>
      </c>
      <c r="N153" s="1">
        <v>6.5833333333333341E-2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453</v>
      </c>
      <c r="V153" s="1">
        <v>24</v>
      </c>
      <c r="W153" s="1">
        <v>0</v>
      </c>
      <c r="X153" s="1">
        <v>258</v>
      </c>
      <c r="Y153" s="1">
        <v>0</v>
      </c>
      <c r="Z153" s="1">
        <v>0</v>
      </c>
      <c r="AA153" s="1">
        <v>423</v>
      </c>
      <c r="AB153" s="1">
        <v>6.4375</v>
      </c>
      <c r="AC153" s="1">
        <v>1</v>
      </c>
    </row>
    <row r="154" spans="1:29" x14ac:dyDescent="0.3">
      <c r="A154" s="1">
        <v>0</v>
      </c>
      <c r="B154" s="1">
        <v>1.2500000000000001E-2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0.13166666666666668</v>
      </c>
      <c r="I154" s="1">
        <v>20</v>
      </c>
      <c r="J154" s="1">
        <v>0</v>
      </c>
      <c r="K154" s="1">
        <v>0.02</v>
      </c>
      <c r="L154" s="1">
        <v>0</v>
      </c>
      <c r="M154" s="1">
        <v>0</v>
      </c>
      <c r="N154" s="1">
        <v>6.5833333333333341E-2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453</v>
      </c>
      <c r="V154" s="1">
        <v>24</v>
      </c>
      <c r="W154" s="1">
        <v>0</v>
      </c>
      <c r="X154" s="1">
        <v>258</v>
      </c>
      <c r="Y154" s="1">
        <v>0</v>
      </c>
      <c r="Z154" s="1">
        <v>0</v>
      </c>
      <c r="AA154" s="1">
        <v>573</v>
      </c>
      <c r="AB154" s="1">
        <v>10.368421052631579</v>
      </c>
      <c r="AC154" s="1">
        <v>1</v>
      </c>
    </row>
    <row r="155" spans="1:29" x14ac:dyDescent="0.3">
      <c r="A155" s="1">
        <v>0</v>
      </c>
      <c r="B155" s="1">
        <v>1.2500000000000001E-2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0.13166666666666668</v>
      </c>
      <c r="I155" s="1">
        <v>20</v>
      </c>
      <c r="J155" s="1">
        <v>0</v>
      </c>
      <c r="K155" s="1">
        <v>0.02</v>
      </c>
      <c r="L155" s="1">
        <v>0</v>
      </c>
      <c r="M155" s="1">
        <v>0</v>
      </c>
      <c r="N155" s="1">
        <v>6.5833333333333341E-2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453</v>
      </c>
      <c r="V155" s="1">
        <v>24</v>
      </c>
      <c r="W155" s="1">
        <v>0</v>
      </c>
      <c r="X155" s="1">
        <v>258</v>
      </c>
      <c r="Y155" s="1">
        <v>0</v>
      </c>
      <c r="Z155" s="1">
        <v>0</v>
      </c>
      <c r="AA155" s="1">
        <v>723</v>
      </c>
      <c r="AB155" s="1">
        <v>10.1875</v>
      </c>
      <c r="AC155" s="1">
        <v>1</v>
      </c>
    </row>
    <row r="156" spans="1:29" x14ac:dyDescent="0.3">
      <c r="A156" s="1">
        <v>0</v>
      </c>
      <c r="B156" s="1">
        <v>2.6009227220299882E-3</v>
      </c>
      <c r="C156" s="1">
        <v>0</v>
      </c>
      <c r="D156" s="1">
        <v>5.8823529411764705E-3</v>
      </c>
      <c r="E156" s="1">
        <v>0</v>
      </c>
      <c r="F156" s="1">
        <v>0</v>
      </c>
      <c r="G156" s="1">
        <v>0</v>
      </c>
      <c r="H156" s="1">
        <v>9.631499051233397E-2</v>
      </c>
      <c r="I156" s="1">
        <v>4.9372549019607845</v>
      </c>
      <c r="J156" s="1">
        <v>0</v>
      </c>
      <c r="K156" s="1">
        <v>3.5000000000000003E-2</v>
      </c>
      <c r="L156" s="1">
        <v>0</v>
      </c>
      <c r="M156" s="1">
        <v>0</v>
      </c>
      <c r="N156" s="1">
        <v>4.8157495256166985E-2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453</v>
      </c>
      <c r="V156" s="1">
        <v>17</v>
      </c>
      <c r="W156" s="1">
        <v>0</v>
      </c>
      <c r="X156" s="1">
        <v>258</v>
      </c>
      <c r="Y156" s="1">
        <v>0</v>
      </c>
      <c r="Z156" s="1">
        <v>40</v>
      </c>
      <c r="AA156" s="1">
        <v>423</v>
      </c>
      <c r="AB156" s="1">
        <v>0.5</v>
      </c>
      <c r="AC156" s="1">
        <v>0</v>
      </c>
    </row>
    <row r="157" spans="1:29" x14ac:dyDescent="0.3">
      <c r="A157" s="1">
        <v>0</v>
      </c>
      <c r="B157" s="1">
        <v>3.7831603229527095E-3</v>
      </c>
      <c r="C157" s="1">
        <v>0</v>
      </c>
      <c r="D157" s="1">
        <v>3.0252100840336134E-3</v>
      </c>
      <c r="E157" s="1">
        <v>0</v>
      </c>
      <c r="F157" s="1">
        <v>0</v>
      </c>
      <c r="G157" s="1">
        <v>0</v>
      </c>
      <c r="H157" s="1">
        <v>0.10191271347248576</v>
      </c>
      <c r="I157" s="1">
        <v>4.9201120448179267</v>
      </c>
      <c r="J157" s="1">
        <v>0</v>
      </c>
      <c r="K157" s="1">
        <v>3.5000000000000003E-2</v>
      </c>
      <c r="L157" s="1">
        <v>0</v>
      </c>
      <c r="M157" s="1">
        <v>0</v>
      </c>
      <c r="N157" s="1">
        <v>5.095635673624288E-2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453</v>
      </c>
      <c r="V157" s="1">
        <v>17</v>
      </c>
      <c r="W157" s="1">
        <v>0</v>
      </c>
      <c r="X157" s="1">
        <v>258</v>
      </c>
      <c r="Y157" s="1">
        <v>0</v>
      </c>
      <c r="Z157" s="1">
        <v>40</v>
      </c>
      <c r="AA157" s="1">
        <v>423</v>
      </c>
      <c r="AB157" s="1">
        <v>0.70370370370370372</v>
      </c>
      <c r="AC157" s="1">
        <v>0</v>
      </c>
    </row>
    <row r="158" spans="1:29" x14ac:dyDescent="0.3">
      <c r="A158" s="1">
        <v>0</v>
      </c>
      <c r="B158" s="1">
        <v>4.2560553633217979E-3</v>
      </c>
      <c r="C158" s="1">
        <v>0</v>
      </c>
      <c r="D158" s="1">
        <v>2.0168067226890756E-3</v>
      </c>
      <c r="E158" s="1">
        <v>0</v>
      </c>
      <c r="F158" s="1">
        <v>0</v>
      </c>
      <c r="G158" s="1">
        <v>0</v>
      </c>
      <c r="H158" s="1">
        <v>0.1041518026565464</v>
      </c>
      <c r="I158" s="1">
        <v>4.9140616246498601</v>
      </c>
      <c r="J158" s="1">
        <v>0</v>
      </c>
      <c r="K158" s="1">
        <v>3.5000000000000003E-2</v>
      </c>
      <c r="L158" s="1">
        <v>0</v>
      </c>
      <c r="M158" s="1">
        <v>0</v>
      </c>
      <c r="N158" s="1">
        <v>5.2075901328273201E-2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453</v>
      </c>
      <c r="V158" s="1">
        <v>17</v>
      </c>
      <c r="W158" s="1">
        <v>0</v>
      </c>
      <c r="X158" s="1">
        <v>258</v>
      </c>
      <c r="Y158" s="1">
        <v>0</v>
      </c>
      <c r="Z158" s="1">
        <v>40</v>
      </c>
      <c r="AA158" s="1">
        <v>423</v>
      </c>
      <c r="AB158" s="1">
        <v>0.75</v>
      </c>
      <c r="AC158" s="1">
        <v>0</v>
      </c>
    </row>
    <row r="159" spans="1:29" x14ac:dyDescent="0.3">
      <c r="A159" s="1">
        <v>0</v>
      </c>
      <c r="B159" s="1">
        <v>2.6009227220299882E-3</v>
      </c>
      <c r="C159" s="1">
        <v>0</v>
      </c>
      <c r="D159" s="1">
        <v>5.8823529411764705E-3</v>
      </c>
      <c r="E159" s="1">
        <v>0</v>
      </c>
      <c r="F159" s="1">
        <v>0</v>
      </c>
      <c r="G159" s="1">
        <v>0</v>
      </c>
      <c r="H159" s="1">
        <v>9.631499051233397E-2</v>
      </c>
      <c r="I159" s="1">
        <v>4.9372549019607845</v>
      </c>
      <c r="J159" s="1">
        <v>0</v>
      </c>
      <c r="K159" s="1">
        <v>3.5000000000000003E-2</v>
      </c>
      <c r="L159" s="1">
        <v>0</v>
      </c>
      <c r="M159" s="1">
        <v>0</v>
      </c>
      <c r="N159" s="1">
        <v>4.8157495256166985E-2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453</v>
      </c>
      <c r="V159" s="1">
        <v>17</v>
      </c>
      <c r="W159" s="1">
        <v>0</v>
      </c>
      <c r="X159" s="1">
        <v>258</v>
      </c>
      <c r="Y159" s="1">
        <v>0</v>
      </c>
      <c r="Z159" s="1">
        <v>40</v>
      </c>
      <c r="AA159" s="1">
        <v>623</v>
      </c>
      <c r="AB159" s="1">
        <v>1.1153846153846154</v>
      </c>
      <c r="AC159" s="1">
        <v>1</v>
      </c>
    </row>
    <row r="160" spans="1:29" x14ac:dyDescent="0.3">
      <c r="A160" s="1">
        <v>0</v>
      </c>
      <c r="B160" s="1">
        <v>3.7831603229527095E-3</v>
      </c>
      <c r="C160" s="1">
        <v>0</v>
      </c>
      <c r="D160" s="1">
        <v>3.0252100840336134E-3</v>
      </c>
      <c r="E160" s="1">
        <v>0</v>
      </c>
      <c r="F160" s="1">
        <v>0</v>
      </c>
      <c r="G160" s="1">
        <v>0</v>
      </c>
      <c r="H160" s="1">
        <v>0.10191271347248576</v>
      </c>
      <c r="I160" s="1">
        <v>4.9201120448179267</v>
      </c>
      <c r="J160" s="1">
        <v>0</v>
      </c>
      <c r="K160" s="1">
        <v>3.5000000000000003E-2</v>
      </c>
      <c r="L160" s="1">
        <v>0</v>
      </c>
      <c r="M160" s="1">
        <v>0</v>
      </c>
      <c r="N160" s="1">
        <v>5.095635673624288E-2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453</v>
      </c>
      <c r="V160" s="1">
        <v>17</v>
      </c>
      <c r="W160" s="1">
        <v>0</v>
      </c>
      <c r="X160" s="1">
        <v>258</v>
      </c>
      <c r="Y160" s="1">
        <v>0</v>
      </c>
      <c r="Z160" s="1">
        <v>40</v>
      </c>
      <c r="AA160" s="1">
        <v>623</v>
      </c>
      <c r="AB160" s="1">
        <v>1.3043478260869565</v>
      </c>
      <c r="AC160" s="1">
        <v>1</v>
      </c>
    </row>
    <row r="161" spans="1:29" x14ac:dyDescent="0.3">
      <c r="A161" s="1">
        <v>0</v>
      </c>
      <c r="B161" s="1">
        <v>4.2560553633217979E-3</v>
      </c>
      <c r="C161" s="1">
        <v>0</v>
      </c>
      <c r="D161" s="1">
        <v>2.0168067226890799E-3</v>
      </c>
      <c r="E161" s="1">
        <v>0</v>
      </c>
      <c r="F161" s="1">
        <v>0</v>
      </c>
      <c r="G161" s="1">
        <v>0</v>
      </c>
      <c r="H161" s="1">
        <v>0.1041518026565464</v>
      </c>
      <c r="I161" s="1">
        <v>4.9140616246498601</v>
      </c>
      <c r="J161" s="1">
        <v>0</v>
      </c>
      <c r="K161" s="1">
        <v>3.5000000000000003E-2</v>
      </c>
      <c r="L161" s="1">
        <v>0</v>
      </c>
      <c r="M161" s="1">
        <v>0</v>
      </c>
      <c r="N161" s="1">
        <v>5.2075901328273201E-2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453</v>
      </c>
      <c r="V161" s="1">
        <v>17</v>
      </c>
      <c r="W161" s="1">
        <v>0</v>
      </c>
      <c r="X161" s="1">
        <v>258</v>
      </c>
      <c r="Y161" s="1">
        <v>0</v>
      </c>
      <c r="Z161" s="1">
        <v>40</v>
      </c>
      <c r="AA161" s="1">
        <v>623</v>
      </c>
      <c r="AB161" s="1">
        <v>1.5862068965517242</v>
      </c>
      <c r="AC161" s="1">
        <v>1</v>
      </c>
    </row>
    <row r="162" spans="1:29" x14ac:dyDescent="0.3">
      <c r="A162" s="1">
        <v>0</v>
      </c>
      <c r="B162" s="1">
        <v>0.01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0.24</v>
      </c>
      <c r="I162" s="1">
        <v>60</v>
      </c>
      <c r="J162" s="1">
        <v>0</v>
      </c>
      <c r="K162" s="1">
        <v>0.05</v>
      </c>
      <c r="L162" s="1">
        <v>0</v>
      </c>
      <c r="M162" s="1">
        <v>0</v>
      </c>
      <c r="N162" s="1">
        <v>0.12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463</v>
      </c>
      <c r="V162" s="1">
        <v>72</v>
      </c>
      <c r="W162" s="1">
        <v>0</v>
      </c>
      <c r="X162" s="1">
        <v>258</v>
      </c>
      <c r="Y162" s="1">
        <v>0</v>
      </c>
      <c r="Z162" s="1">
        <v>0</v>
      </c>
      <c r="AA162" s="1">
        <v>423</v>
      </c>
      <c r="AB162" s="1">
        <v>0.43902439024390244</v>
      </c>
      <c r="AC162" s="1">
        <v>0</v>
      </c>
    </row>
    <row r="163" spans="1:29" x14ac:dyDescent="0.3">
      <c r="A163" s="1">
        <v>0</v>
      </c>
      <c r="B163" s="1">
        <v>0.01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0.48</v>
      </c>
      <c r="I163" s="1">
        <v>60</v>
      </c>
      <c r="J163" s="1">
        <v>0</v>
      </c>
      <c r="K163" s="1">
        <v>0.2</v>
      </c>
      <c r="L163" s="1">
        <v>0</v>
      </c>
      <c r="M163" s="1">
        <v>0</v>
      </c>
      <c r="N163" s="1">
        <v>0.24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463</v>
      </c>
      <c r="V163" s="1">
        <v>72</v>
      </c>
      <c r="W163" s="1">
        <v>0</v>
      </c>
      <c r="X163" s="1">
        <v>258</v>
      </c>
      <c r="Y163" s="1">
        <v>0</v>
      </c>
      <c r="Z163" s="1">
        <v>0</v>
      </c>
      <c r="AA163" s="1">
        <v>423</v>
      </c>
      <c r="AB163" s="1">
        <v>0.32467532467532467</v>
      </c>
      <c r="AC163" s="1">
        <v>0</v>
      </c>
    </row>
    <row r="164" spans="1:29" x14ac:dyDescent="0.3">
      <c r="A164" s="1">
        <v>0</v>
      </c>
      <c r="B164" s="1">
        <v>0.01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0.72</v>
      </c>
      <c r="I164" s="1">
        <v>50</v>
      </c>
      <c r="J164" s="1">
        <v>0</v>
      </c>
      <c r="K164" s="1">
        <v>0.67</v>
      </c>
      <c r="L164" s="1">
        <v>0</v>
      </c>
      <c r="M164" s="1">
        <v>0</v>
      </c>
      <c r="N164" s="1">
        <v>0.36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443</v>
      </c>
      <c r="V164" s="1">
        <v>48</v>
      </c>
      <c r="W164" s="1">
        <v>0</v>
      </c>
      <c r="X164" s="1">
        <v>97</v>
      </c>
      <c r="Y164" s="1">
        <v>0</v>
      </c>
      <c r="Z164" s="1">
        <v>60</v>
      </c>
      <c r="AA164" s="1">
        <v>423</v>
      </c>
      <c r="AB164" s="1">
        <v>3.4666666666666668</v>
      </c>
      <c r="AC164" s="1">
        <v>1</v>
      </c>
    </row>
    <row r="165" spans="1:29" x14ac:dyDescent="0.3">
      <c r="A165" s="1">
        <v>0</v>
      </c>
      <c r="B165" s="1">
        <v>2.5000000000000001E-2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0.56666666666666665</v>
      </c>
      <c r="I165" s="1">
        <v>40</v>
      </c>
      <c r="J165" s="1">
        <v>0</v>
      </c>
      <c r="K165" s="1">
        <v>0.16666666666666666</v>
      </c>
      <c r="L165" s="1">
        <v>0</v>
      </c>
      <c r="M165" s="1">
        <v>0</v>
      </c>
      <c r="N165" s="1">
        <v>0.33333333333333331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448</v>
      </c>
      <c r="V165" s="1">
        <v>240</v>
      </c>
      <c r="W165" s="1">
        <v>0</v>
      </c>
      <c r="X165" s="1">
        <v>277</v>
      </c>
      <c r="Y165" s="1">
        <v>0</v>
      </c>
      <c r="Z165" s="1">
        <v>0</v>
      </c>
      <c r="AA165" s="1">
        <v>473</v>
      </c>
      <c r="AB165" s="1">
        <v>2.8431372549019609</v>
      </c>
      <c r="AC165" s="1">
        <v>1</v>
      </c>
    </row>
    <row r="166" spans="1:29" x14ac:dyDescent="0.3">
      <c r="A166" s="1">
        <v>0</v>
      </c>
      <c r="B166" s="1">
        <v>2.5000000000000001E-2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0.56666666666666665</v>
      </c>
      <c r="I166" s="1">
        <v>40</v>
      </c>
      <c r="J166" s="1">
        <v>0</v>
      </c>
      <c r="K166" s="1">
        <v>0.16666666666666666</v>
      </c>
      <c r="L166" s="1">
        <v>0</v>
      </c>
      <c r="M166" s="1">
        <v>0</v>
      </c>
      <c r="N166" s="1">
        <v>0.33333333333333331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448</v>
      </c>
      <c r="V166" s="1">
        <v>240</v>
      </c>
      <c r="W166" s="1">
        <v>0</v>
      </c>
      <c r="X166" s="1">
        <v>277</v>
      </c>
      <c r="Y166" s="1">
        <v>0</v>
      </c>
      <c r="Z166" s="1">
        <v>0</v>
      </c>
      <c r="AA166" s="1">
        <v>623</v>
      </c>
      <c r="AB166" s="1">
        <v>3.072289156626506</v>
      </c>
      <c r="AC166" s="1">
        <v>1</v>
      </c>
    </row>
    <row r="167" spans="1:29" x14ac:dyDescent="0.3">
      <c r="A167" s="1">
        <v>0</v>
      </c>
      <c r="B167" s="1">
        <v>1.1111111111111112E-2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0.14444444444444443</v>
      </c>
      <c r="I167" s="1">
        <v>11.833333333333334</v>
      </c>
      <c r="J167" s="1">
        <v>0</v>
      </c>
      <c r="K167" s="1">
        <v>0.1</v>
      </c>
      <c r="L167" s="1">
        <v>0</v>
      </c>
      <c r="M167" s="1">
        <v>0</v>
      </c>
      <c r="N167" s="1">
        <v>7.2222222222222215E-2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448</v>
      </c>
      <c r="V167" s="1">
        <v>18</v>
      </c>
      <c r="W167" s="1">
        <v>0</v>
      </c>
      <c r="X167" s="1">
        <v>300</v>
      </c>
      <c r="Y167" s="1">
        <v>0</v>
      </c>
      <c r="Z167" s="1">
        <v>60</v>
      </c>
      <c r="AA167" s="1">
        <v>473</v>
      </c>
      <c r="AB167" s="1">
        <v>1.1666666666666667</v>
      </c>
      <c r="AC167" s="1">
        <v>1</v>
      </c>
    </row>
    <row r="168" spans="1:29" x14ac:dyDescent="0.3">
      <c r="A168" s="1">
        <v>0</v>
      </c>
      <c r="B168" s="1">
        <v>1.1111111111111112E-2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0.14444444444444443</v>
      </c>
      <c r="I168" s="1">
        <v>11.833333333333334</v>
      </c>
      <c r="J168" s="1">
        <v>0</v>
      </c>
      <c r="K168" s="1">
        <v>0.1</v>
      </c>
      <c r="L168" s="1">
        <v>0</v>
      </c>
      <c r="M168" s="1">
        <v>0</v>
      </c>
      <c r="N168" s="1">
        <v>7.2222222222222215E-2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448</v>
      </c>
      <c r="V168" s="1">
        <v>18</v>
      </c>
      <c r="W168" s="1">
        <v>0</v>
      </c>
      <c r="X168" s="1">
        <v>300</v>
      </c>
      <c r="Y168" s="1">
        <v>0</v>
      </c>
      <c r="Z168" s="1">
        <v>60</v>
      </c>
      <c r="AA168" s="1">
        <v>623</v>
      </c>
      <c r="AB168" s="1">
        <v>1.0412371134020619</v>
      </c>
      <c r="AC168" s="1">
        <v>1</v>
      </c>
    </row>
    <row r="169" spans="1:29" x14ac:dyDescent="0.3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0.45</v>
      </c>
      <c r="I169" s="1">
        <v>35</v>
      </c>
      <c r="J169" s="1">
        <v>0</v>
      </c>
      <c r="K169" s="1">
        <v>0.45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0.04</v>
      </c>
      <c r="S169" s="1">
        <v>0</v>
      </c>
      <c r="T169" s="1">
        <v>0</v>
      </c>
      <c r="U169" s="1">
        <v>433</v>
      </c>
      <c r="V169" s="1">
        <v>120</v>
      </c>
      <c r="W169" s="1">
        <v>0</v>
      </c>
      <c r="X169" s="1">
        <v>300</v>
      </c>
      <c r="Y169" s="1">
        <v>0</v>
      </c>
      <c r="Z169" s="1">
        <v>0</v>
      </c>
      <c r="AA169" s="1">
        <v>523</v>
      </c>
      <c r="AB169" s="1">
        <v>5.2427184466019419E-2</v>
      </c>
      <c r="AC169" s="1">
        <v>0</v>
      </c>
    </row>
    <row r="170" spans="1:29" x14ac:dyDescent="0.3">
      <c r="A170" s="1">
        <v>0</v>
      </c>
      <c r="B170" s="1">
        <v>0.25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0.25833333333333336</v>
      </c>
      <c r="I170" s="1">
        <v>0.25833333333333336</v>
      </c>
      <c r="J170" s="1">
        <v>0</v>
      </c>
      <c r="K170" s="1">
        <v>0.19166666666666668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0.04</v>
      </c>
      <c r="S170" s="1">
        <v>0</v>
      </c>
      <c r="T170" s="1">
        <v>0</v>
      </c>
      <c r="U170" s="1">
        <v>453</v>
      </c>
      <c r="V170" s="1">
        <v>48</v>
      </c>
      <c r="W170" s="1">
        <v>1</v>
      </c>
      <c r="X170" s="1">
        <v>141</v>
      </c>
      <c r="Y170" s="1">
        <v>0</v>
      </c>
      <c r="Z170" s="1">
        <v>46</v>
      </c>
      <c r="AA170" s="1">
        <v>473</v>
      </c>
      <c r="AB170" s="1">
        <v>13.75</v>
      </c>
      <c r="AC170" s="1">
        <v>1</v>
      </c>
    </row>
    <row r="171" spans="1:29" x14ac:dyDescent="0.3">
      <c r="A171" s="1">
        <v>0</v>
      </c>
      <c r="B171" s="1">
        <v>0.5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0.25833333333333336</v>
      </c>
      <c r="I171" s="1">
        <v>0.25833333333333336</v>
      </c>
      <c r="J171" s="1">
        <v>0</v>
      </c>
      <c r="K171" s="1">
        <v>0.19166666666666668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0.04</v>
      </c>
      <c r="S171" s="1">
        <v>0</v>
      </c>
      <c r="T171" s="1">
        <v>0</v>
      </c>
      <c r="U171" s="1">
        <v>453</v>
      </c>
      <c r="V171" s="1">
        <v>48</v>
      </c>
      <c r="W171" s="1">
        <v>1</v>
      </c>
      <c r="X171" s="1">
        <v>141</v>
      </c>
      <c r="Y171" s="1">
        <v>0</v>
      </c>
      <c r="Z171" s="1">
        <v>46</v>
      </c>
      <c r="AA171" s="1">
        <v>473</v>
      </c>
      <c r="AB171" s="1">
        <v>4.2142857142857135</v>
      </c>
      <c r="AC171" s="1">
        <v>1</v>
      </c>
    </row>
    <row r="172" spans="1:29" x14ac:dyDescent="0.3">
      <c r="A172" s="1">
        <v>0</v>
      </c>
      <c r="B172" s="1">
        <v>0.75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0.25833333333333336</v>
      </c>
      <c r="I172" s="1">
        <v>0.25833333333333336</v>
      </c>
      <c r="J172" s="1">
        <v>0</v>
      </c>
      <c r="K172" s="1">
        <v>0.19166666666666668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0.04</v>
      </c>
      <c r="S172" s="1">
        <v>0</v>
      </c>
      <c r="T172" s="1">
        <v>0</v>
      </c>
      <c r="U172" s="1">
        <v>453</v>
      </c>
      <c r="V172" s="1">
        <v>48</v>
      </c>
      <c r="W172" s="1">
        <v>1</v>
      </c>
      <c r="X172" s="1">
        <v>141</v>
      </c>
      <c r="Y172" s="1">
        <v>0</v>
      </c>
      <c r="Z172" s="1">
        <v>46</v>
      </c>
      <c r="AA172" s="1">
        <v>473</v>
      </c>
      <c r="AB172" s="1">
        <v>2</v>
      </c>
      <c r="AC172" s="1">
        <v>1</v>
      </c>
    </row>
    <row r="173" spans="1:29" x14ac:dyDescent="0.3">
      <c r="A173" s="1">
        <v>0</v>
      </c>
      <c r="B173" s="1">
        <v>1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0.25833333333333336</v>
      </c>
      <c r="I173" s="1">
        <v>0.25833333333333336</v>
      </c>
      <c r="J173" s="1">
        <v>0</v>
      </c>
      <c r="K173" s="1">
        <v>0.19166666666666668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0.04</v>
      </c>
      <c r="S173" s="1">
        <v>0</v>
      </c>
      <c r="T173" s="1">
        <v>0</v>
      </c>
      <c r="U173" s="1">
        <v>453</v>
      </c>
      <c r="V173" s="1">
        <v>48</v>
      </c>
      <c r="W173" s="1">
        <v>1</v>
      </c>
      <c r="X173" s="1">
        <v>141</v>
      </c>
      <c r="Y173" s="1">
        <v>0</v>
      </c>
      <c r="Z173" s="1">
        <v>46</v>
      </c>
      <c r="AA173" s="1">
        <v>473</v>
      </c>
      <c r="AB173" s="1">
        <v>1.6153846153846152</v>
      </c>
      <c r="AC173" s="1">
        <v>1</v>
      </c>
    </row>
    <row r="174" spans="1:29" x14ac:dyDescent="0.3">
      <c r="A174" s="1">
        <v>0</v>
      </c>
      <c r="B174" s="1">
        <v>0.25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0.25833333333333336</v>
      </c>
      <c r="I174" s="1">
        <v>0.25833333333333336</v>
      </c>
      <c r="J174" s="1">
        <v>0</v>
      </c>
      <c r="K174" s="1">
        <v>0.19166666666666668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0.04</v>
      </c>
      <c r="S174" s="1">
        <v>0</v>
      </c>
      <c r="T174" s="1">
        <v>0</v>
      </c>
      <c r="U174" s="1">
        <v>453</v>
      </c>
      <c r="V174" s="1">
        <v>48</v>
      </c>
      <c r="W174" s="1">
        <v>1</v>
      </c>
      <c r="X174" s="1">
        <v>178</v>
      </c>
      <c r="Y174" s="1">
        <v>0</v>
      </c>
      <c r="Z174" s="1">
        <v>46</v>
      </c>
      <c r="AA174" s="1">
        <v>473</v>
      </c>
      <c r="AB174" s="1">
        <v>3.5</v>
      </c>
      <c r="AC174" s="1">
        <v>1</v>
      </c>
    </row>
    <row r="175" spans="1:29" x14ac:dyDescent="0.3">
      <c r="A175" s="1">
        <v>0</v>
      </c>
      <c r="B175" s="1">
        <v>0.5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0.25833333333333336</v>
      </c>
      <c r="I175" s="1">
        <v>0.25833333333333336</v>
      </c>
      <c r="J175" s="1">
        <v>0</v>
      </c>
      <c r="K175" s="1">
        <v>0.19166666666666668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0.04</v>
      </c>
      <c r="S175" s="1">
        <v>0</v>
      </c>
      <c r="T175" s="1">
        <v>0</v>
      </c>
      <c r="U175" s="1">
        <v>453</v>
      </c>
      <c r="V175" s="1">
        <v>48</v>
      </c>
      <c r="W175" s="1">
        <v>1</v>
      </c>
      <c r="X175" s="1">
        <v>178</v>
      </c>
      <c r="Y175" s="1">
        <v>0</v>
      </c>
      <c r="Z175" s="1">
        <v>46</v>
      </c>
      <c r="AA175" s="1">
        <v>473</v>
      </c>
      <c r="AB175" s="1">
        <v>3.1818181818181817</v>
      </c>
      <c r="AC175" s="1">
        <v>1</v>
      </c>
    </row>
    <row r="176" spans="1:29" x14ac:dyDescent="0.3">
      <c r="A176" s="1">
        <v>0</v>
      </c>
      <c r="B176" s="1">
        <v>0.75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0.25833333333333336</v>
      </c>
      <c r="I176" s="1">
        <v>0.25833333333333336</v>
      </c>
      <c r="J176" s="1">
        <v>0</v>
      </c>
      <c r="K176" s="1">
        <v>0.19166666666666668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0.04</v>
      </c>
      <c r="S176" s="1">
        <v>0</v>
      </c>
      <c r="T176" s="1">
        <v>0</v>
      </c>
      <c r="U176" s="1">
        <v>453</v>
      </c>
      <c r="V176" s="1">
        <v>48</v>
      </c>
      <c r="W176" s="1">
        <v>1</v>
      </c>
      <c r="X176" s="1">
        <v>178</v>
      </c>
      <c r="Y176" s="1">
        <v>0</v>
      </c>
      <c r="Z176" s="1">
        <v>46</v>
      </c>
      <c r="AA176" s="1">
        <v>473</v>
      </c>
      <c r="AB176" s="1">
        <v>2.1538461538461542</v>
      </c>
      <c r="AC176" s="1">
        <v>1</v>
      </c>
    </row>
    <row r="177" spans="1:29" x14ac:dyDescent="0.3">
      <c r="A177" s="1">
        <v>0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0.25833333333333336</v>
      </c>
      <c r="I177" s="1">
        <v>0.25833333333333336</v>
      </c>
      <c r="J177" s="1">
        <v>0</v>
      </c>
      <c r="K177" s="1">
        <v>0.19166666666666668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0.04</v>
      </c>
      <c r="S177" s="1">
        <v>0</v>
      </c>
      <c r="T177" s="1">
        <v>0</v>
      </c>
      <c r="U177" s="1">
        <v>453</v>
      </c>
      <c r="V177" s="1">
        <v>48</v>
      </c>
      <c r="W177" s="1">
        <v>1</v>
      </c>
      <c r="X177" s="1">
        <v>178</v>
      </c>
      <c r="Y177" s="1">
        <v>0</v>
      </c>
      <c r="Z177" s="1">
        <v>46</v>
      </c>
      <c r="AA177" s="1">
        <v>473</v>
      </c>
      <c r="AB177" s="1">
        <v>2.166666666666667</v>
      </c>
      <c r="AC177" s="1">
        <v>1</v>
      </c>
    </row>
    <row r="178" spans="1:29" x14ac:dyDescent="0.3">
      <c r="A178" s="1">
        <v>0</v>
      </c>
      <c r="B178" s="1">
        <v>4.4999999999999998E-2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0.4</v>
      </c>
      <c r="I178" s="1">
        <v>15</v>
      </c>
      <c r="J178" s="1">
        <v>0</v>
      </c>
      <c r="K178" s="1">
        <v>0.2</v>
      </c>
      <c r="L178" s="1">
        <v>0</v>
      </c>
      <c r="M178" s="1">
        <v>0</v>
      </c>
      <c r="N178" s="1">
        <v>0.1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408</v>
      </c>
      <c r="V178" s="1">
        <v>168</v>
      </c>
      <c r="W178" s="1">
        <v>0</v>
      </c>
      <c r="X178" s="1">
        <v>174</v>
      </c>
      <c r="Y178" s="1">
        <v>0</v>
      </c>
      <c r="Z178" s="1">
        <v>0</v>
      </c>
      <c r="AA178" s="1">
        <v>423</v>
      </c>
      <c r="AB178" s="1">
        <v>3.1666666666666669E-2</v>
      </c>
      <c r="AC178" s="1">
        <v>0</v>
      </c>
    </row>
    <row r="179" spans="1:29" x14ac:dyDescent="0.3">
      <c r="A179" s="1">
        <v>0</v>
      </c>
      <c r="B179" s="1">
        <v>4.4999999999999998E-2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0.4</v>
      </c>
      <c r="I179" s="1">
        <v>15</v>
      </c>
      <c r="J179" s="1">
        <v>0</v>
      </c>
      <c r="K179" s="1">
        <v>0.2</v>
      </c>
      <c r="L179" s="1">
        <v>0</v>
      </c>
      <c r="M179" s="1">
        <v>0</v>
      </c>
      <c r="N179" s="1">
        <v>0.1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408</v>
      </c>
      <c r="V179" s="1">
        <v>168</v>
      </c>
      <c r="W179" s="1">
        <v>0</v>
      </c>
      <c r="X179" s="1">
        <v>174</v>
      </c>
      <c r="Y179" s="1">
        <v>0</v>
      </c>
      <c r="Z179" s="1">
        <v>0</v>
      </c>
      <c r="AA179" s="1">
        <v>473</v>
      </c>
      <c r="AB179" s="1">
        <v>3.3582089552238799E-2</v>
      </c>
      <c r="AC179" s="1">
        <v>0</v>
      </c>
    </row>
    <row r="180" spans="1:29" x14ac:dyDescent="0.3">
      <c r="A180" s="1">
        <v>0</v>
      </c>
      <c r="B180" s="1">
        <v>4.4999999999999998E-2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0.4</v>
      </c>
      <c r="I180" s="1">
        <v>15</v>
      </c>
      <c r="J180" s="1">
        <v>0</v>
      </c>
      <c r="K180" s="1">
        <v>0.2</v>
      </c>
      <c r="L180" s="1">
        <v>0</v>
      </c>
      <c r="M180" s="1">
        <v>0</v>
      </c>
      <c r="N180" s="1">
        <v>0.1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408</v>
      </c>
      <c r="V180" s="1">
        <v>168</v>
      </c>
      <c r="W180" s="1">
        <v>0</v>
      </c>
      <c r="X180" s="1">
        <v>174</v>
      </c>
      <c r="Y180" s="1">
        <v>0</v>
      </c>
      <c r="Z180" s="1">
        <v>0</v>
      </c>
      <c r="AA180" s="1">
        <v>623</v>
      </c>
      <c r="AB180" s="1">
        <v>1.6949152542372881E-2</v>
      </c>
      <c r="AC180" s="1">
        <v>0</v>
      </c>
    </row>
    <row r="181" spans="1:29" x14ac:dyDescent="0.3">
      <c r="A181" s="1">
        <v>0</v>
      </c>
      <c r="B181" s="1">
        <v>3.3333333333333333E-2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10</v>
      </c>
      <c r="J181" s="1">
        <v>2</v>
      </c>
      <c r="K181" s="1">
        <v>1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408</v>
      </c>
      <c r="V181" s="1">
        <v>72</v>
      </c>
      <c r="W181" s="1">
        <v>0</v>
      </c>
      <c r="X181" s="1">
        <v>143</v>
      </c>
      <c r="Y181" s="1">
        <v>0</v>
      </c>
      <c r="Z181" s="1">
        <v>0</v>
      </c>
      <c r="AA181" s="1">
        <v>373</v>
      </c>
      <c r="AB181" s="1">
        <v>5.4186046511627906</v>
      </c>
      <c r="AC181" s="1">
        <v>1</v>
      </c>
    </row>
    <row r="182" spans="1:29" x14ac:dyDescent="0.3">
      <c r="A182" s="1">
        <v>0.4925373134328358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0.74626865671641784</v>
      </c>
      <c r="I182" s="1">
        <v>22.388059701492537</v>
      </c>
      <c r="J182" s="1">
        <v>0</v>
      </c>
      <c r="K182" s="1">
        <v>0.37313432835820892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448</v>
      </c>
      <c r="V182" s="1">
        <v>168</v>
      </c>
      <c r="W182" s="1">
        <v>0</v>
      </c>
      <c r="X182" s="1">
        <v>280</v>
      </c>
      <c r="Y182" s="1">
        <v>0</v>
      </c>
      <c r="Z182" s="1">
        <v>0</v>
      </c>
      <c r="AA182" s="1">
        <v>298</v>
      </c>
      <c r="AB182" s="1">
        <v>0</v>
      </c>
      <c r="AC182" s="1">
        <v>0</v>
      </c>
    </row>
    <row r="183" spans="1:29" x14ac:dyDescent="0.3">
      <c r="A183" s="1">
        <v>0.4925373134328358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0.74626865671641784</v>
      </c>
      <c r="I183" s="1">
        <v>22.388059701492537</v>
      </c>
      <c r="J183" s="1">
        <v>0</v>
      </c>
      <c r="K183" s="1">
        <v>0.37313432835820892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448</v>
      </c>
      <c r="V183" s="1">
        <v>168</v>
      </c>
      <c r="W183" s="1">
        <v>0</v>
      </c>
      <c r="X183" s="1">
        <v>280</v>
      </c>
      <c r="Y183" s="1">
        <v>0</v>
      </c>
      <c r="Z183" s="1">
        <v>0</v>
      </c>
      <c r="AA183" s="1">
        <v>323</v>
      </c>
      <c r="AB183" s="1">
        <v>0</v>
      </c>
      <c r="AC183" s="1">
        <v>0</v>
      </c>
    </row>
    <row r="184" spans="1:29" x14ac:dyDescent="0.3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0.54</v>
      </c>
      <c r="I184" s="1">
        <v>7.5</v>
      </c>
      <c r="J184" s="1">
        <v>0.54</v>
      </c>
      <c r="K184" s="1">
        <v>0.54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0.01</v>
      </c>
      <c r="T184" s="1">
        <v>0</v>
      </c>
      <c r="U184" s="1">
        <v>413</v>
      </c>
      <c r="V184" s="1">
        <v>168</v>
      </c>
      <c r="W184" s="1">
        <v>0</v>
      </c>
      <c r="X184" s="1">
        <v>160</v>
      </c>
      <c r="Y184" s="1">
        <v>0</v>
      </c>
      <c r="Z184" s="1">
        <v>0</v>
      </c>
      <c r="AA184" s="1">
        <v>423</v>
      </c>
      <c r="AB184" s="1">
        <v>0.32575757575757575</v>
      </c>
      <c r="AC184" s="1">
        <v>0</v>
      </c>
    </row>
    <row r="185" spans="1:29" x14ac:dyDescent="0.3">
      <c r="A185" s="1">
        <v>0</v>
      </c>
      <c r="B185" s="1">
        <v>0</v>
      </c>
      <c r="C185" s="1">
        <v>3.7999999999999999E-2</v>
      </c>
      <c r="D185" s="1">
        <v>0</v>
      </c>
      <c r="E185" s="1">
        <v>0</v>
      </c>
      <c r="F185" s="1">
        <v>0</v>
      </c>
      <c r="G185" s="1">
        <v>0</v>
      </c>
      <c r="H185" s="1">
        <v>0.32</v>
      </c>
      <c r="I185" s="1">
        <v>45.4</v>
      </c>
      <c r="J185" s="1">
        <v>0</v>
      </c>
      <c r="K185" s="1">
        <v>0.32</v>
      </c>
      <c r="L185" s="1">
        <v>0.02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423</v>
      </c>
      <c r="V185" s="1">
        <v>96</v>
      </c>
      <c r="W185" s="1">
        <v>0</v>
      </c>
      <c r="X185" s="1">
        <v>232</v>
      </c>
      <c r="Y185" s="1">
        <v>192</v>
      </c>
      <c r="Z185" s="1">
        <v>0</v>
      </c>
      <c r="AA185" s="1">
        <v>423</v>
      </c>
      <c r="AB185" s="1">
        <v>1.2553191489361701</v>
      </c>
      <c r="AC185" s="1">
        <v>1</v>
      </c>
    </row>
    <row r="186" spans="1:29" x14ac:dyDescent="0.3">
      <c r="A186" s="1">
        <v>0</v>
      </c>
      <c r="B186" s="1">
        <v>0</v>
      </c>
      <c r="C186" s="1">
        <v>3.7999999999999999E-2</v>
      </c>
      <c r="D186" s="1">
        <v>0</v>
      </c>
      <c r="E186" s="1">
        <v>0</v>
      </c>
      <c r="F186" s="1">
        <v>0</v>
      </c>
      <c r="G186" s="1">
        <v>0</v>
      </c>
      <c r="H186" s="1">
        <v>0.32</v>
      </c>
      <c r="I186" s="1">
        <v>45.4</v>
      </c>
      <c r="J186" s="1">
        <v>0</v>
      </c>
      <c r="K186" s="1">
        <v>0.32</v>
      </c>
      <c r="L186" s="1">
        <v>0.04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423</v>
      </c>
      <c r="V186" s="1">
        <v>96</v>
      </c>
      <c r="W186" s="1">
        <v>0</v>
      </c>
      <c r="X186" s="1">
        <v>232</v>
      </c>
      <c r="Y186" s="1">
        <v>192</v>
      </c>
      <c r="Z186" s="1">
        <v>0</v>
      </c>
      <c r="AA186" s="1">
        <v>423</v>
      </c>
      <c r="AB186" s="1">
        <v>0.97872340425531912</v>
      </c>
      <c r="AC186" s="1">
        <v>0</v>
      </c>
    </row>
    <row r="187" spans="1:29" x14ac:dyDescent="0.3">
      <c r="A187" s="1">
        <v>0</v>
      </c>
      <c r="B187" s="1">
        <v>0</v>
      </c>
      <c r="C187" s="1">
        <v>3.7999999999999999E-2</v>
      </c>
      <c r="D187" s="1">
        <v>0</v>
      </c>
      <c r="E187" s="1">
        <v>0</v>
      </c>
      <c r="F187" s="1">
        <v>0</v>
      </c>
      <c r="G187" s="1">
        <v>0</v>
      </c>
      <c r="H187" s="1">
        <v>0.32</v>
      </c>
      <c r="I187" s="1">
        <v>45.4</v>
      </c>
      <c r="J187" s="1">
        <v>0</v>
      </c>
      <c r="K187" s="1">
        <v>0.32</v>
      </c>
      <c r="L187" s="1">
        <v>0.06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423</v>
      </c>
      <c r="V187" s="1">
        <v>96</v>
      </c>
      <c r="W187" s="1">
        <v>0</v>
      </c>
      <c r="X187" s="1">
        <v>232</v>
      </c>
      <c r="Y187" s="1">
        <v>192</v>
      </c>
      <c r="Z187" s="1">
        <v>0</v>
      </c>
      <c r="AA187" s="1">
        <v>423</v>
      </c>
      <c r="AB187" s="1">
        <v>0.7192982456140351</v>
      </c>
      <c r="AC187" s="1">
        <v>0</v>
      </c>
    </row>
    <row r="188" spans="1:29" x14ac:dyDescent="0.3">
      <c r="A188" s="1">
        <v>0</v>
      </c>
      <c r="B188" s="1">
        <v>0.05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0.56666666666666665</v>
      </c>
      <c r="I188" s="1">
        <v>40</v>
      </c>
      <c r="J188" s="1">
        <v>0</v>
      </c>
      <c r="K188" s="1">
        <v>0.16666666666666666</v>
      </c>
      <c r="L188" s="1">
        <v>0</v>
      </c>
      <c r="M188" s="1">
        <v>0</v>
      </c>
      <c r="N188" s="1">
        <v>0.33333333333333331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448</v>
      </c>
      <c r="V188" s="1">
        <v>240</v>
      </c>
      <c r="W188" s="1">
        <v>0</v>
      </c>
      <c r="X188" s="1">
        <v>277</v>
      </c>
      <c r="Y188" s="1">
        <v>0</v>
      </c>
      <c r="Z188" s="1">
        <v>0</v>
      </c>
      <c r="AA188" s="1">
        <v>523</v>
      </c>
      <c r="AB188" s="1">
        <v>20</v>
      </c>
      <c r="AC188" s="1">
        <v>1</v>
      </c>
    </row>
    <row r="189" spans="1:29" x14ac:dyDescent="0.3">
      <c r="A189" s="1">
        <v>0</v>
      </c>
      <c r="B189" s="1">
        <v>0.05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0.56666666666666665</v>
      </c>
      <c r="I189" s="1">
        <v>40</v>
      </c>
      <c r="J189" s="1">
        <v>0</v>
      </c>
      <c r="K189" s="1">
        <v>0.16666666666666666</v>
      </c>
      <c r="L189" s="1">
        <v>0</v>
      </c>
      <c r="M189" s="1">
        <v>0</v>
      </c>
      <c r="N189" s="1">
        <v>0.33333333333333331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448</v>
      </c>
      <c r="V189" s="1">
        <v>240</v>
      </c>
      <c r="W189" s="1">
        <v>0</v>
      </c>
      <c r="X189" s="1">
        <v>277</v>
      </c>
      <c r="Y189" s="1">
        <v>0</v>
      </c>
      <c r="Z189" s="1">
        <v>0</v>
      </c>
      <c r="AA189" s="1">
        <v>623</v>
      </c>
      <c r="AB189" s="1">
        <v>19</v>
      </c>
      <c r="AC189" s="1">
        <v>1</v>
      </c>
    </row>
    <row r="190" spans="1:29" x14ac:dyDescent="0.3">
      <c r="A190" s="1">
        <v>0</v>
      </c>
      <c r="B190" s="1">
        <v>0.05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0.56666666666666665</v>
      </c>
      <c r="I190" s="1">
        <v>40</v>
      </c>
      <c r="J190" s="1">
        <v>0</v>
      </c>
      <c r="K190" s="1">
        <v>0.16666666666666666</v>
      </c>
      <c r="L190" s="1">
        <v>0</v>
      </c>
      <c r="M190" s="1">
        <v>0</v>
      </c>
      <c r="N190" s="1">
        <v>0.33333333333333331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448</v>
      </c>
      <c r="V190" s="1">
        <v>240</v>
      </c>
      <c r="W190" s="1">
        <v>0</v>
      </c>
      <c r="X190" s="1">
        <v>277</v>
      </c>
      <c r="Y190" s="1">
        <v>0</v>
      </c>
      <c r="Z190" s="1">
        <v>0</v>
      </c>
      <c r="AA190" s="1">
        <v>673</v>
      </c>
      <c r="AB190" s="1">
        <v>13</v>
      </c>
      <c r="AC190" s="1">
        <v>1</v>
      </c>
    </row>
    <row r="191" spans="1:29" x14ac:dyDescent="0.3">
      <c r="A191" s="1">
        <v>0</v>
      </c>
      <c r="B191" s="1">
        <v>0.02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0.37</v>
      </c>
      <c r="I191" s="1">
        <v>40</v>
      </c>
      <c r="J191" s="1">
        <v>0</v>
      </c>
      <c r="K191" s="1">
        <v>0.36</v>
      </c>
      <c r="L191" s="1">
        <v>9.9999999999999985E-3</v>
      </c>
      <c r="M191" s="1">
        <v>0</v>
      </c>
      <c r="N191" s="1">
        <v>5.0000000000000001E-3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423</v>
      </c>
      <c r="V191" s="1">
        <v>120</v>
      </c>
      <c r="W191" s="1">
        <v>0</v>
      </c>
      <c r="X191" s="1">
        <v>232</v>
      </c>
      <c r="Y191" s="1">
        <v>714</v>
      </c>
      <c r="Z191" s="1">
        <v>30</v>
      </c>
      <c r="AA191" s="1">
        <v>393</v>
      </c>
      <c r="AB191" s="1">
        <v>5.22</v>
      </c>
      <c r="AC191" s="1">
        <v>1</v>
      </c>
    </row>
    <row r="192" spans="1:29" x14ac:dyDescent="0.3">
      <c r="A192" s="1">
        <v>0</v>
      </c>
      <c r="B192" s="1">
        <v>0.02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0.37</v>
      </c>
      <c r="I192" s="1">
        <v>40</v>
      </c>
      <c r="J192" s="1">
        <v>0</v>
      </c>
      <c r="K192" s="1">
        <v>0.36</v>
      </c>
      <c r="L192" s="1">
        <v>0.03</v>
      </c>
      <c r="M192" s="1">
        <v>0</v>
      </c>
      <c r="N192" s="1">
        <v>5.0000000000000001E-3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423</v>
      </c>
      <c r="V192" s="1">
        <v>120</v>
      </c>
      <c r="W192" s="1">
        <v>0</v>
      </c>
      <c r="X192" s="1">
        <v>232</v>
      </c>
      <c r="Y192" s="1">
        <v>714</v>
      </c>
      <c r="Z192" s="1">
        <v>30</v>
      </c>
      <c r="AA192" s="1">
        <v>393</v>
      </c>
      <c r="AB192" s="1">
        <v>4.88</v>
      </c>
      <c r="AC192" s="1">
        <v>1</v>
      </c>
    </row>
    <row r="193" spans="1:29" x14ac:dyDescent="0.3">
      <c r="A193" s="1">
        <v>0</v>
      </c>
      <c r="B193" s="1">
        <v>0.02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0.37</v>
      </c>
      <c r="I193" s="1">
        <v>40</v>
      </c>
      <c r="J193" s="1">
        <v>0</v>
      </c>
      <c r="K193" s="1">
        <v>0.36</v>
      </c>
      <c r="L193" s="1">
        <v>0.05</v>
      </c>
      <c r="M193" s="1">
        <v>0</v>
      </c>
      <c r="N193" s="1">
        <v>5.0000000000000001E-3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423</v>
      </c>
      <c r="V193" s="1">
        <v>120</v>
      </c>
      <c r="W193" s="1">
        <v>0</v>
      </c>
      <c r="X193" s="1">
        <v>232</v>
      </c>
      <c r="Y193" s="1">
        <v>714</v>
      </c>
      <c r="Z193" s="1">
        <v>30</v>
      </c>
      <c r="AA193" s="1">
        <v>393</v>
      </c>
      <c r="AB193" s="1">
        <v>3.58</v>
      </c>
      <c r="AC193" s="1">
        <v>1</v>
      </c>
    </row>
    <row r="194" spans="1:29" x14ac:dyDescent="0.3">
      <c r="A194" s="1">
        <v>0</v>
      </c>
      <c r="B194" s="1">
        <v>0.04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0.41799999999999998</v>
      </c>
      <c r="I194" s="1">
        <v>11.6</v>
      </c>
      <c r="J194" s="1">
        <v>0</v>
      </c>
      <c r="K194" s="1">
        <v>0.35</v>
      </c>
      <c r="L194" s="1">
        <v>0</v>
      </c>
      <c r="M194" s="1">
        <v>0</v>
      </c>
      <c r="N194" s="1">
        <v>3.4000000000000002E-2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423</v>
      </c>
      <c r="V194" s="1">
        <v>72</v>
      </c>
      <c r="W194" s="1">
        <v>0</v>
      </c>
      <c r="X194" s="1">
        <v>160</v>
      </c>
      <c r="Y194" s="1">
        <v>0</v>
      </c>
      <c r="Z194" s="1">
        <v>0</v>
      </c>
      <c r="AA194" s="1">
        <v>423</v>
      </c>
      <c r="AB194" s="1">
        <v>21.000000000000004</v>
      </c>
      <c r="AC194" s="1">
        <v>1</v>
      </c>
    </row>
    <row r="195" spans="1:29" x14ac:dyDescent="0.3">
      <c r="A195" s="1">
        <v>0</v>
      </c>
      <c r="B195" s="1">
        <v>4.0000000000000001E-3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0.24299999999999999</v>
      </c>
      <c r="I195" s="1">
        <v>11.6</v>
      </c>
      <c r="J195" s="1">
        <v>0</v>
      </c>
      <c r="K195" s="1">
        <v>0.17499999999999999</v>
      </c>
      <c r="L195" s="1">
        <v>0</v>
      </c>
      <c r="M195" s="1">
        <v>0.16666666666666666</v>
      </c>
      <c r="N195" s="1">
        <v>3.4000000000000002E-2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423</v>
      </c>
      <c r="V195" s="1">
        <v>72</v>
      </c>
      <c r="W195" s="1">
        <v>0</v>
      </c>
      <c r="X195" s="1">
        <v>160</v>
      </c>
      <c r="Y195" s="1">
        <v>0</v>
      </c>
      <c r="Z195" s="1">
        <v>0</v>
      </c>
      <c r="AA195" s="1">
        <v>423</v>
      </c>
      <c r="AB195" s="1">
        <v>0.31796116504854371</v>
      </c>
      <c r="AC195" s="1">
        <v>0</v>
      </c>
    </row>
    <row r="196" spans="1:29" x14ac:dyDescent="0.3">
      <c r="A196" s="1">
        <v>0</v>
      </c>
      <c r="B196" s="1">
        <v>4.0000000000000001E-3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0.24299999999999999</v>
      </c>
      <c r="I196" s="1">
        <v>11.6</v>
      </c>
      <c r="J196" s="1">
        <v>0</v>
      </c>
      <c r="K196" s="1">
        <v>0.17499999999999999</v>
      </c>
      <c r="L196" s="1">
        <v>0</v>
      </c>
      <c r="M196" s="1">
        <v>0.04</v>
      </c>
      <c r="N196" s="1">
        <v>3.4000000000000002E-2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423</v>
      </c>
      <c r="V196" s="1">
        <v>72</v>
      </c>
      <c r="W196" s="1">
        <v>0</v>
      </c>
      <c r="X196" s="1">
        <v>160</v>
      </c>
      <c r="Y196" s="1">
        <v>0</v>
      </c>
      <c r="Z196" s="1">
        <v>0</v>
      </c>
      <c r="AA196" s="1">
        <v>423</v>
      </c>
      <c r="AB196" s="1">
        <v>0.15397350993377484</v>
      </c>
      <c r="AC196" s="1">
        <v>0</v>
      </c>
    </row>
    <row r="197" spans="1:29" x14ac:dyDescent="0.3">
      <c r="A197" s="1">
        <v>0</v>
      </c>
      <c r="B197" s="1">
        <v>4.0000000000000001E-3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0.24299999999999999</v>
      </c>
      <c r="I197" s="1">
        <v>11.6</v>
      </c>
      <c r="J197" s="1">
        <v>0</v>
      </c>
      <c r="K197" s="1">
        <v>0.17499999999999999</v>
      </c>
      <c r="L197" s="1">
        <v>0</v>
      </c>
      <c r="M197" s="1">
        <v>0.02</v>
      </c>
      <c r="N197" s="1">
        <v>3.4000000000000002E-2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423</v>
      </c>
      <c r="V197" s="1">
        <v>72</v>
      </c>
      <c r="W197" s="1">
        <v>0</v>
      </c>
      <c r="X197" s="1">
        <v>160</v>
      </c>
      <c r="Y197" s="1">
        <v>0</v>
      </c>
      <c r="Z197" s="1">
        <v>0</v>
      </c>
      <c r="AA197" s="1">
        <v>423</v>
      </c>
      <c r="AB197" s="1">
        <v>5.8754406580493537E-3</v>
      </c>
      <c r="AC197" s="1">
        <v>0</v>
      </c>
    </row>
    <row r="198" spans="1:29" x14ac:dyDescent="0.3">
      <c r="A198" s="1">
        <v>0</v>
      </c>
      <c r="B198" s="1">
        <v>3.3333333333333333E-2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0.41666666666666663</v>
      </c>
      <c r="I198" s="1">
        <v>8.3333333333333339</v>
      </c>
      <c r="J198" s="1">
        <v>0</v>
      </c>
      <c r="K198" s="1">
        <v>0.25</v>
      </c>
      <c r="L198" s="1">
        <v>0</v>
      </c>
      <c r="M198" s="1">
        <v>0</v>
      </c>
      <c r="N198" s="1">
        <v>8.3333333333333329E-2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443</v>
      </c>
      <c r="V198" s="1">
        <v>24</v>
      </c>
      <c r="W198" s="1">
        <v>0</v>
      </c>
      <c r="X198" s="1">
        <v>232</v>
      </c>
      <c r="Y198" s="1">
        <v>0</v>
      </c>
      <c r="Z198" s="1">
        <v>0</v>
      </c>
      <c r="AA198" s="1">
        <v>473</v>
      </c>
      <c r="AB198" s="1">
        <v>2.25</v>
      </c>
      <c r="AC198" s="1">
        <v>1</v>
      </c>
    </row>
    <row r="199" spans="1:29" x14ac:dyDescent="0.3">
      <c r="A199" s="1">
        <v>0</v>
      </c>
      <c r="B199" s="1">
        <v>0.01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0.24</v>
      </c>
      <c r="I199" s="1">
        <v>60</v>
      </c>
      <c r="J199" s="1">
        <v>0</v>
      </c>
      <c r="K199" s="1">
        <v>0.05</v>
      </c>
      <c r="L199" s="1">
        <v>0</v>
      </c>
      <c r="M199" s="1">
        <v>0</v>
      </c>
      <c r="N199" s="1">
        <v>1.2E-2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463</v>
      </c>
      <c r="V199" s="1">
        <v>72</v>
      </c>
      <c r="W199" s="1">
        <v>0</v>
      </c>
      <c r="X199" s="1">
        <v>258</v>
      </c>
      <c r="Y199" s="1">
        <v>0</v>
      </c>
      <c r="Z199" s="1">
        <v>0</v>
      </c>
      <c r="AA199" s="1">
        <v>423</v>
      </c>
      <c r="AB199" s="1">
        <v>0.44390243902439025</v>
      </c>
      <c r="AC199" s="1">
        <v>0</v>
      </c>
    </row>
    <row r="200" spans="1:29" x14ac:dyDescent="0.3">
      <c r="A200" s="1">
        <v>0</v>
      </c>
      <c r="B200" s="1">
        <v>0.01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0.48</v>
      </c>
      <c r="I200" s="1">
        <v>60</v>
      </c>
      <c r="J200" s="1">
        <v>0</v>
      </c>
      <c r="K200" s="1">
        <v>0.2</v>
      </c>
      <c r="L200" s="1">
        <v>0</v>
      </c>
      <c r="M200" s="1">
        <v>0</v>
      </c>
      <c r="N200" s="1">
        <v>0.24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463</v>
      </c>
      <c r="V200" s="1">
        <v>72</v>
      </c>
      <c r="W200" s="1">
        <v>0</v>
      </c>
      <c r="X200" s="1">
        <v>258</v>
      </c>
      <c r="Y200" s="1">
        <v>0</v>
      </c>
      <c r="Z200" s="1">
        <v>0</v>
      </c>
      <c r="AA200" s="1">
        <v>423</v>
      </c>
      <c r="AB200" s="1">
        <v>0.32465842550422902</v>
      </c>
      <c r="AC200" s="1">
        <v>0</v>
      </c>
    </row>
    <row r="201" spans="1:29" x14ac:dyDescent="0.3">
      <c r="A201" s="1">
        <v>0</v>
      </c>
      <c r="B201" s="1">
        <v>0.1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0.48</v>
      </c>
      <c r="I201" s="1">
        <v>10</v>
      </c>
      <c r="J201" s="1">
        <v>0</v>
      </c>
      <c r="K201" s="1">
        <v>0.05</v>
      </c>
      <c r="L201" s="1">
        <v>0</v>
      </c>
      <c r="M201" s="1">
        <v>0</v>
      </c>
      <c r="N201" s="1">
        <v>0.18</v>
      </c>
      <c r="O201" s="1">
        <v>0</v>
      </c>
      <c r="P201" s="1">
        <v>0.06</v>
      </c>
      <c r="Q201" s="1">
        <v>0</v>
      </c>
      <c r="R201" s="1">
        <v>0</v>
      </c>
      <c r="S201" s="1">
        <v>0</v>
      </c>
      <c r="T201" s="1">
        <v>0</v>
      </c>
      <c r="U201" s="1">
        <v>383</v>
      </c>
      <c r="V201" s="1">
        <v>192</v>
      </c>
      <c r="W201" s="1">
        <v>0</v>
      </c>
      <c r="X201" s="1">
        <v>292</v>
      </c>
      <c r="Y201" s="1">
        <v>0</v>
      </c>
      <c r="Z201" s="1">
        <v>0</v>
      </c>
      <c r="AA201" s="1">
        <v>423</v>
      </c>
      <c r="AB201" s="1">
        <v>3.6999999999999997</v>
      </c>
      <c r="AC201" s="1">
        <v>1</v>
      </c>
    </row>
    <row r="202" spans="1:29" x14ac:dyDescent="0.3">
      <c r="A202" s="1">
        <v>0</v>
      </c>
      <c r="B202" s="1">
        <v>0.13333333333333333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4.04</v>
      </c>
      <c r="I202" s="1">
        <v>26.7</v>
      </c>
      <c r="J202" s="1">
        <v>0</v>
      </c>
      <c r="K202" s="1">
        <v>6.6666666666666666E-2</v>
      </c>
      <c r="L202" s="1">
        <v>0</v>
      </c>
      <c r="M202" s="1">
        <v>0</v>
      </c>
      <c r="N202" s="1">
        <v>1.77</v>
      </c>
      <c r="O202" s="1">
        <v>0.25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393</v>
      </c>
      <c r="V202" s="1">
        <v>336</v>
      </c>
      <c r="W202" s="1">
        <v>0</v>
      </c>
      <c r="X202" s="1">
        <v>163</v>
      </c>
      <c r="Y202" s="1">
        <v>0</v>
      </c>
      <c r="Z202" s="1">
        <v>0</v>
      </c>
      <c r="AA202" s="1">
        <v>423</v>
      </c>
      <c r="AB202" s="1">
        <v>4.1818181818181817</v>
      </c>
      <c r="AC202" s="1">
        <v>1</v>
      </c>
    </row>
    <row r="203" spans="1:29" x14ac:dyDescent="0.3">
      <c r="A203" s="1">
        <v>0</v>
      </c>
      <c r="B203" s="1">
        <v>0.16129032258064516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0.85000000000000009</v>
      </c>
      <c r="I203" s="1">
        <v>15</v>
      </c>
      <c r="J203" s="1">
        <v>0</v>
      </c>
      <c r="K203" s="1">
        <v>0.22500000000000001</v>
      </c>
      <c r="L203" s="1">
        <v>0</v>
      </c>
      <c r="M203" s="1">
        <v>0</v>
      </c>
      <c r="N203" s="1">
        <v>0.2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423</v>
      </c>
      <c r="V203" s="1">
        <v>120</v>
      </c>
      <c r="W203" s="1">
        <v>1</v>
      </c>
      <c r="X203" s="1">
        <v>317</v>
      </c>
      <c r="Y203" s="1">
        <v>0</v>
      </c>
      <c r="Z203" s="1">
        <v>50</v>
      </c>
      <c r="AA203" s="1">
        <v>423</v>
      </c>
      <c r="AB203" s="1">
        <v>25.59349593495935</v>
      </c>
      <c r="AC203" s="1">
        <v>1</v>
      </c>
    </row>
    <row r="204" spans="1:29" x14ac:dyDescent="0.3">
      <c r="A204" s="1">
        <v>0</v>
      </c>
      <c r="B204" s="1">
        <v>0.16129032258064516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0.85000000000000009</v>
      </c>
      <c r="I204" s="1">
        <v>15</v>
      </c>
      <c r="J204" s="1">
        <v>0</v>
      </c>
      <c r="K204" s="1">
        <v>0.22500000000000001</v>
      </c>
      <c r="L204" s="1">
        <v>0</v>
      </c>
      <c r="M204" s="1">
        <v>0</v>
      </c>
      <c r="N204" s="1">
        <v>0.2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423</v>
      </c>
      <c r="V204" s="1">
        <v>120</v>
      </c>
      <c r="W204" s="1">
        <v>1</v>
      </c>
      <c r="X204" s="1">
        <v>317</v>
      </c>
      <c r="Y204" s="1">
        <v>0</v>
      </c>
      <c r="Z204" s="1">
        <v>50</v>
      </c>
      <c r="AA204" s="1">
        <v>573</v>
      </c>
      <c r="AB204" s="1">
        <v>24.717391304347824</v>
      </c>
      <c r="AC204" s="1">
        <v>1</v>
      </c>
    </row>
    <row r="205" spans="1:29" x14ac:dyDescent="0.3">
      <c r="A205" s="1">
        <v>0</v>
      </c>
      <c r="B205" s="1">
        <v>0.12820512820512822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0.85000000000000009</v>
      </c>
      <c r="I205" s="1">
        <v>15</v>
      </c>
      <c r="J205" s="1">
        <v>0</v>
      </c>
      <c r="K205" s="1">
        <v>0.22500000000000001</v>
      </c>
      <c r="L205" s="1">
        <v>0</v>
      </c>
      <c r="M205" s="1">
        <v>0</v>
      </c>
      <c r="N205" s="1">
        <v>0.2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423</v>
      </c>
      <c r="V205" s="1">
        <v>120</v>
      </c>
      <c r="W205" s="1">
        <v>1</v>
      </c>
      <c r="X205" s="1">
        <v>317</v>
      </c>
      <c r="Y205" s="1">
        <v>0</v>
      </c>
      <c r="Z205" s="1">
        <v>50</v>
      </c>
      <c r="AA205" s="1">
        <v>423</v>
      </c>
      <c r="AB205" s="1">
        <v>13.026178010471204</v>
      </c>
      <c r="AC205" s="1">
        <v>1</v>
      </c>
    </row>
    <row r="206" spans="1:29" x14ac:dyDescent="0.3">
      <c r="A206" s="1">
        <v>0</v>
      </c>
      <c r="B206" s="1">
        <v>0.12820512820512822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0.85000000000000009</v>
      </c>
      <c r="I206" s="1">
        <v>15</v>
      </c>
      <c r="J206" s="1">
        <v>0</v>
      </c>
      <c r="K206" s="1">
        <v>0.22500000000000001</v>
      </c>
      <c r="L206" s="1">
        <v>0</v>
      </c>
      <c r="M206" s="1">
        <v>0</v>
      </c>
      <c r="N206" s="1">
        <v>0.2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423</v>
      </c>
      <c r="V206" s="1">
        <v>120</v>
      </c>
      <c r="W206" s="1">
        <v>1</v>
      </c>
      <c r="X206" s="1">
        <v>317</v>
      </c>
      <c r="Y206" s="1">
        <v>0</v>
      </c>
      <c r="Z206" s="1">
        <v>50</v>
      </c>
      <c r="AA206" s="1">
        <v>573</v>
      </c>
      <c r="AB206" s="1">
        <v>11.990196078431373</v>
      </c>
      <c r="AC206" s="1">
        <v>1</v>
      </c>
    </row>
    <row r="207" spans="1:29" x14ac:dyDescent="0.3">
      <c r="A207" s="1">
        <v>0</v>
      </c>
      <c r="B207" s="1">
        <v>0.23809523809523808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0.85000000000000009</v>
      </c>
      <c r="I207" s="1">
        <v>15</v>
      </c>
      <c r="J207" s="1">
        <v>0</v>
      </c>
      <c r="K207" s="1">
        <v>0.22500000000000001</v>
      </c>
      <c r="L207" s="1">
        <v>0</v>
      </c>
      <c r="M207" s="1">
        <v>0</v>
      </c>
      <c r="N207" s="1">
        <v>0.2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423</v>
      </c>
      <c r="V207" s="1">
        <v>120</v>
      </c>
      <c r="W207" s="1">
        <v>0</v>
      </c>
      <c r="X207" s="1">
        <v>285</v>
      </c>
      <c r="Y207" s="1">
        <v>0</v>
      </c>
      <c r="Z207" s="1">
        <v>50</v>
      </c>
      <c r="AA207" s="1">
        <v>423</v>
      </c>
      <c r="AB207" s="1">
        <v>18.664921465968586</v>
      </c>
      <c r="AC207" s="1">
        <v>1</v>
      </c>
    </row>
    <row r="208" spans="1:29" x14ac:dyDescent="0.3">
      <c r="A208" s="1">
        <v>0</v>
      </c>
      <c r="B208" s="1">
        <v>0.23809523809523808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0.85000000000000009</v>
      </c>
      <c r="I208" s="1">
        <v>15</v>
      </c>
      <c r="J208" s="1">
        <v>0</v>
      </c>
      <c r="K208" s="1">
        <v>0.22500000000000001</v>
      </c>
      <c r="L208" s="1">
        <v>0</v>
      </c>
      <c r="M208" s="1">
        <v>0</v>
      </c>
      <c r="N208" s="1">
        <v>0.2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423</v>
      </c>
      <c r="V208" s="1">
        <v>120</v>
      </c>
      <c r="W208" s="1">
        <v>0</v>
      </c>
      <c r="X208" s="1">
        <v>285</v>
      </c>
      <c r="Y208" s="1">
        <v>0</v>
      </c>
      <c r="Z208" s="1">
        <v>50</v>
      </c>
      <c r="AA208" s="1">
        <v>573</v>
      </c>
      <c r="AB208" s="1">
        <v>17.428571428571427</v>
      </c>
      <c r="AC208" s="1">
        <v>1</v>
      </c>
    </row>
    <row r="209" spans="1:29" x14ac:dyDescent="0.3">
      <c r="A209" s="1">
        <v>0</v>
      </c>
      <c r="B209" s="1">
        <v>1.7000000000000001E-2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0.74</v>
      </c>
      <c r="I209" s="1">
        <v>40</v>
      </c>
      <c r="J209" s="1">
        <v>0</v>
      </c>
      <c r="K209" s="1">
        <v>0.45</v>
      </c>
      <c r="L209" s="1">
        <v>0.15</v>
      </c>
      <c r="M209" s="1">
        <v>0</v>
      </c>
      <c r="N209" s="1">
        <v>0.37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433</v>
      </c>
      <c r="V209" s="1">
        <v>240</v>
      </c>
      <c r="W209" s="1">
        <v>0</v>
      </c>
      <c r="X209" s="1">
        <v>113</v>
      </c>
      <c r="Y209" s="1">
        <v>143</v>
      </c>
      <c r="Z209" s="1">
        <v>100</v>
      </c>
      <c r="AA209" s="1">
        <v>443</v>
      </c>
      <c r="AB209" s="1">
        <v>17</v>
      </c>
      <c r="AC209" s="1">
        <v>1</v>
      </c>
    </row>
    <row r="210" spans="1:29" x14ac:dyDescent="0.3">
      <c r="A210" s="1">
        <v>0</v>
      </c>
      <c r="B210" s="1">
        <v>6.8749999999999992E-2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6.8749999999999992E-2</v>
      </c>
      <c r="I210" s="1">
        <v>1.8281249999999998</v>
      </c>
      <c r="J210" s="1">
        <v>0</v>
      </c>
      <c r="K210" s="1">
        <v>2.6562500000000003E-2</v>
      </c>
      <c r="L210" s="1">
        <v>0</v>
      </c>
      <c r="M210" s="1">
        <v>0</v>
      </c>
      <c r="N210" s="1">
        <v>3.4374999999999996E-2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383</v>
      </c>
      <c r="V210" s="1">
        <v>24</v>
      </c>
      <c r="W210" s="1">
        <v>0</v>
      </c>
      <c r="X210" s="1">
        <v>292</v>
      </c>
      <c r="Y210" s="1">
        <v>0</v>
      </c>
      <c r="Z210" s="1">
        <v>0</v>
      </c>
      <c r="AA210" s="1">
        <v>423</v>
      </c>
      <c r="AB210" s="1">
        <v>1.0681818181818181</v>
      </c>
      <c r="AC210" s="1">
        <v>1</v>
      </c>
    </row>
    <row r="211" spans="1:29" x14ac:dyDescent="0.3">
      <c r="A211" s="1">
        <v>0</v>
      </c>
      <c r="B211" s="1">
        <v>6.8749999999999992E-2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6.8749999999999992E-2</v>
      </c>
      <c r="I211" s="1">
        <v>1.8281249999999998</v>
      </c>
      <c r="J211" s="1">
        <v>0</v>
      </c>
      <c r="K211" s="1">
        <v>2.6562500000000003E-2</v>
      </c>
      <c r="L211" s="1">
        <v>0</v>
      </c>
      <c r="M211" s="1">
        <v>0</v>
      </c>
      <c r="N211" s="1">
        <v>3.4374999999999996E-2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383</v>
      </c>
      <c r="V211" s="1">
        <v>24</v>
      </c>
      <c r="W211" s="1">
        <v>0</v>
      </c>
      <c r="X211" s="1">
        <v>292</v>
      </c>
      <c r="Y211" s="1">
        <v>0</v>
      </c>
      <c r="Z211" s="1">
        <v>0</v>
      </c>
      <c r="AA211" s="1">
        <v>523</v>
      </c>
      <c r="AB211" s="1">
        <v>2.3499999999999996</v>
      </c>
      <c r="AC211" s="1">
        <v>1</v>
      </c>
    </row>
    <row r="212" spans="1:29" x14ac:dyDescent="0.3">
      <c r="A212" s="1">
        <v>0</v>
      </c>
      <c r="B212" s="1">
        <v>6.8749999999999992E-2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6.8749999999999992E-2</v>
      </c>
      <c r="I212" s="1">
        <v>1.8281249999999998</v>
      </c>
      <c r="J212" s="1">
        <v>0</v>
      </c>
      <c r="K212" s="1">
        <v>2.6562500000000003E-2</v>
      </c>
      <c r="L212" s="1">
        <v>0</v>
      </c>
      <c r="M212" s="1">
        <v>0</v>
      </c>
      <c r="N212" s="1">
        <v>3.4374999999999996E-2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383</v>
      </c>
      <c r="V212" s="1">
        <v>24</v>
      </c>
      <c r="W212" s="1">
        <v>0</v>
      </c>
      <c r="X212" s="1">
        <v>292</v>
      </c>
      <c r="Y212" s="1">
        <v>0</v>
      </c>
      <c r="Z212" s="1">
        <v>0</v>
      </c>
      <c r="AA212" s="1">
        <v>623</v>
      </c>
      <c r="AB212" s="1">
        <v>3.6363636363636367</v>
      </c>
      <c r="AC212" s="1">
        <v>1</v>
      </c>
    </row>
    <row r="213" spans="1:29" x14ac:dyDescent="0.3">
      <c r="A213" s="1">
        <v>0</v>
      </c>
      <c r="B213" s="1">
        <v>6.8749999999999992E-2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6.8749999999999992E-2</v>
      </c>
      <c r="I213" s="1">
        <v>1.8281249999999998</v>
      </c>
      <c r="J213" s="1">
        <v>0</v>
      </c>
      <c r="K213" s="1">
        <v>2.6562500000000003E-2</v>
      </c>
      <c r="L213" s="1">
        <v>0</v>
      </c>
      <c r="M213" s="1">
        <v>0</v>
      </c>
      <c r="N213" s="1">
        <v>3.4374999999999996E-2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383</v>
      </c>
      <c r="V213" s="1">
        <v>24</v>
      </c>
      <c r="W213" s="1">
        <v>0</v>
      </c>
      <c r="X213" s="1">
        <v>292</v>
      </c>
      <c r="Y213" s="1">
        <v>0</v>
      </c>
      <c r="Z213" s="1">
        <v>0</v>
      </c>
      <c r="AA213" s="1">
        <v>723</v>
      </c>
      <c r="AB213" s="1">
        <v>3.4285714285714279</v>
      </c>
      <c r="AC213" s="1">
        <v>1</v>
      </c>
    </row>
    <row r="214" spans="1:29" x14ac:dyDescent="0.3">
      <c r="A214" s="1">
        <v>0</v>
      </c>
      <c r="B214" s="1">
        <v>3.5714285714285713E-3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0.14878571428571427</v>
      </c>
      <c r="I214" s="1">
        <v>12.505714285714285</v>
      </c>
      <c r="J214" s="1">
        <v>0</v>
      </c>
      <c r="K214" s="1">
        <v>0.12607142857142856</v>
      </c>
      <c r="L214" s="1">
        <v>0</v>
      </c>
      <c r="M214" s="1">
        <v>0</v>
      </c>
      <c r="N214" s="1">
        <v>7.4392857142857136E-2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428</v>
      </c>
      <c r="V214" s="1">
        <v>120</v>
      </c>
      <c r="W214" s="1">
        <v>0</v>
      </c>
      <c r="X214" s="1">
        <v>147</v>
      </c>
      <c r="Y214" s="1">
        <v>0</v>
      </c>
      <c r="Z214" s="1">
        <v>0</v>
      </c>
      <c r="AA214" s="1">
        <v>423</v>
      </c>
      <c r="AB214" s="1">
        <v>8</v>
      </c>
      <c r="AC214" s="1">
        <v>1</v>
      </c>
    </row>
    <row r="215" spans="1:29" x14ac:dyDescent="0.3">
      <c r="A215" s="1">
        <v>0</v>
      </c>
      <c r="B215" s="1">
        <v>3.5714285714285713E-3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0.14878571428571427</v>
      </c>
      <c r="I215" s="1">
        <v>12.505714285714285</v>
      </c>
      <c r="J215" s="1">
        <v>0</v>
      </c>
      <c r="K215" s="1">
        <v>0.12607142857142856</v>
      </c>
      <c r="L215" s="1">
        <v>0</v>
      </c>
      <c r="M215" s="1">
        <v>0</v>
      </c>
      <c r="N215" s="1">
        <v>7.4392857142857136E-2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3.5714285714285713E-3</v>
      </c>
      <c r="U215" s="1">
        <v>428</v>
      </c>
      <c r="V215" s="1">
        <v>120</v>
      </c>
      <c r="W215" s="1">
        <v>0</v>
      </c>
      <c r="X215" s="1">
        <v>147</v>
      </c>
      <c r="Y215" s="1">
        <v>0</v>
      </c>
      <c r="Z215" s="1">
        <v>0</v>
      </c>
      <c r="AA215" s="1">
        <v>423</v>
      </c>
      <c r="AB215" s="1">
        <v>0.39473684210526316</v>
      </c>
      <c r="AC215" s="1">
        <v>0</v>
      </c>
    </row>
    <row r="216" spans="1:29" x14ac:dyDescent="0.3">
      <c r="A216" s="1">
        <v>0</v>
      </c>
      <c r="B216" s="1">
        <v>3.5714285714285713E-3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0.14878571428571427</v>
      </c>
      <c r="I216" s="1">
        <v>12.505714285714285</v>
      </c>
      <c r="J216" s="1">
        <v>0</v>
      </c>
      <c r="K216" s="1">
        <v>0.12607142857142856</v>
      </c>
      <c r="L216" s="1">
        <v>0</v>
      </c>
      <c r="M216" s="1">
        <v>3.5714285714285713E-3</v>
      </c>
      <c r="N216" s="1">
        <v>7.4392857142857136E-2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428</v>
      </c>
      <c r="V216" s="1">
        <v>120</v>
      </c>
      <c r="W216" s="1">
        <v>0</v>
      </c>
      <c r="X216" s="1">
        <v>147</v>
      </c>
      <c r="Y216" s="1">
        <v>0</v>
      </c>
      <c r="Z216" s="1">
        <v>0</v>
      </c>
      <c r="AA216" s="1">
        <v>423</v>
      </c>
      <c r="AB216" s="1">
        <v>4.833333333333333</v>
      </c>
      <c r="AC216" s="1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EC34-0DAC-421A-8ECA-DF0C49EBBBA8}">
  <dimension ref="A1:AB218"/>
  <sheetViews>
    <sheetView workbookViewId="0">
      <selection activeCell="X8" sqref="X8"/>
    </sheetView>
  </sheetViews>
  <sheetFormatPr defaultColWidth="9.109375" defaultRowHeight="14.4" x14ac:dyDescent="0.3"/>
  <cols>
    <col min="1" max="12" width="9.109375" style="13"/>
    <col min="13" max="13" width="8.88671875" style="13" customWidth="1"/>
    <col min="14" max="14" width="9.109375" style="13"/>
    <col min="15" max="15" width="8.88671875" style="13" customWidth="1"/>
    <col min="16" max="16" width="6.33203125" style="13" customWidth="1"/>
    <col min="17" max="20" width="9.109375" style="13"/>
    <col min="21" max="21" width="22.109375" style="2" customWidth="1"/>
    <col min="22" max="22" width="21.88671875" style="2" customWidth="1"/>
    <col min="23" max="23" width="9.109375" style="2"/>
    <col min="24" max="24" width="16.44140625" style="2" customWidth="1"/>
    <col min="25" max="25" width="21.33203125" style="2" customWidth="1"/>
    <col min="26" max="27" width="9.109375" style="2"/>
    <col min="28" max="28" width="9.109375" style="6"/>
    <col min="29" max="29" width="18.33203125" style="6" customWidth="1"/>
    <col min="30" max="16384" width="9.109375" style="6"/>
  </cols>
  <sheetData>
    <row r="1" spans="1:28" s="22" customFormat="1" ht="28.8" x14ac:dyDescent="0.3">
      <c r="A1" s="22" t="s">
        <v>24</v>
      </c>
      <c r="B1" s="22" t="s">
        <v>67</v>
      </c>
      <c r="C1" s="22" t="s">
        <v>68</v>
      </c>
      <c r="D1" s="22" t="s">
        <v>69</v>
      </c>
      <c r="E1" s="22" t="s">
        <v>70</v>
      </c>
      <c r="F1" s="22" t="s">
        <v>87</v>
      </c>
      <c r="G1" s="22" t="s">
        <v>88</v>
      </c>
      <c r="H1" s="22" t="s">
        <v>71</v>
      </c>
      <c r="I1" s="22" t="s">
        <v>32</v>
      </c>
      <c r="J1" s="22" t="s">
        <v>72</v>
      </c>
      <c r="K1" s="22" t="s">
        <v>73</v>
      </c>
      <c r="L1" s="22" t="s">
        <v>74</v>
      </c>
      <c r="M1" s="22" t="s">
        <v>75</v>
      </c>
      <c r="N1" s="22" t="s">
        <v>76</v>
      </c>
      <c r="O1" s="22" t="s">
        <v>77</v>
      </c>
      <c r="P1" s="22" t="s">
        <v>126</v>
      </c>
      <c r="Q1" s="22" t="s">
        <v>78</v>
      </c>
      <c r="R1" s="22" t="s">
        <v>54</v>
      </c>
      <c r="S1" s="22" t="s">
        <v>117</v>
      </c>
      <c r="T1" s="22" t="s">
        <v>134</v>
      </c>
      <c r="U1" s="22" t="s">
        <v>137</v>
      </c>
      <c r="V1" s="22" t="s">
        <v>138</v>
      </c>
      <c r="W1" s="22" t="s">
        <v>139</v>
      </c>
      <c r="X1" s="22" t="s">
        <v>140</v>
      </c>
      <c r="Y1" s="22" t="s">
        <v>141</v>
      </c>
      <c r="Z1" s="22" t="s">
        <v>2</v>
      </c>
      <c r="AA1" s="22" t="s">
        <v>28</v>
      </c>
      <c r="AB1" s="22" t="s">
        <v>30</v>
      </c>
    </row>
    <row r="2" spans="1:28" x14ac:dyDescent="0.3">
      <c r="A2" s="13">
        <v>0</v>
      </c>
      <c r="B2" s="13">
        <v>8.3333333333333329E-2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0.6</v>
      </c>
      <c r="I2" s="13">
        <v>40</v>
      </c>
      <c r="J2" s="13">
        <v>0</v>
      </c>
      <c r="K2" s="13">
        <v>9.9999999999999992E-2</v>
      </c>
      <c r="L2" s="13">
        <v>0</v>
      </c>
      <c r="M2" s="13">
        <v>0</v>
      </c>
      <c r="N2" s="13">
        <v>0.3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2">
        <v>433</v>
      </c>
      <c r="V2" s="2">
        <v>120</v>
      </c>
      <c r="W2" s="2">
        <v>0</v>
      </c>
      <c r="X2" s="2">
        <v>318</v>
      </c>
      <c r="Y2" s="2">
        <v>0</v>
      </c>
      <c r="Z2" s="2">
        <v>50</v>
      </c>
      <c r="AA2" s="2">
        <v>423</v>
      </c>
      <c r="AB2" s="6">
        <v>6.2750000000000004</v>
      </c>
    </row>
    <row r="3" spans="1:28" x14ac:dyDescent="0.3">
      <c r="A3" s="13">
        <v>0</v>
      </c>
      <c r="B3" s="13">
        <v>8.3333333333333329E-2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0.6</v>
      </c>
      <c r="I3" s="13">
        <v>40</v>
      </c>
      <c r="J3" s="13">
        <v>0</v>
      </c>
      <c r="K3" s="13">
        <v>9.9999999999999992E-2</v>
      </c>
      <c r="L3" s="13">
        <v>0</v>
      </c>
      <c r="M3" s="13">
        <v>0</v>
      </c>
      <c r="N3" s="13">
        <v>0.3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2">
        <v>433</v>
      </c>
      <c r="V3" s="2">
        <v>120</v>
      </c>
      <c r="W3" s="2">
        <v>0</v>
      </c>
      <c r="X3" s="2">
        <v>323</v>
      </c>
      <c r="Y3" s="2">
        <v>0</v>
      </c>
      <c r="Z3" s="2">
        <v>50</v>
      </c>
      <c r="AA3" s="2">
        <v>423</v>
      </c>
      <c r="AB3" s="6">
        <v>1.4545454545454546</v>
      </c>
    </row>
    <row r="4" spans="1:28" x14ac:dyDescent="0.3">
      <c r="A4" s="13">
        <v>0</v>
      </c>
      <c r="B4" s="13">
        <v>0.04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0.27600000000000002</v>
      </c>
      <c r="I4" s="13">
        <v>58.57</v>
      </c>
      <c r="J4" s="13">
        <v>0</v>
      </c>
      <c r="K4" s="13">
        <v>0.27600000000000002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2">
        <v>443</v>
      </c>
      <c r="V4" s="2">
        <v>18</v>
      </c>
      <c r="W4" s="2">
        <v>0</v>
      </c>
      <c r="X4" s="2">
        <v>233</v>
      </c>
      <c r="Y4" s="2">
        <v>0</v>
      </c>
      <c r="Z4" s="2">
        <v>0</v>
      </c>
      <c r="AA4" s="2">
        <v>423</v>
      </c>
      <c r="AB4" s="6">
        <v>3.8235294117647061</v>
      </c>
    </row>
    <row r="17" spans="1:28" s="9" customForma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3"/>
      <c r="V17" s="3"/>
      <c r="W17" s="3"/>
      <c r="X17" s="3"/>
      <c r="Y17" s="3"/>
      <c r="Z17" s="3"/>
      <c r="AA17" s="3"/>
    </row>
    <row r="18" spans="1:28" s="9" customForma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3"/>
      <c r="V18" s="3"/>
      <c r="W18" s="3"/>
      <c r="X18" s="3"/>
      <c r="Y18" s="3"/>
      <c r="Z18" s="3"/>
      <c r="AA18" s="3"/>
    </row>
    <row r="19" spans="1:28" s="9" customForma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3"/>
      <c r="V19" s="3"/>
      <c r="W19" s="3"/>
      <c r="X19" s="3"/>
      <c r="Y19" s="3"/>
      <c r="Z19" s="3"/>
      <c r="AA19" s="3"/>
    </row>
    <row r="20" spans="1:28" s="9" customForma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3"/>
      <c r="V20" s="3"/>
      <c r="W20" s="3"/>
      <c r="X20" s="3"/>
      <c r="Y20" s="3"/>
      <c r="Z20" s="3"/>
      <c r="AA20" s="3"/>
    </row>
    <row r="21" spans="1:28" s="9" customFormat="1" x14ac:dyDescent="0.3">
      <c r="A21" s="14"/>
      <c r="B21" s="14"/>
      <c r="C21" s="13"/>
      <c r="D21" s="13"/>
      <c r="E21" s="13"/>
      <c r="F21" s="13"/>
      <c r="G21" s="13"/>
      <c r="H21" s="14"/>
      <c r="I21" s="14"/>
      <c r="J21" s="14"/>
      <c r="K21" s="14"/>
      <c r="L21" s="14"/>
      <c r="M21" s="14"/>
      <c r="N21" s="14"/>
      <c r="O21" s="13"/>
      <c r="P21" s="13"/>
      <c r="Q21" s="14"/>
      <c r="R21" s="13"/>
      <c r="S21" s="13"/>
      <c r="T21" s="13"/>
      <c r="U21" s="3"/>
      <c r="V21" s="3"/>
      <c r="W21" s="3"/>
      <c r="X21" s="3"/>
      <c r="Y21" s="3"/>
      <c r="Z21" s="3"/>
      <c r="AA21" s="3"/>
    </row>
    <row r="22" spans="1:28" s="9" customFormat="1" x14ac:dyDescent="0.3">
      <c r="A22" s="14"/>
      <c r="B22" s="14"/>
      <c r="C22" s="13"/>
      <c r="D22" s="13"/>
      <c r="E22" s="13"/>
      <c r="F22" s="13"/>
      <c r="G22" s="13"/>
      <c r="H22" s="14"/>
      <c r="I22" s="14"/>
      <c r="J22" s="14"/>
      <c r="K22" s="14"/>
      <c r="L22" s="14"/>
      <c r="M22" s="14"/>
      <c r="N22" s="14"/>
      <c r="O22" s="13"/>
      <c r="P22" s="13"/>
      <c r="Q22" s="14"/>
      <c r="R22" s="13"/>
      <c r="S22" s="13"/>
      <c r="T22" s="13"/>
      <c r="U22" s="3"/>
      <c r="V22" s="3"/>
      <c r="W22" s="3"/>
      <c r="X22" s="3"/>
      <c r="Y22" s="3"/>
      <c r="Z22" s="3"/>
      <c r="AA22" s="3"/>
    </row>
    <row r="23" spans="1:28" s="9" customFormat="1" x14ac:dyDescent="0.3">
      <c r="A23" s="14"/>
      <c r="B23" s="14"/>
      <c r="C23" s="13"/>
      <c r="D23" s="13"/>
      <c r="E23" s="13"/>
      <c r="F23" s="13"/>
      <c r="G23" s="13"/>
      <c r="H23" s="14"/>
      <c r="I23" s="14"/>
      <c r="J23" s="14"/>
      <c r="K23" s="14"/>
      <c r="L23" s="14"/>
      <c r="M23" s="14"/>
      <c r="N23" s="14"/>
      <c r="O23" s="13"/>
      <c r="P23" s="13"/>
      <c r="Q23" s="14"/>
      <c r="R23" s="13"/>
      <c r="S23" s="13"/>
      <c r="T23" s="13"/>
      <c r="U23" s="3"/>
      <c r="V23" s="3"/>
      <c r="W23" s="3"/>
      <c r="X23" s="3"/>
      <c r="Y23" s="3"/>
      <c r="Z23" s="3"/>
      <c r="AA23" s="3"/>
    </row>
    <row r="24" spans="1:28" s="10" customFormat="1" x14ac:dyDescent="0.3">
      <c r="A24" s="15"/>
      <c r="B24" s="15"/>
      <c r="C24" s="13"/>
      <c r="D24" s="13"/>
      <c r="E24" s="13"/>
      <c r="F24" s="13"/>
      <c r="G24" s="13"/>
      <c r="H24" s="15"/>
      <c r="I24" s="15"/>
      <c r="J24" s="15"/>
      <c r="K24" s="15"/>
      <c r="L24" s="15"/>
      <c r="M24" s="16"/>
      <c r="N24" s="15"/>
      <c r="O24" s="15"/>
      <c r="P24" s="15"/>
      <c r="Q24" s="15"/>
      <c r="R24" s="13"/>
      <c r="S24" s="13"/>
      <c r="T24" s="13"/>
      <c r="U24" s="4"/>
      <c r="V24" s="4"/>
      <c r="W24" s="4"/>
      <c r="X24" s="4"/>
      <c r="Y24" s="4"/>
      <c r="Z24" s="4"/>
      <c r="AA24" s="4"/>
    </row>
    <row r="25" spans="1:28" s="10" customFormat="1" x14ac:dyDescent="0.3">
      <c r="A25" s="15"/>
      <c r="B25" s="15"/>
      <c r="C25" s="13"/>
      <c r="D25" s="13"/>
      <c r="E25" s="13"/>
      <c r="F25" s="13"/>
      <c r="G25" s="13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3"/>
      <c r="S25" s="13"/>
      <c r="T25" s="13"/>
      <c r="U25" s="4"/>
      <c r="V25" s="4"/>
      <c r="W25" s="4"/>
      <c r="X25" s="4"/>
      <c r="Y25" s="4"/>
      <c r="Z25" s="4"/>
      <c r="AA25" s="4"/>
    </row>
    <row r="26" spans="1:28" s="10" customFormat="1" x14ac:dyDescent="0.3">
      <c r="A26" s="15"/>
      <c r="B26" s="15"/>
      <c r="C26" s="15"/>
      <c r="D26" s="15"/>
      <c r="E26" s="15"/>
      <c r="F26" s="13"/>
      <c r="G26" s="13"/>
      <c r="H26" s="15"/>
      <c r="I26" s="15"/>
      <c r="J26" s="15"/>
      <c r="K26" s="15"/>
      <c r="L26" s="15"/>
      <c r="M26" s="16"/>
      <c r="N26" s="15"/>
      <c r="O26" s="15"/>
      <c r="P26" s="15"/>
      <c r="Q26" s="15"/>
      <c r="R26" s="13"/>
      <c r="S26" s="13"/>
      <c r="T26" s="13"/>
      <c r="U26" s="4"/>
      <c r="V26" s="4"/>
      <c r="W26" s="4"/>
      <c r="X26" s="4"/>
      <c r="Y26" s="4"/>
      <c r="Z26" s="4"/>
      <c r="AA26" s="4"/>
    </row>
    <row r="27" spans="1:28" s="10" customFormat="1" x14ac:dyDescent="0.3">
      <c r="A27" s="15"/>
      <c r="B27" s="15"/>
      <c r="C27" s="15"/>
      <c r="D27" s="15"/>
      <c r="E27" s="15"/>
      <c r="F27" s="13"/>
      <c r="G27" s="13"/>
      <c r="H27" s="15"/>
      <c r="I27" s="15"/>
      <c r="J27" s="15"/>
      <c r="K27" s="15"/>
      <c r="L27" s="15"/>
      <c r="M27" s="16"/>
      <c r="N27" s="15"/>
      <c r="O27" s="15"/>
      <c r="P27" s="15"/>
      <c r="Q27" s="15"/>
      <c r="R27" s="13"/>
      <c r="S27" s="13"/>
      <c r="T27" s="13"/>
      <c r="U27" s="4"/>
      <c r="V27" s="4"/>
      <c r="W27" s="4"/>
      <c r="X27" s="4"/>
      <c r="Y27" s="4"/>
      <c r="Z27" s="4"/>
      <c r="AA27" s="4"/>
    </row>
    <row r="28" spans="1:28" s="10" customFormat="1" x14ac:dyDescent="0.3">
      <c r="A28" s="15"/>
      <c r="B28" s="15"/>
      <c r="C28" s="15"/>
      <c r="D28" s="15"/>
      <c r="E28" s="15"/>
      <c r="F28" s="13"/>
      <c r="G28" s="13"/>
      <c r="H28" s="15"/>
      <c r="I28" s="15"/>
      <c r="J28" s="15"/>
      <c r="K28" s="15"/>
      <c r="L28" s="15"/>
      <c r="M28" s="16"/>
      <c r="N28" s="15"/>
      <c r="O28" s="15"/>
      <c r="P28" s="15"/>
      <c r="Q28" s="15"/>
      <c r="R28" s="13"/>
      <c r="S28" s="13"/>
      <c r="T28" s="13"/>
      <c r="U28" s="4"/>
      <c r="V28" s="4"/>
      <c r="W28" s="4"/>
      <c r="X28" s="4"/>
      <c r="Y28" s="4"/>
      <c r="Z28" s="4"/>
      <c r="AA28" s="4"/>
    </row>
    <row r="29" spans="1:28" x14ac:dyDescent="0.3">
      <c r="A29" s="15"/>
      <c r="D29" s="15"/>
      <c r="E29" s="15"/>
      <c r="H29" s="15"/>
      <c r="I29" s="15"/>
      <c r="J29" s="15"/>
      <c r="K29" s="15"/>
      <c r="L29" s="15"/>
      <c r="M29" s="16"/>
      <c r="N29" s="15"/>
      <c r="O29" s="15"/>
      <c r="P29" s="15"/>
      <c r="Q29" s="15"/>
      <c r="U29" s="4"/>
      <c r="V29" s="4"/>
      <c r="W29" s="4"/>
      <c r="X29" s="4"/>
      <c r="Y29" s="4"/>
      <c r="Z29" s="4"/>
      <c r="AA29" s="4"/>
      <c r="AB29" s="10"/>
    </row>
    <row r="30" spans="1:28" x14ac:dyDescent="0.3">
      <c r="A30" s="15"/>
      <c r="D30" s="15"/>
      <c r="E30" s="15"/>
      <c r="H30" s="15"/>
      <c r="I30" s="15"/>
      <c r="J30" s="15"/>
      <c r="K30" s="15"/>
      <c r="L30" s="15"/>
      <c r="M30" s="16"/>
      <c r="N30" s="15"/>
      <c r="O30" s="15"/>
      <c r="P30" s="15"/>
      <c r="Q30" s="15"/>
      <c r="U30" s="4"/>
      <c r="V30" s="4"/>
      <c r="W30" s="4"/>
      <c r="X30" s="4"/>
      <c r="Y30" s="4"/>
      <c r="Z30" s="4"/>
      <c r="AA30" s="4"/>
      <c r="AB30" s="10"/>
    </row>
    <row r="31" spans="1:28" x14ac:dyDescent="0.3">
      <c r="A31" s="15"/>
      <c r="D31" s="15"/>
      <c r="E31" s="15"/>
      <c r="H31" s="15"/>
      <c r="I31" s="15"/>
      <c r="J31" s="15"/>
      <c r="K31" s="15"/>
      <c r="L31" s="15"/>
      <c r="M31" s="16"/>
      <c r="N31" s="15"/>
      <c r="O31" s="15"/>
      <c r="P31" s="15"/>
      <c r="Q31" s="15"/>
      <c r="U31" s="4"/>
      <c r="V31" s="4"/>
      <c r="W31" s="4"/>
      <c r="X31" s="4"/>
      <c r="Y31" s="4"/>
      <c r="Z31" s="4"/>
      <c r="AA31" s="4"/>
      <c r="AB31" s="10"/>
    </row>
    <row r="32" spans="1:28" x14ac:dyDescent="0.3">
      <c r="A32" s="15"/>
      <c r="E32" s="15"/>
      <c r="H32" s="15"/>
      <c r="I32" s="15"/>
      <c r="J32" s="15"/>
      <c r="K32" s="15"/>
      <c r="L32" s="15"/>
      <c r="M32" s="16"/>
      <c r="N32" s="15"/>
      <c r="O32" s="15"/>
      <c r="P32" s="15"/>
      <c r="Q32" s="15"/>
      <c r="U32" s="4"/>
      <c r="V32" s="4"/>
      <c r="W32" s="4"/>
      <c r="X32" s="4"/>
      <c r="Y32" s="4"/>
      <c r="Z32" s="4"/>
      <c r="AA32" s="4"/>
      <c r="AB32" s="10"/>
    </row>
    <row r="33" spans="1:28" x14ac:dyDescent="0.3">
      <c r="A33" s="15"/>
      <c r="E33" s="15"/>
      <c r="H33" s="15"/>
      <c r="I33" s="15"/>
      <c r="J33" s="15"/>
      <c r="K33" s="15"/>
      <c r="L33" s="15"/>
      <c r="M33" s="16"/>
      <c r="N33" s="15"/>
      <c r="O33" s="15"/>
      <c r="P33" s="15"/>
      <c r="Q33" s="15"/>
      <c r="U33" s="4"/>
      <c r="V33" s="4"/>
      <c r="W33" s="4"/>
      <c r="X33" s="4"/>
      <c r="Y33" s="4"/>
      <c r="Z33" s="4"/>
      <c r="AA33" s="4"/>
      <c r="AB33" s="10"/>
    </row>
    <row r="34" spans="1:28" x14ac:dyDescent="0.3">
      <c r="A34" s="15"/>
      <c r="E34" s="15"/>
      <c r="H34" s="15"/>
      <c r="I34" s="15"/>
      <c r="J34" s="15"/>
      <c r="K34" s="15"/>
      <c r="L34" s="15"/>
      <c r="M34" s="16"/>
      <c r="N34" s="15"/>
      <c r="O34" s="15"/>
      <c r="P34" s="15"/>
      <c r="Q34" s="15"/>
      <c r="U34" s="4"/>
      <c r="V34" s="4"/>
      <c r="W34" s="4"/>
      <c r="X34" s="4"/>
      <c r="Y34" s="4"/>
      <c r="Z34" s="4"/>
      <c r="AA34" s="4"/>
      <c r="AB34" s="10"/>
    </row>
    <row r="35" spans="1:28" x14ac:dyDescent="0.3">
      <c r="A35" s="15"/>
      <c r="E35" s="15"/>
      <c r="H35" s="15"/>
      <c r="I35" s="15"/>
      <c r="J35" s="15"/>
      <c r="K35" s="15"/>
      <c r="L35" s="15"/>
      <c r="N35" s="15"/>
      <c r="O35" s="15"/>
      <c r="P35" s="15"/>
      <c r="Q35" s="15"/>
      <c r="U35" s="4"/>
      <c r="V35" s="4"/>
      <c r="W35" s="4"/>
      <c r="X35" s="4"/>
      <c r="Y35" s="4"/>
      <c r="Z35" s="4"/>
      <c r="AA35" s="4"/>
      <c r="AB35" s="10"/>
    </row>
    <row r="36" spans="1:28" x14ac:dyDescent="0.3">
      <c r="A36" s="15"/>
      <c r="E36" s="15"/>
      <c r="H36" s="15"/>
      <c r="I36" s="15"/>
      <c r="J36" s="15"/>
      <c r="K36" s="15"/>
      <c r="L36" s="15"/>
      <c r="N36" s="15"/>
      <c r="O36" s="15"/>
      <c r="P36" s="15"/>
      <c r="Q36" s="15"/>
      <c r="U36" s="4"/>
      <c r="V36" s="4"/>
      <c r="W36" s="4"/>
      <c r="X36" s="4"/>
      <c r="Y36" s="4"/>
      <c r="Z36" s="4"/>
      <c r="AA36" s="4"/>
      <c r="AB36" s="10"/>
    </row>
    <row r="37" spans="1:28" x14ac:dyDescent="0.3">
      <c r="A37" s="15"/>
      <c r="E37" s="15"/>
      <c r="H37" s="15"/>
      <c r="I37" s="15"/>
      <c r="J37" s="15"/>
      <c r="K37" s="15"/>
      <c r="L37" s="15"/>
      <c r="N37" s="15"/>
      <c r="O37" s="15"/>
      <c r="P37" s="15"/>
      <c r="Q37" s="15"/>
      <c r="U37" s="4"/>
      <c r="V37" s="4"/>
      <c r="W37" s="4"/>
      <c r="X37" s="4"/>
      <c r="Y37" s="4"/>
      <c r="Z37" s="4"/>
      <c r="AA37" s="4"/>
      <c r="AB37" s="10"/>
    </row>
    <row r="38" spans="1:28" x14ac:dyDescent="0.3">
      <c r="A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U38" s="4"/>
      <c r="V38" s="4"/>
      <c r="W38" s="4"/>
      <c r="X38" s="4"/>
      <c r="Y38" s="4"/>
      <c r="Z38" s="4"/>
      <c r="AA38" s="4"/>
      <c r="AB38" s="10"/>
    </row>
    <row r="39" spans="1:28" x14ac:dyDescent="0.3">
      <c r="A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U39" s="4"/>
      <c r="V39" s="4"/>
      <c r="W39" s="4"/>
      <c r="X39" s="4"/>
      <c r="Y39" s="4"/>
      <c r="Z39" s="4"/>
      <c r="AA39" s="4"/>
      <c r="AB39" s="10"/>
    </row>
    <row r="40" spans="1:28" x14ac:dyDescent="0.3">
      <c r="A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U40" s="4"/>
      <c r="V40" s="4"/>
      <c r="W40" s="4"/>
      <c r="X40" s="4"/>
      <c r="Y40" s="4"/>
      <c r="Z40" s="4"/>
      <c r="AA40" s="4"/>
      <c r="AB40" s="10"/>
    </row>
    <row r="51" spans="28:28" x14ac:dyDescent="0.3">
      <c r="AB51" s="8"/>
    </row>
    <row r="80" spans="2:2" x14ac:dyDescent="0.3">
      <c r="B80" s="18"/>
    </row>
    <row r="91" spans="28:28" x14ac:dyDescent="0.3">
      <c r="AB91" s="8"/>
    </row>
    <row r="138" spans="2:11" x14ac:dyDescent="0.3">
      <c r="B138" s="18"/>
      <c r="D138" s="18"/>
      <c r="K138" s="18"/>
    </row>
    <row r="139" spans="2:11" x14ac:dyDescent="0.3">
      <c r="B139" s="18"/>
      <c r="D139" s="18"/>
      <c r="K139" s="18"/>
    </row>
    <row r="140" spans="2:11" x14ac:dyDescent="0.3">
      <c r="B140" s="18"/>
      <c r="D140" s="18"/>
      <c r="K140" s="18"/>
    </row>
    <row r="141" spans="2:11" x14ac:dyDescent="0.3">
      <c r="B141" s="18"/>
      <c r="D141" s="18"/>
      <c r="K141" s="18"/>
    </row>
    <row r="142" spans="2:11" x14ac:dyDescent="0.3">
      <c r="B142" s="18"/>
      <c r="D142" s="18"/>
      <c r="K142" s="18"/>
    </row>
    <row r="144" spans="2:11" x14ac:dyDescent="0.3">
      <c r="H144" s="18"/>
    </row>
    <row r="145" spans="9:9" x14ac:dyDescent="0.3">
      <c r="I145" s="18"/>
    </row>
    <row r="146" spans="9:9" x14ac:dyDescent="0.3">
      <c r="I146" s="18"/>
    </row>
    <row r="147" spans="9:9" x14ac:dyDescent="0.3">
      <c r="I147" s="18"/>
    </row>
    <row r="148" spans="9:9" x14ac:dyDescent="0.3">
      <c r="I148" s="18"/>
    </row>
    <row r="154" spans="9:9" x14ac:dyDescent="0.3">
      <c r="I154" s="18"/>
    </row>
    <row r="155" spans="9:9" x14ac:dyDescent="0.3">
      <c r="I155" s="18"/>
    </row>
    <row r="156" spans="9:9" x14ac:dyDescent="0.3">
      <c r="I156" s="18"/>
    </row>
    <row r="157" spans="9:9" x14ac:dyDescent="0.3">
      <c r="I157" s="18"/>
    </row>
    <row r="160" spans="9:9" x14ac:dyDescent="0.3">
      <c r="I160" s="18"/>
    </row>
    <row r="182" spans="26:27" ht="14.25" customHeight="1" x14ac:dyDescent="0.3"/>
    <row r="188" spans="26:27" x14ac:dyDescent="0.3">
      <c r="Z188" s="19"/>
    </row>
    <row r="192" spans="26:27" x14ac:dyDescent="0.3">
      <c r="AA192" s="3"/>
    </row>
    <row r="193" spans="27:27" x14ac:dyDescent="0.3">
      <c r="AA193" s="3"/>
    </row>
    <row r="194" spans="27:27" x14ac:dyDescent="0.3">
      <c r="AA194" s="3"/>
    </row>
    <row r="203" spans="27:27" ht="18" customHeight="1" x14ac:dyDescent="0.3"/>
    <row r="218" spans="7:7" x14ac:dyDescent="0.3">
      <c r="G218" s="18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2E52-1C75-4981-8874-819ED570C14C}">
  <dimension ref="A1:AI217"/>
  <sheetViews>
    <sheetView topLeftCell="U1" workbookViewId="0">
      <pane ySplit="1" topLeftCell="A2" activePane="bottomLeft" state="frozen"/>
      <selection pane="bottomLeft" activeCell="A8" sqref="A8:XFD8"/>
    </sheetView>
  </sheetViews>
  <sheetFormatPr defaultColWidth="9.109375" defaultRowHeight="14.4" x14ac:dyDescent="0.3"/>
  <cols>
    <col min="1" max="1" width="9.109375" style="13" customWidth="1"/>
    <col min="2" max="12" width="9.109375" style="13"/>
    <col min="13" max="13" width="8.88671875" style="13" customWidth="1"/>
    <col min="14" max="14" width="9.109375" style="13"/>
    <col min="15" max="16" width="6.33203125" style="13" customWidth="1"/>
    <col min="17" max="20" width="9.109375" style="13"/>
    <col min="21" max="21" width="8.5546875" style="2" customWidth="1"/>
    <col min="22" max="27" width="9.109375" style="2"/>
    <col min="28" max="30" width="9.109375" style="6" customWidth="1"/>
    <col min="31" max="31" width="11.44140625" style="6" customWidth="1"/>
    <col min="32" max="32" width="12.33203125" style="6" customWidth="1"/>
    <col min="33" max="33" width="14.33203125" style="2" customWidth="1"/>
    <col min="34" max="34" width="52.44140625" style="6" customWidth="1"/>
    <col min="35" max="35" width="18.33203125" style="6" customWidth="1"/>
    <col min="36" max="16384" width="9.109375" style="6"/>
  </cols>
  <sheetData>
    <row r="1" spans="1:34" s="5" customFormat="1" x14ac:dyDescent="0.3">
      <c r="A1" s="12" t="s">
        <v>24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87</v>
      </c>
      <c r="G1" s="12" t="s">
        <v>88</v>
      </c>
      <c r="H1" s="12" t="s">
        <v>71</v>
      </c>
      <c r="I1" s="12" t="s">
        <v>32</v>
      </c>
      <c r="J1" s="12" t="s">
        <v>72</v>
      </c>
      <c r="K1" s="12" t="s">
        <v>73</v>
      </c>
      <c r="L1" s="12" t="s">
        <v>74</v>
      </c>
      <c r="M1" s="12" t="s">
        <v>75</v>
      </c>
      <c r="N1" s="12" t="s">
        <v>76</v>
      </c>
      <c r="O1" s="12" t="s">
        <v>77</v>
      </c>
      <c r="P1" s="12" t="s">
        <v>126</v>
      </c>
      <c r="Q1" s="12" t="s">
        <v>78</v>
      </c>
      <c r="R1" s="12" t="s">
        <v>54</v>
      </c>
      <c r="S1" s="12" t="s">
        <v>117</v>
      </c>
      <c r="T1" s="12" t="s">
        <v>134</v>
      </c>
      <c r="U1" s="11" t="s">
        <v>26</v>
      </c>
      <c r="V1" s="11" t="s">
        <v>27</v>
      </c>
      <c r="W1" s="11" t="s">
        <v>25</v>
      </c>
      <c r="X1" s="11" t="s">
        <v>38</v>
      </c>
      <c r="Y1" s="11" t="s">
        <v>39</v>
      </c>
      <c r="Z1" s="11" t="s">
        <v>2</v>
      </c>
      <c r="AA1" s="11" t="s">
        <v>28</v>
      </c>
      <c r="AB1" s="5" t="s">
        <v>37</v>
      </c>
      <c r="AC1" s="5" t="s">
        <v>29</v>
      </c>
      <c r="AD1" s="5" t="s">
        <v>30</v>
      </c>
      <c r="AE1" s="5" t="s">
        <v>3</v>
      </c>
      <c r="AF1" s="5" t="s">
        <v>51</v>
      </c>
      <c r="AG1" s="11" t="s">
        <v>34</v>
      </c>
      <c r="AH1" s="5" t="s">
        <v>0</v>
      </c>
    </row>
    <row r="2" spans="1:34" x14ac:dyDescent="0.3">
      <c r="A2" s="13">
        <v>0.05</v>
      </c>
      <c r="B2" s="13">
        <v>1.9047619047619001E-2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0.476190476190476</v>
      </c>
      <c r="I2" s="13">
        <v>4.7619047619047619</v>
      </c>
      <c r="J2" s="13">
        <v>0.53333333333333333</v>
      </c>
      <c r="K2" s="13">
        <v>0.238095238095238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2">
        <v>452.85</v>
      </c>
      <c r="V2" s="2">
        <v>72</v>
      </c>
      <c r="W2" s="2">
        <v>0</v>
      </c>
      <c r="X2" s="2">
        <v>258</v>
      </c>
      <c r="Y2" s="2">
        <v>0</v>
      </c>
      <c r="Z2" s="2">
        <v>0</v>
      </c>
      <c r="AA2" s="2">
        <v>423</v>
      </c>
      <c r="AB2" s="6">
        <v>55</v>
      </c>
      <c r="AC2" s="6">
        <v>64</v>
      </c>
      <c r="AD2" s="6">
        <v>0.86</v>
      </c>
      <c r="AE2" s="6" t="s">
        <v>19</v>
      </c>
      <c r="AF2" s="6" t="s">
        <v>21</v>
      </c>
      <c r="AG2" s="2">
        <v>1</v>
      </c>
      <c r="AH2" s="6" t="s">
        <v>1</v>
      </c>
    </row>
    <row r="3" spans="1:34" x14ac:dyDescent="0.3">
      <c r="A3" s="13">
        <v>0.05</v>
      </c>
      <c r="B3" s="13">
        <v>9.5238095238095229E-3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0.47619047619047616</v>
      </c>
      <c r="I3" s="13">
        <v>4.7619047619047619</v>
      </c>
      <c r="J3" s="13">
        <v>0.53333333333333333</v>
      </c>
      <c r="K3" s="13">
        <v>0.23809523809523808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2">
        <v>452.85</v>
      </c>
      <c r="V3" s="2">
        <v>72</v>
      </c>
      <c r="W3" s="2">
        <v>0</v>
      </c>
      <c r="X3" s="2">
        <v>258</v>
      </c>
      <c r="Y3" s="2">
        <v>0</v>
      </c>
      <c r="Z3" s="2">
        <v>0</v>
      </c>
      <c r="AA3" s="2">
        <v>423</v>
      </c>
      <c r="AB3" s="6">
        <v>51</v>
      </c>
      <c r="AC3" s="6">
        <v>57</v>
      </c>
      <c r="AD3" s="6">
        <v>0.89</v>
      </c>
      <c r="AE3" s="6" t="s">
        <v>19</v>
      </c>
      <c r="AF3" s="6" t="s">
        <v>21</v>
      </c>
      <c r="AG3" s="2">
        <v>1</v>
      </c>
      <c r="AH3" s="6" t="s">
        <v>1</v>
      </c>
    </row>
    <row r="4" spans="1:34" x14ac:dyDescent="0.3">
      <c r="A4" s="13">
        <v>0.05</v>
      </c>
      <c r="B4" s="13">
        <v>6.6666666666666662E-3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0.47619047619047616</v>
      </c>
      <c r="I4" s="13">
        <v>4.7619047619047619</v>
      </c>
      <c r="J4" s="13">
        <v>0.53333333333333333</v>
      </c>
      <c r="K4" s="13">
        <v>0.23809523809523808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2">
        <v>452.85</v>
      </c>
      <c r="V4" s="2">
        <v>72</v>
      </c>
      <c r="W4" s="2">
        <v>0</v>
      </c>
      <c r="X4" s="2">
        <v>258</v>
      </c>
      <c r="Y4" s="2">
        <v>0</v>
      </c>
      <c r="Z4" s="2">
        <v>0</v>
      </c>
      <c r="AA4" s="2">
        <v>423</v>
      </c>
      <c r="AB4" s="6">
        <v>15</v>
      </c>
      <c r="AC4" s="6">
        <v>45</v>
      </c>
      <c r="AD4" s="6">
        <v>0.33</v>
      </c>
      <c r="AE4" s="6" t="s">
        <v>19</v>
      </c>
      <c r="AF4" s="6" t="s">
        <v>21</v>
      </c>
      <c r="AG4" s="2">
        <v>1</v>
      </c>
      <c r="AH4" s="6" t="s">
        <v>1</v>
      </c>
    </row>
    <row r="5" spans="1:34" x14ac:dyDescent="0.3">
      <c r="A5" s="13">
        <v>0.05</v>
      </c>
      <c r="B5" s="13">
        <v>4.7619047619047615E-3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0.47619047619047616</v>
      </c>
      <c r="I5" s="13">
        <v>4.7619047619047619</v>
      </c>
      <c r="J5" s="13">
        <v>0.53333333333333333</v>
      </c>
      <c r="K5" s="13">
        <v>0.23809523809523808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2">
        <v>452.85</v>
      </c>
      <c r="V5" s="2">
        <v>72</v>
      </c>
      <c r="W5" s="2">
        <v>0</v>
      </c>
      <c r="X5" s="2">
        <v>258</v>
      </c>
      <c r="Y5" s="2">
        <v>0</v>
      </c>
      <c r="Z5" s="2">
        <v>0</v>
      </c>
      <c r="AA5" s="2">
        <v>423</v>
      </c>
      <c r="AB5" s="6">
        <v>9</v>
      </c>
      <c r="AC5" s="6">
        <v>53</v>
      </c>
      <c r="AD5" s="6">
        <v>0.17</v>
      </c>
      <c r="AE5" s="6" t="s">
        <v>19</v>
      </c>
      <c r="AF5" s="6" t="s">
        <v>21</v>
      </c>
      <c r="AG5" s="2">
        <v>1</v>
      </c>
      <c r="AH5" s="6" t="s">
        <v>1</v>
      </c>
    </row>
    <row r="6" spans="1:34" x14ac:dyDescent="0.3">
      <c r="A6" s="13">
        <v>0.05</v>
      </c>
      <c r="B6" s="13">
        <v>1.9047619047619001E-2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0.47619047619047616</v>
      </c>
      <c r="I6" s="13">
        <v>4.7619047619047619</v>
      </c>
      <c r="J6" s="13">
        <v>0.53333333333333333</v>
      </c>
      <c r="K6" s="13">
        <v>0.23809523809523808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2">
        <v>452.85</v>
      </c>
      <c r="V6" s="2">
        <v>72</v>
      </c>
      <c r="W6" s="2">
        <v>0</v>
      </c>
      <c r="X6" s="2">
        <v>258</v>
      </c>
      <c r="Y6" s="2">
        <v>0</v>
      </c>
      <c r="Z6" s="2">
        <v>0</v>
      </c>
      <c r="AA6" s="2">
        <v>573</v>
      </c>
      <c r="AB6" s="6">
        <v>57</v>
      </c>
      <c r="AC6" s="6">
        <v>18</v>
      </c>
      <c r="AD6" s="6">
        <v>2.06</v>
      </c>
      <c r="AE6" s="6" t="s">
        <v>19</v>
      </c>
      <c r="AF6" s="6" t="s">
        <v>21</v>
      </c>
      <c r="AG6" s="2">
        <v>1</v>
      </c>
      <c r="AH6" s="6" t="s">
        <v>1</v>
      </c>
    </row>
    <row r="7" spans="1:34" x14ac:dyDescent="0.3">
      <c r="A7" s="13">
        <v>0.05</v>
      </c>
      <c r="B7" s="13">
        <v>9.5238095238095229E-3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0.47619047619047616</v>
      </c>
      <c r="I7" s="13">
        <v>4.7619047619047619</v>
      </c>
      <c r="J7" s="13">
        <v>0.53333333333333333</v>
      </c>
      <c r="K7" s="13">
        <v>0.23809523809523808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2">
        <v>452.85</v>
      </c>
      <c r="V7" s="2">
        <v>72</v>
      </c>
      <c r="W7" s="2">
        <v>0</v>
      </c>
      <c r="X7" s="2">
        <v>258</v>
      </c>
      <c r="Y7" s="2">
        <v>0</v>
      </c>
      <c r="Z7" s="2">
        <v>0</v>
      </c>
      <c r="AA7" s="2">
        <v>573</v>
      </c>
      <c r="AB7" s="6">
        <v>36</v>
      </c>
      <c r="AC7" s="6">
        <v>15</v>
      </c>
      <c r="AD7" s="6">
        <v>2.4</v>
      </c>
      <c r="AE7" s="6" t="s">
        <v>19</v>
      </c>
      <c r="AF7" s="6" t="s">
        <v>21</v>
      </c>
      <c r="AG7" s="2">
        <v>1</v>
      </c>
      <c r="AH7" s="6" t="s">
        <v>1</v>
      </c>
    </row>
    <row r="8" spans="1:34" x14ac:dyDescent="0.3">
      <c r="A8" s="13">
        <v>0.05</v>
      </c>
      <c r="B8" s="13">
        <v>6.6666666666666662E-3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0.47619047619047616</v>
      </c>
      <c r="I8" s="13">
        <v>4.7619047619047619</v>
      </c>
      <c r="J8" s="13">
        <v>0.53333333333333333</v>
      </c>
      <c r="K8" s="13">
        <v>0.23809523809523808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2">
        <v>452.85</v>
      </c>
      <c r="V8" s="2">
        <v>72</v>
      </c>
      <c r="W8" s="2">
        <v>0</v>
      </c>
      <c r="X8" s="2">
        <v>258</v>
      </c>
      <c r="Y8" s="2">
        <v>0</v>
      </c>
      <c r="Z8" s="2">
        <v>0</v>
      </c>
      <c r="AA8" s="2">
        <v>573</v>
      </c>
      <c r="AB8" s="6">
        <v>13</v>
      </c>
      <c r="AC8" s="6">
        <v>13</v>
      </c>
      <c r="AD8" s="6">
        <v>1</v>
      </c>
      <c r="AE8" s="6" t="s">
        <v>19</v>
      </c>
      <c r="AF8" s="6" t="s">
        <v>21</v>
      </c>
      <c r="AG8" s="2">
        <v>1</v>
      </c>
      <c r="AH8" s="6" t="s">
        <v>1</v>
      </c>
    </row>
    <row r="9" spans="1:34" x14ac:dyDescent="0.3">
      <c r="A9" s="13">
        <v>0.05</v>
      </c>
      <c r="B9" s="13">
        <v>4.7619047619047615E-3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0.47619047619047616</v>
      </c>
      <c r="I9" s="13">
        <v>4.7619047619047619</v>
      </c>
      <c r="J9" s="13">
        <v>0.53333333333333333</v>
      </c>
      <c r="K9" s="13">
        <v>0.23809523809523808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2">
        <v>452.85</v>
      </c>
      <c r="V9" s="2">
        <v>72</v>
      </c>
      <c r="W9" s="2">
        <v>0</v>
      </c>
      <c r="X9" s="2">
        <v>258</v>
      </c>
      <c r="Y9" s="2">
        <v>0</v>
      </c>
      <c r="Z9" s="2">
        <v>0</v>
      </c>
      <c r="AA9" s="2">
        <v>573</v>
      </c>
      <c r="AB9" s="6">
        <v>4</v>
      </c>
      <c r="AC9" s="6">
        <v>11</v>
      </c>
      <c r="AD9" s="6">
        <v>0.36</v>
      </c>
      <c r="AE9" s="6" t="s">
        <v>19</v>
      </c>
      <c r="AF9" s="6" t="s">
        <v>21</v>
      </c>
      <c r="AG9" s="2">
        <v>1</v>
      </c>
      <c r="AH9" s="6" t="s">
        <v>1</v>
      </c>
    </row>
    <row r="10" spans="1:34" x14ac:dyDescent="0.3">
      <c r="A10" s="13">
        <v>0</v>
      </c>
      <c r="B10" s="13">
        <f>1/50</f>
        <v>0.02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0.1</v>
      </c>
      <c r="I10" s="13">
        <v>44</v>
      </c>
      <c r="J10" s="13">
        <v>0</v>
      </c>
      <c r="K10" s="13">
        <v>0.5</v>
      </c>
      <c r="L10" s="13">
        <v>0</v>
      </c>
      <c r="M10" s="13">
        <v>0</v>
      </c>
      <c r="N10" s="13">
        <v>0.09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2">
        <v>408</v>
      </c>
      <c r="V10" s="2">
        <f>24*11</f>
        <v>264</v>
      </c>
      <c r="W10" s="2">
        <v>0</v>
      </c>
      <c r="X10" s="2">
        <v>100</v>
      </c>
      <c r="Y10" s="2">
        <v>0</v>
      </c>
      <c r="Z10" s="2">
        <v>60</v>
      </c>
      <c r="AA10" s="2">
        <v>423</v>
      </c>
      <c r="AB10" s="6">
        <v>39</v>
      </c>
      <c r="AC10" s="6">
        <v>23</v>
      </c>
      <c r="AD10" s="6">
        <f t="shared" ref="AD10:AD41" si="0">AB10/AC10</f>
        <v>1.6956521739130435</v>
      </c>
      <c r="AE10" s="6" t="s">
        <v>33</v>
      </c>
      <c r="AF10" s="6" t="s">
        <v>52</v>
      </c>
      <c r="AG10" s="2">
        <v>2</v>
      </c>
      <c r="AH10" s="7" t="s">
        <v>31</v>
      </c>
    </row>
    <row r="11" spans="1:34" x14ac:dyDescent="0.3">
      <c r="A11" s="13">
        <v>0</v>
      </c>
      <c r="B11" s="13">
        <f>1/50</f>
        <v>0.02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0.1</v>
      </c>
      <c r="I11" s="13">
        <v>44</v>
      </c>
      <c r="J11" s="13">
        <v>0</v>
      </c>
      <c r="K11" s="13">
        <v>0.5</v>
      </c>
      <c r="L11" s="13">
        <v>0</v>
      </c>
      <c r="M11" s="13">
        <v>0</v>
      </c>
      <c r="N11" s="13">
        <v>0.09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2">
        <v>408</v>
      </c>
      <c r="V11" s="2">
        <f>24*11</f>
        <v>264</v>
      </c>
      <c r="W11" s="2">
        <v>0</v>
      </c>
      <c r="X11" s="2">
        <v>100</v>
      </c>
      <c r="Y11" s="2">
        <v>0</v>
      </c>
      <c r="Z11" s="2">
        <v>60</v>
      </c>
      <c r="AA11" s="2">
        <v>523</v>
      </c>
      <c r="AB11" s="6">
        <v>24</v>
      </c>
      <c r="AC11" s="6">
        <v>15</v>
      </c>
      <c r="AD11" s="6">
        <f t="shared" si="0"/>
        <v>1.6</v>
      </c>
      <c r="AE11" s="6" t="s">
        <v>33</v>
      </c>
      <c r="AF11" s="6" t="s">
        <v>52</v>
      </c>
      <c r="AG11" s="2">
        <v>2</v>
      </c>
      <c r="AH11" s="7" t="s">
        <v>31</v>
      </c>
    </row>
    <row r="12" spans="1:34" x14ac:dyDescent="0.3">
      <c r="A12" s="13">
        <v>0</v>
      </c>
      <c r="B12" s="13">
        <f>1/50</f>
        <v>0.02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0.1</v>
      </c>
      <c r="I12" s="13">
        <v>44</v>
      </c>
      <c r="J12" s="13">
        <v>0</v>
      </c>
      <c r="K12" s="13">
        <v>0.5</v>
      </c>
      <c r="L12" s="13">
        <v>0</v>
      </c>
      <c r="M12" s="13">
        <v>0</v>
      </c>
      <c r="N12" s="13">
        <v>0.09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2">
        <v>408</v>
      </c>
      <c r="V12" s="2">
        <f>24*11</f>
        <v>264</v>
      </c>
      <c r="W12" s="2">
        <v>0</v>
      </c>
      <c r="X12" s="2">
        <v>100</v>
      </c>
      <c r="Y12" s="2">
        <v>0</v>
      </c>
      <c r="Z12" s="2">
        <v>60</v>
      </c>
      <c r="AA12" s="2">
        <v>623</v>
      </c>
      <c r="AB12" s="6">
        <v>15</v>
      </c>
      <c r="AC12" s="6">
        <v>14</v>
      </c>
      <c r="AD12" s="6">
        <f t="shared" si="0"/>
        <v>1.0714285714285714</v>
      </c>
      <c r="AE12" s="6" t="s">
        <v>33</v>
      </c>
      <c r="AF12" s="6" t="s">
        <v>52</v>
      </c>
      <c r="AG12" s="2">
        <v>2</v>
      </c>
      <c r="AH12" s="6" t="s">
        <v>31</v>
      </c>
    </row>
    <row r="13" spans="1:34" x14ac:dyDescent="0.3">
      <c r="A13" s="13">
        <v>0</v>
      </c>
      <c r="B13" s="13">
        <f>1/15</f>
        <v>6.6666666666666666E-2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0.1</v>
      </c>
      <c r="I13" s="13">
        <v>20</v>
      </c>
      <c r="J13" s="13">
        <v>0</v>
      </c>
      <c r="K13" s="13">
        <v>0.2</v>
      </c>
      <c r="L13" s="13">
        <v>0</v>
      </c>
      <c r="M13" s="13">
        <v>0</v>
      </c>
      <c r="N13" s="13">
        <f>0.105/2</f>
        <v>5.2499999999999998E-2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2">
        <v>423</v>
      </c>
      <c r="V13" s="2">
        <f>24*3</f>
        <v>72</v>
      </c>
      <c r="W13" s="2">
        <v>0</v>
      </c>
      <c r="X13" s="2">
        <v>100</v>
      </c>
      <c r="Y13" s="2">
        <v>0</v>
      </c>
      <c r="Z13" s="2">
        <v>60</v>
      </c>
      <c r="AA13" s="2">
        <v>473</v>
      </c>
      <c r="AB13" s="6">
        <f>0.16*1000</f>
        <v>160</v>
      </c>
      <c r="AC13" s="6">
        <f>0.08*1000</f>
        <v>80</v>
      </c>
      <c r="AD13" s="6">
        <f t="shared" si="0"/>
        <v>2</v>
      </c>
      <c r="AE13" s="6" t="s">
        <v>36</v>
      </c>
      <c r="AF13" s="6" t="s">
        <v>52</v>
      </c>
      <c r="AG13" s="2">
        <v>3</v>
      </c>
      <c r="AH13" s="7" t="s">
        <v>35</v>
      </c>
    </row>
    <row r="14" spans="1:34" x14ac:dyDescent="0.3">
      <c r="A14" s="13">
        <v>0</v>
      </c>
      <c r="B14" s="13">
        <f>1/15</f>
        <v>6.6666666666666666E-2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0.1</v>
      </c>
      <c r="I14" s="13">
        <v>20</v>
      </c>
      <c r="J14" s="13">
        <v>0</v>
      </c>
      <c r="K14" s="13">
        <v>0.2</v>
      </c>
      <c r="L14" s="13">
        <v>0</v>
      </c>
      <c r="M14" s="13">
        <v>0</v>
      </c>
      <c r="N14" s="13">
        <f>0.105/2</f>
        <v>5.2499999999999998E-2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2">
        <v>423</v>
      </c>
      <c r="V14" s="2">
        <f>24*3</f>
        <v>72</v>
      </c>
      <c r="W14" s="2">
        <v>0</v>
      </c>
      <c r="X14" s="2">
        <v>100</v>
      </c>
      <c r="Y14" s="2">
        <v>0</v>
      </c>
      <c r="Z14" s="2">
        <v>60</v>
      </c>
      <c r="AA14" s="2">
        <f>273+350</f>
        <v>623</v>
      </c>
      <c r="AB14" s="6">
        <f>0.14*1000</f>
        <v>140</v>
      </c>
      <c r="AC14" s="6">
        <f>0.03*1000</f>
        <v>30</v>
      </c>
      <c r="AD14" s="6">
        <f t="shared" si="0"/>
        <v>4.666666666666667</v>
      </c>
      <c r="AE14" s="6" t="s">
        <v>36</v>
      </c>
      <c r="AF14" s="6" t="s">
        <v>52</v>
      </c>
      <c r="AG14" s="2">
        <v>3</v>
      </c>
      <c r="AH14" s="7" t="s">
        <v>35</v>
      </c>
    </row>
    <row r="15" spans="1:34" x14ac:dyDescent="0.3">
      <c r="A15" s="13">
        <v>0</v>
      </c>
      <c r="B15" s="13">
        <f>1/15</f>
        <v>6.6666666666666666E-2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f>0.2</f>
        <v>0.2</v>
      </c>
      <c r="I15" s="13">
        <v>30</v>
      </c>
      <c r="J15" s="13">
        <v>0</v>
      </c>
      <c r="K15" s="13">
        <v>0.3</v>
      </c>
      <c r="L15" s="13">
        <v>0</v>
      </c>
      <c r="M15" s="13">
        <v>0</v>
      </c>
      <c r="N15" s="13">
        <f>0.205/2</f>
        <v>0.10249999999999999</v>
      </c>
      <c r="O15" s="13">
        <v>0</v>
      </c>
      <c r="P15" s="13">
        <v>0</v>
      </c>
      <c r="Q15" s="13">
        <v>0.3</v>
      </c>
      <c r="R15" s="13">
        <v>0</v>
      </c>
      <c r="S15" s="13">
        <v>0</v>
      </c>
      <c r="T15" s="13">
        <v>0</v>
      </c>
      <c r="U15" s="2">
        <v>423</v>
      </c>
      <c r="V15" s="2">
        <f>24*3</f>
        <v>72</v>
      </c>
      <c r="W15" s="2">
        <v>0</v>
      </c>
      <c r="X15" s="2">
        <v>104</v>
      </c>
      <c r="Y15" s="2">
        <v>0</v>
      </c>
      <c r="Z15" s="2">
        <v>60</v>
      </c>
      <c r="AA15" s="2">
        <v>473</v>
      </c>
      <c r="AB15" s="6">
        <f>0.21*1000</f>
        <v>210</v>
      </c>
      <c r="AC15" s="6">
        <f>0.1*1000</f>
        <v>100</v>
      </c>
      <c r="AD15" s="6">
        <f t="shared" si="0"/>
        <v>2.1</v>
      </c>
      <c r="AE15" s="6" t="s">
        <v>36</v>
      </c>
      <c r="AF15" s="6" t="s">
        <v>52</v>
      </c>
      <c r="AG15" s="2">
        <v>3</v>
      </c>
      <c r="AH15" s="7" t="s">
        <v>35</v>
      </c>
    </row>
    <row r="16" spans="1:34" x14ac:dyDescent="0.3">
      <c r="A16" s="13">
        <v>0</v>
      </c>
      <c r="B16" s="13">
        <f>1/15</f>
        <v>6.6666666666666666E-2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f>0.2</f>
        <v>0.2</v>
      </c>
      <c r="I16" s="13">
        <v>30</v>
      </c>
      <c r="J16" s="13">
        <v>0</v>
      </c>
      <c r="K16" s="13">
        <v>0.3</v>
      </c>
      <c r="L16" s="13">
        <v>0</v>
      </c>
      <c r="M16" s="13">
        <v>0</v>
      </c>
      <c r="N16" s="13">
        <f>0.205/2</f>
        <v>0.10249999999999999</v>
      </c>
      <c r="O16" s="13">
        <v>0</v>
      </c>
      <c r="P16" s="13">
        <v>0</v>
      </c>
      <c r="Q16" s="13">
        <v>0.3</v>
      </c>
      <c r="R16" s="13">
        <v>0</v>
      </c>
      <c r="S16" s="13">
        <v>0</v>
      </c>
      <c r="T16" s="13">
        <v>0</v>
      </c>
      <c r="U16" s="2">
        <v>423</v>
      </c>
      <c r="V16" s="2">
        <f>24*3</f>
        <v>72</v>
      </c>
      <c r="W16" s="2">
        <v>0</v>
      </c>
      <c r="X16" s="2">
        <v>104</v>
      </c>
      <c r="Y16" s="2">
        <v>0</v>
      </c>
      <c r="Z16" s="2">
        <v>60</v>
      </c>
      <c r="AA16" s="2">
        <f>273+350</f>
        <v>623</v>
      </c>
      <c r="AB16" s="6">
        <f>0.17*1000</f>
        <v>170</v>
      </c>
      <c r="AC16" s="6">
        <f>0.07*1000</f>
        <v>70</v>
      </c>
      <c r="AD16" s="6">
        <f t="shared" si="0"/>
        <v>2.4285714285714284</v>
      </c>
      <c r="AE16" s="6" t="s">
        <v>36</v>
      </c>
      <c r="AF16" s="6" t="s">
        <v>52</v>
      </c>
      <c r="AG16" s="2">
        <v>3</v>
      </c>
      <c r="AH16" s="7" t="s">
        <v>35</v>
      </c>
    </row>
    <row r="17" spans="1:35" s="10" customFormat="1" x14ac:dyDescent="0.3">
      <c r="A17" s="15">
        <v>0</v>
      </c>
      <c r="B17" s="15">
        <v>0.01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0.01</v>
      </c>
      <c r="I17" s="15">
        <v>5</v>
      </c>
      <c r="J17" s="15">
        <v>0.5</v>
      </c>
      <c r="K17" s="15">
        <v>0.5</v>
      </c>
      <c r="L17" s="15">
        <v>0.01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4">
        <f>273+170</f>
        <v>443</v>
      </c>
      <c r="V17" s="4">
        <v>96</v>
      </c>
      <c r="W17" s="4">
        <v>1</v>
      </c>
      <c r="X17" s="4">
        <v>222</v>
      </c>
      <c r="Y17" s="4">
        <v>68</v>
      </c>
      <c r="Z17" s="4">
        <v>15</v>
      </c>
      <c r="AA17" s="4">
        <f t="shared" ref="AA17:AA23" si="1">273+150</f>
        <v>423</v>
      </c>
      <c r="AB17" s="10">
        <v>148</v>
      </c>
      <c r="AC17" s="10">
        <v>30</v>
      </c>
      <c r="AD17" s="10">
        <f t="shared" si="0"/>
        <v>4.9333333333333336</v>
      </c>
      <c r="AE17" s="10" t="s">
        <v>40</v>
      </c>
      <c r="AF17" s="10" t="s">
        <v>40</v>
      </c>
      <c r="AG17" s="4">
        <v>4</v>
      </c>
      <c r="AH17" s="20" t="s">
        <v>41</v>
      </c>
      <c r="AI17" s="10" t="s">
        <v>97</v>
      </c>
    </row>
    <row r="18" spans="1:35" s="10" customFormat="1" x14ac:dyDescent="0.3">
      <c r="A18" s="15">
        <v>0</v>
      </c>
      <c r="B18" s="15">
        <v>0.02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0.02</v>
      </c>
      <c r="I18" s="15">
        <v>5</v>
      </c>
      <c r="J18" s="15">
        <v>0.5</v>
      </c>
      <c r="K18" s="15">
        <v>0.5</v>
      </c>
      <c r="L18" s="15">
        <v>0.02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4">
        <f>273+170</f>
        <v>443</v>
      </c>
      <c r="V18" s="4">
        <v>96</v>
      </c>
      <c r="W18" s="4">
        <v>1</v>
      </c>
      <c r="X18" s="4">
        <v>222</v>
      </c>
      <c r="Y18" s="4">
        <v>68</v>
      </c>
      <c r="Z18" s="4">
        <v>15</v>
      </c>
      <c r="AA18" s="4">
        <f t="shared" si="1"/>
        <v>423</v>
      </c>
      <c r="AB18" s="10">
        <v>205</v>
      </c>
      <c r="AC18" s="10">
        <v>96</v>
      </c>
      <c r="AD18" s="10">
        <f t="shared" si="0"/>
        <v>2.1354166666666665</v>
      </c>
      <c r="AE18" s="10" t="s">
        <v>40</v>
      </c>
      <c r="AF18" s="10" t="s">
        <v>40</v>
      </c>
      <c r="AG18" s="4">
        <v>4</v>
      </c>
      <c r="AH18" s="10" t="s">
        <v>41</v>
      </c>
      <c r="AI18" s="10" t="s">
        <v>97</v>
      </c>
    </row>
    <row r="19" spans="1:35" s="10" customFormat="1" x14ac:dyDescent="0.3">
      <c r="A19" s="15">
        <v>0</v>
      </c>
      <c r="B19" s="15">
        <v>0.04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0.04</v>
      </c>
      <c r="I19" s="15">
        <v>5</v>
      </c>
      <c r="J19" s="15">
        <v>0.5</v>
      </c>
      <c r="K19" s="15">
        <v>0.5</v>
      </c>
      <c r="L19" s="15">
        <v>0.04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4">
        <f>273+170</f>
        <v>443</v>
      </c>
      <c r="V19" s="4">
        <v>96</v>
      </c>
      <c r="W19" s="4">
        <v>1</v>
      </c>
      <c r="X19" s="4">
        <v>222</v>
      </c>
      <c r="Y19" s="4">
        <v>68</v>
      </c>
      <c r="Z19" s="4">
        <v>15</v>
      </c>
      <c r="AA19" s="4">
        <f t="shared" si="1"/>
        <v>423</v>
      </c>
      <c r="AB19" s="10">
        <v>334</v>
      </c>
      <c r="AC19" s="10">
        <v>163</v>
      </c>
      <c r="AD19" s="10">
        <f t="shared" si="0"/>
        <v>2.0490797546012272</v>
      </c>
      <c r="AE19" s="10" t="s">
        <v>40</v>
      </c>
      <c r="AF19" s="10" t="s">
        <v>40</v>
      </c>
      <c r="AG19" s="4">
        <v>4</v>
      </c>
      <c r="AH19" s="20" t="s">
        <v>41</v>
      </c>
      <c r="AI19" s="10" t="s">
        <v>97</v>
      </c>
    </row>
    <row r="20" spans="1:35" s="10" customFormat="1" x14ac:dyDescent="0.3">
      <c r="A20" s="15">
        <v>0</v>
      </c>
      <c r="B20" s="15">
        <v>6.7000000000000004E-2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6.7000000000000004E-2</v>
      </c>
      <c r="I20" s="15">
        <v>5</v>
      </c>
      <c r="J20" s="15">
        <v>0.5</v>
      </c>
      <c r="K20" s="15">
        <v>0.5</v>
      </c>
      <c r="L20" s="15">
        <v>6.7000000000000004E-2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4">
        <f>273+170</f>
        <v>443</v>
      </c>
      <c r="V20" s="4">
        <v>96</v>
      </c>
      <c r="W20" s="4">
        <v>1</v>
      </c>
      <c r="X20" s="4">
        <v>222</v>
      </c>
      <c r="Y20" s="4">
        <v>68</v>
      </c>
      <c r="Z20" s="4">
        <v>15</v>
      </c>
      <c r="AA20" s="4">
        <f t="shared" si="1"/>
        <v>423</v>
      </c>
      <c r="AB20" s="10">
        <v>424</v>
      </c>
      <c r="AC20" s="10">
        <v>205</v>
      </c>
      <c r="AD20" s="10">
        <f t="shared" si="0"/>
        <v>2.0682926829268293</v>
      </c>
      <c r="AE20" s="10" t="s">
        <v>40</v>
      </c>
      <c r="AF20" s="10" t="s">
        <v>40</v>
      </c>
      <c r="AG20" s="4">
        <v>4</v>
      </c>
      <c r="AH20" s="10" t="s">
        <v>41</v>
      </c>
      <c r="AI20" s="10" t="s">
        <v>97</v>
      </c>
    </row>
    <row r="21" spans="1:35" s="10" customFormat="1" x14ac:dyDescent="0.3">
      <c r="A21" s="15">
        <v>0</v>
      </c>
      <c r="B21" s="15">
        <f>1/30</f>
        <v>3.3333333333333333E-2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f>1368/30</f>
        <v>45.6</v>
      </c>
      <c r="J21" s="15">
        <v>0</v>
      </c>
      <c r="K21" s="15">
        <f>13.7/30</f>
        <v>0.45666666666666667</v>
      </c>
      <c r="L21" s="15">
        <v>0</v>
      </c>
      <c r="M21" s="15">
        <v>0</v>
      </c>
      <c r="N21" s="15">
        <f>9.83/30</f>
        <v>0.32766666666666666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4">
        <v>423</v>
      </c>
      <c r="V21" s="4">
        <v>80</v>
      </c>
      <c r="W21" s="4">
        <v>0</v>
      </c>
      <c r="X21" s="4">
        <v>100</v>
      </c>
      <c r="Y21" s="4">
        <v>0</v>
      </c>
      <c r="Z21" s="4">
        <v>250</v>
      </c>
      <c r="AA21" s="4">
        <f t="shared" si="1"/>
        <v>423</v>
      </c>
      <c r="AB21" s="10">
        <v>570</v>
      </c>
      <c r="AC21" s="10">
        <v>195</v>
      </c>
      <c r="AD21" s="10">
        <f t="shared" si="0"/>
        <v>2.9230769230769229</v>
      </c>
      <c r="AE21" s="10" t="s">
        <v>33</v>
      </c>
      <c r="AF21" s="10" t="s">
        <v>52</v>
      </c>
      <c r="AG21" s="4">
        <v>5</v>
      </c>
      <c r="AH21" s="17" t="s">
        <v>42</v>
      </c>
    </row>
    <row r="22" spans="1:35" s="10" customFormat="1" x14ac:dyDescent="0.3">
      <c r="A22" s="15">
        <v>0</v>
      </c>
      <c r="B22" s="15">
        <f>1/14</f>
        <v>7.1428571428571425E-2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f>1368/14</f>
        <v>97.714285714285708</v>
      </c>
      <c r="J22" s="15">
        <v>0</v>
      </c>
      <c r="K22" s="15">
        <f>13.7/14</f>
        <v>0.97857142857142854</v>
      </c>
      <c r="L22" s="15">
        <v>0</v>
      </c>
      <c r="M22" s="15">
        <v>0</v>
      </c>
      <c r="N22" s="15">
        <f>9.83/14</f>
        <v>0.70214285714285718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4">
        <v>423</v>
      </c>
      <c r="V22" s="4">
        <v>80</v>
      </c>
      <c r="W22" s="4">
        <v>0</v>
      </c>
      <c r="X22" s="4">
        <v>100</v>
      </c>
      <c r="Y22" s="4">
        <v>0</v>
      </c>
      <c r="Z22" s="4">
        <v>250</v>
      </c>
      <c r="AA22" s="4">
        <f t="shared" si="1"/>
        <v>423</v>
      </c>
      <c r="AB22" s="10">
        <v>555</v>
      </c>
      <c r="AC22" s="10">
        <v>125</v>
      </c>
      <c r="AD22" s="10">
        <f t="shared" si="0"/>
        <v>4.4400000000000004</v>
      </c>
      <c r="AE22" s="10" t="s">
        <v>33</v>
      </c>
      <c r="AF22" s="10" t="s">
        <v>52</v>
      </c>
      <c r="AG22" s="4">
        <v>5</v>
      </c>
      <c r="AH22" s="17" t="s">
        <v>42</v>
      </c>
    </row>
    <row r="23" spans="1:35" s="10" customFormat="1" x14ac:dyDescent="0.3">
      <c r="A23" s="15">
        <v>0</v>
      </c>
      <c r="B23" s="15">
        <f>1/10</f>
        <v>0.1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f>1368/10</f>
        <v>136.80000000000001</v>
      </c>
      <c r="J23" s="15">
        <v>0</v>
      </c>
      <c r="K23" s="15">
        <f>13.7/10</f>
        <v>1.3699999999999999</v>
      </c>
      <c r="L23" s="15">
        <v>0</v>
      </c>
      <c r="M23" s="15">
        <v>0</v>
      </c>
      <c r="N23" s="15">
        <f>9.83/10</f>
        <v>0.98299999999999998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4">
        <v>423</v>
      </c>
      <c r="V23" s="4">
        <v>80</v>
      </c>
      <c r="W23" s="4">
        <v>0</v>
      </c>
      <c r="X23" s="4">
        <v>100</v>
      </c>
      <c r="Y23" s="4">
        <v>0</v>
      </c>
      <c r="Z23" s="4">
        <v>250</v>
      </c>
      <c r="AA23" s="4">
        <f t="shared" si="1"/>
        <v>423</v>
      </c>
      <c r="AB23" s="10">
        <v>330</v>
      </c>
      <c r="AC23" s="10">
        <v>45</v>
      </c>
      <c r="AD23" s="10">
        <f t="shared" si="0"/>
        <v>7.333333333333333</v>
      </c>
      <c r="AE23" s="10" t="s">
        <v>33</v>
      </c>
      <c r="AF23" s="10" t="s">
        <v>52</v>
      </c>
      <c r="AG23" s="4">
        <v>5</v>
      </c>
      <c r="AH23" s="17" t="s">
        <v>42</v>
      </c>
    </row>
    <row r="24" spans="1:35" s="10" customFormat="1" x14ac:dyDescent="0.3">
      <c r="A24" s="15">
        <v>0</v>
      </c>
      <c r="B24" s="15">
        <f>1/15</f>
        <v>6.6666666666666666E-2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5">
        <f>0.44+0.2</f>
        <v>0.64</v>
      </c>
      <c r="I24" s="15">
        <v>30</v>
      </c>
      <c r="J24" s="15">
        <v>0</v>
      </c>
      <c r="K24" s="15">
        <v>0.1</v>
      </c>
      <c r="L24" s="15">
        <v>0</v>
      </c>
      <c r="M24" s="16">
        <v>0</v>
      </c>
      <c r="N24" s="15">
        <v>0</v>
      </c>
      <c r="O24" s="15">
        <f>0.22</f>
        <v>0.22</v>
      </c>
      <c r="P24" s="13">
        <v>0</v>
      </c>
      <c r="Q24" s="15">
        <v>0</v>
      </c>
      <c r="R24" s="13">
        <v>0</v>
      </c>
      <c r="S24" s="13">
        <v>0</v>
      </c>
      <c r="T24" s="13">
        <v>0</v>
      </c>
      <c r="U24" s="4">
        <f>273+160</f>
        <v>433</v>
      </c>
      <c r="V24" s="4">
        <v>288</v>
      </c>
      <c r="W24" s="4">
        <v>0</v>
      </c>
      <c r="X24" s="4">
        <v>303</v>
      </c>
      <c r="Y24" s="4">
        <v>0</v>
      </c>
      <c r="Z24" s="4">
        <v>0</v>
      </c>
      <c r="AA24" s="4">
        <f>273+170</f>
        <v>443</v>
      </c>
      <c r="AB24" s="10">
        <v>0.98</v>
      </c>
      <c r="AC24" s="10">
        <v>0.09</v>
      </c>
      <c r="AD24" s="10">
        <f t="shared" si="0"/>
        <v>10.888888888888889</v>
      </c>
      <c r="AE24" s="10" t="s">
        <v>43</v>
      </c>
      <c r="AF24" s="10" t="s">
        <v>53</v>
      </c>
      <c r="AG24" s="4">
        <v>7</v>
      </c>
      <c r="AH24" s="17" t="s">
        <v>45</v>
      </c>
    </row>
    <row r="25" spans="1:35" s="10" customFormat="1" x14ac:dyDescent="0.3">
      <c r="A25" s="15">
        <v>0</v>
      </c>
      <c r="B25" s="15">
        <v>2.5000000000000001E-2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5">
        <f>0.2+0.6</f>
        <v>0.8</v>
      </c>
      <c r="I25" s="15">
        <v>38</v>
      </c>
      <c r="J25" s="15">
        <v>0</v>
      </c>
      <c r="K25" s="15">
        <v>0.1</v>
      </c>
      <c r="L25" s="15">
        <v>0</v>
      </c>
      <c r="M25" s="15">
        <v>0</v>
      </c>
      <c r="N25" s="15">
        <v>0</v>
      </c>
      <c r="O25" s="15">
        <v>0.3</v>
      </c>
      <c r="P25" s="13">
        <v>0</v>
      </c>
      <c r="Q25" s="15">
        <v>0</v>
      </c>
      <c r="R25" s="13">
        <v>0</v>
      </c>
      <c r="S25" s="13">
        <v>0</v>
      </c>
      <c r="T25" s="13">
        <v>0</v>
      </c>
      <c r="U25" s="4">
        <f>273+170</f>
        <v>443</v>
      </c>
      <c r="V25" s="4">
        <v>144</v>
      </c>
      <c r="W25" s="4">
        <v>0</v>
      </c>
      <c r="X25" s="4">
        <v>303</v>
      </c>
      <c r="Y25" s="4">
        <v>0</v>
      </c>
      <c r="Z25" s="4">
        <v>0</v>
      </c>
      <c r="AA25" s="4">
        <f>273+170</f>
        <v>443</v>
      </c>
      <c r="AB25" s="10">
        <v>4.41</v>
      </c>
      <c r="AC25" s="10">
        <v>0.65</v>
      </c>
      <c r="AD25" s="10">
        <f t="shared" si="0"/>
        <v>6.7846153846153845</v>
      </c>
      <c r="AE25" s="10" t="s">
        <v>44</v>
      </c>
      <c r="AF25" s="10" t="s">
        <v>53</v>
      </c>
      <c r="AG25" s="4">
        <v>7</v>
      </c>
      <c r="AH25" s="17" t="s">
        <v>45</v>
      </c>
    </row>
    <row r="26" spans="1:35" s="10" customFormat="1" x14ac:dyDescent="0.3">
      <c r="A26" s="15">
        <f t="shared" ref="A26:A40" si="2">0.022/0.044</f>
        <v>0.5</v>
      </c>
      <c r="B26" s="15">
        <f>1/66</f>
        <v>1.5151515151515152E-2</v>
      </c>
      <c r="C26" s="15">
        <v>0</v>
      </c>
      <c r="D26" s="15">
        <v>0</v>
      </c>
      <c r="E26" s="15">
        <v>0</v>
      </c>
      <c r="F26" s="13">
        <v>0</v>
      </c>
      <c r="G26" s="13">
        <v>0</v>
      </c>
      <c r="H26" s="15">
        <v>0.4</v>
      </c>
      <c r="I26" s="15">
        <v>33</v>
      </c>
      <c r="J26" s="15">
        <v>0</v>
      </c>
      <c r="K26" s="15">
        <v>0.4</v>
      </c>
      <c r="L26" s="15">
        <v>0</v>
      </c>
      <c r="M26" s="16">
        <v>0</v>
      </c>
      <c r="N26" s="15">
        <v>0</v>
      </c>
      <c r="O26" s="15">
        <v>0</v>
      </c>
      <c r="P26" s="13">
        <v>0</v>
      </c>
      <c r="Q26" s="15">
        <v>0</v>
      </c>
      <c r="R26" s="13">
        <v>0</v>
      </c>
      <c r="S26" s="13">
        <v>0</v>
      </c>
      <c r="T26" s="13">
        <v>0</v>
      </c>
      <c r="U26" s="4">
        <f t="shared" ref="U26:U40" si="3">273+175</f>
        <v>448</v>
      </c>
      <c r="V26" s="4">
        <f t="shared" ref="V26:V40" si="4">24*21</f>
        <v>504</v>
      </c>
      <c r="W26" s="4">
        <v>0</v>
      </c>
      <c r="X26" s="4">
        <v>202</v>
      </c>
      <c r="Y26" s="4">
        <v>0</v>
      </c>
      <c r="Z26" s="4">
        <v>30</v>
      </c>
      <c r="AA26" s="4">
        <f>273+150</f>
        <v>423</v>
      </c>
      <c r="AB26" s="10">
        <v>0.06</v>
      </c>
      <c r="AC26" s="10">
        <v>0.1</v>
      </c>
      <c r="AD26" s="10">
        <f t="shared" si="0"/>
        <v>0.6</v>
      </c>
      <c r="AE26" s="10" t="s">
        <v>12</v>
      </c>
      <c r="AF26" s="10" t="s">
        <v>12</v>
      </c>
      <c r="AG26" s="4">
        <v>8</v>
      </c>
      <c r="AH26" s="10" t="s">
        <v>46</v>
      </c>
    </row>
    <row r="27" spans="1:35" s="10" customFormat="1" x14ac:dyDescent="0.3">
      <c r="A27" s="15">
        <f t="shared" si="2"/>
        <v>0.5</v>
      </c>
      <c r="B27" s="15">
        <f>1/66</f>
        <v>1.5151515151515152E-2</v>
      </c>
      <c r="C27" s="15">
        <v>0</v>
      </c>
      <c r="D27" s="15">
        <v>0</v>
      </c>
      <c r="E27" s="15">
        <v>0</v>
      </c>
      <c r="F27" s="13">
        <v>0</v>
      </c>
      <c r="G27" s="13">
        <v>0</v>
      </c>
      <c r="H27" s="15">
        <v>0.4</v>
      </c>
      <c r="I27" s="15">
        <v>33</v>
      </c>
      <c r="J27" s="15">
        <v>0</v>
      </c>
      <c r="K27" s="15">
        <v>0.4</v>
      </c>
      <c r="L27" s="15">
        <v>0</v>
      </c>
      <c r="M27" s="16">
        <v>0</v>
      </c>
      <c r="N27" s="15">
        <v>0</v>
      </c>
      <c r="O27" s="15">
        <v>0</v>
      </c>
      <c r="P27" s="13">
        <v>0</v>
      </c>
      <c r="Q27" s="15">
        <v>0</v>
      </c>
      <c r="R27" s="13">
        <v>0</v>
      </c>
      <c r="S27" s="13">
        <v>0</v>
      </c>
      <c r="T27" s="13">
        <v>0</v>
      </c>
      <c r="U27" s="4">
        <f t="shared" si="3"/>
        <v>448</v>
      </c>
      <c r="V27" s="4">
        <f t="shared" si="4"/>
        <v>504</v>
      </c>
      <c r="W27" s="4">
        <v>0</v>
      </c>
      <c r="X27" s="4">
        <v>202</v>
      </c>
      <c r="Y27" s="4">
        <v>0</v>
      </c>
      <c r="Z27" s="4">
        <v>30</v>
      </c>
      <c r="AA27" s="4">
        <f>273+250</f>
        <v>523</v>
      </c>
      <c r="AB27" s="10">
        <v>0.04</v>
      </c>
      <c r="AC27" s="10">
        <v>0.06</v>
      </c>
      <c r="AD27" s="10">
        <f t="shared" si="0"/>
        <v>0.66666666666666674</v>
      </c>
      <c r="AE27" s="10" t="s">
        <v>12</v>
      </c>
      <c r="AF27" s="10" t="s">
        <v>12</v>
      </c>
      <c r="AG27" s="4">
        <v>8</v>
      </c>
      <c r="AH27" s="10" t="s">
        <v>46</v>
      </c>
    </row>
    <row r="28" spans="1:35" s="10" customFormat="1" x14ac:dyDescent="0.3">
      <c r="A28" s="15">
        <f t="shared" si="2"/>
        <v>0.5</v>
      </c>
      <c r="B28" s="15">
        <f>1/66</f>
        <v>1.5151515151515152E-2</v>
      </c>
      <c r="C28" s="15">
        <v>0</v>
      </c>
      <c r="D28" s="15">
        <v>0</v>
      </c>
      <c r="E28" s="15">
        <v>0</v>
      </c>
      <c r="F28" s="13">
        <v>0</v>
      </c>
      <c r="G28" s="13">
        <v>0</v>
      </c>
      <c r="H28" s="15">
        <v>0.4</v>
      </c>
      <c r="I28" s="15">
        <v>33</v>
      </c>
      <c r="J28" s="15">
        <v>0</v>
      </c>
      <c r="K28" s="15">
        <v>0.4</v>
      </c>
      <c r="L28" s="15">
        <v>0</v>
      </c>
      <c r="M28" s="16">
        <v>0</v>
      </c>
      <c r="N28" s="15">
        <v>0</v>
      </c>
      <c r="O28" s="15">
        <v>0</v>
      </c>
      <c r="P28" s="13">
        <v>0</v>
      </c>
      <c r="Q28" s="15">
        <v>0</v>
      </c>
      <c r="R28" s="13">
        <v>0</v>
      </c>
      <c r="S28" s="13">
        <v>0</v>
      </c>
      <c r="T28" s="13">
        <v>0</v>
      </c>
      <c r="U28" s="4">
        <f t="shared" si="3"/>
        <v>448</v>
      </c>
      <c r="V28" s="4">
        <f t="shared" si="4"/>
        <v>504</v>
      </c>
      <c r="W28" s="4">
        <v>0</v>
      </c>
      <c r="X28" s="4">
        <v>202</v>
      </c>
      <c r="Y28" s="4">
        <v>0</v>
      </c>
      <c r="Z28" s="4">
        <v>30</v>
      </c>
      <c r="AA28" s="4">
        <f>273+350</f>
        <v>623</v>
      </c>
      <c r="AB28" s="10">
        <v>0.02</v>
      </c>
      <c r="AC28" s="10">
        <v>0.06</v>
      </c>
      <c r="AD28" s="10">
        <f t="shared" si="0"/>
        <v>0.33333333333333337</v>
      </c>
      <c r="AE28" s="10" t="s">
        <v>12</v>
      </c>
      <c r="AF28" s="10" t="s">
        <v>12</v>
      </c>
      <c r="AG28" s="4">
        <v>8</v>
      </c>
      <c r="AH28" s="10" t="s">
        <v>46</v>
      </c>
    </row>
    <row r="29" spans="1:35" x14ac:dyDescent="0.3">
      <c r="A29" s="15">
        <f t="shared" si="2"/>
        <v>0.5</v>
      </c>
      <c r="B29" s="13">
        <v>0</v>
      </c>
      <c r="C29" s="13">
        <f>1/66</f>
        <v>1.5151515151515152E-2</v>
      </c>
      <c r="D29" s="15">
        <v>0</v>
      </c>
      <c r="E29" s="15">
        <v>0</v>
      </c>
      <c r="F29" s="13">
        <v>0</v>
      </c>
      <c r="G29" s="13">
        <v>0</v>
      </c>
      <c r="H29" s="15">
        <v>0.4</v>
      </c>
      <c r="I29" s="15">
        <v>33</v>
      </c>
      <c r="J29" s="15">
        <v>0</v>
      </c>
      <c r="K29" s="15">
        <v>0.4</v>
      </c>
      <c r="L29" s="15">
        <v>0</v>
      </c>
      <c r="M29" s="16">
        <v>0</v>
      </c>
      <c r="N29" s="15">
        <v>0</v>
      </c>
      <c r="O29" s="15">
        <v>0</v>
      </c>
      <c r="P29" s="13">
        <v>0</v>
      </c>
      <c r="Q29" s="15">
        <v>0</v>
      </c>
      <c r="R29" s="13">
        <v>0</v>
      </c>
      <c r="S29" s="13">
        <v>0</v>
      </c>
      <c r="T29" s="13">
        <v>0</v>
      </c>
      <c r="U29" s="4">
        <f t="shared" si="3"/>
        <v>448</v>
      </c>
      <c r="V29" s="4">
        <f t="shared" si="4"/>
        <v>504</v>
      </c>
      <c r="W29" s="4">
        <v>0</v>
      </c>
      <c r="X29" s="4">
        <v>202</v>
      </c>
      <c r="Y29" s="4">
        <v>0</v>
      </c>
      <c r="Z29" s="4">
        <v>30</v>
      </c>
      <c r="AA29" s="4">
        <f>273+150</f>
        <v>423</v>
      </c>
      <c r="AB29" s="10">
        <v>0.02</v>
      </c>
      <c r="AC29" s="10">
        <v>0.13</v>
      </c>
      <c r="AD29" s="10">
        <f t="shared" si="0"/>
        <v>0.15384615384615385</v>
      </c>
      <c r="AE29" s="10" t="s">
        <v>12</v>
      </c>
      <c r="AF29" s="10" t="s">
        <v>12</v>
      </c>
      <c r="AG29" s="4">
        <v>8</v>
      </c>
      <c r="AH29" s="10" t="s">
        <v>46</v>
      </c>
    </row>
    <row r="30" spans="1:35" x14ac:dyDescent="0.3">
      <c r="A30" s="15">
        <f t="shared" si="2"/>
        <v>0.5</v>
      </c>
      <c r="B30" s="13">
        <v>0</v>
      </c>
      <c r="C30" s="13">
        <f>1/66</f>
        <v>1.5151515151515152E-2</v>
      </c>
      <c r="D30" s="15">
        <v>0</v>
      </c>
      <c r="E30" s="15">
        <v>0</v>
      </c>
      <c r="F30" s="13">
        <v>0</v>
      </c>
      <c r="G30" s="13">
        <v>0</v>
      </c>
      <c r="H30" s="15">
        <v>0.4</v>
      </c>
      <c r="I30" s="15">
        <v>33</v>
      </c>
      <c r="J30" s="15">
        <v>0</v>
      </c>
      <c r="K30" s="15">
        <v>0.4</v>
      </c>
      <c r="L30" s="15">
        <v>0</v>
      </c>
      <c r="M30" s="16">
        <v>0</v>
      </c>
      <c r="N30" s="15">
        <v>0</v>
      </c>
      <c r="O30" s="15">
        <v>0</v>
      </c>
      <c r="P30" s="13">
        <v>0</v>
      </c>
      <c r="Q30" s="15">
        <v>0</v>
      </c>
      <c r="R30" s="13">
        <v>0</v>
      </c>
      <c r="S30" s="13">
        <v>0</v>
      </c>
      <c r="T30" s="13">
        <v>0</v>
      </c>
      <c r="U30" s="4">
        <f t="shared" si="3"/>
        <v>448</v>
      </c>
      <c r="V30" s="4">
        <f t="shared" si="4"/>
        <v>504</v>
      </c>
      <c r="W30" s="4">
        <v>0</v>
      </c>
      <c r="X30" s="4">
        <v>202</v>
      </c>
      <c r="Y30" s="4">
        <v>0</v>
      </c>
      <c r="Z30" s="4">
        <v>30</v>
      </c>
      <c r="AA30" s="4">
        <f>273+250</f>
        <v>523</v>
      </c>
      <c r="AB30" s="10">
        <v>0.01</v>
      </c>
      <c r="AC30" s="10">
        <v>0.08</v>
      </c>
      <c r="AD30" s="10">
        <f t="shared" si="0"/>
        <v>0.125</v>
      </c>
      <c r="AE30" s="10" t="s">
        <v>12</v>
      </c>
      <c r="AF30" s="10" t="s">
        <v>12</v>
      </c>
      <c r="AG30" s="4">
        <v>8</v>
      </c>
      <c r="AH30" s="10" t="s">
        <v>46</v>
      </c>
    </row>
    <row r="31" spans="1:35" x14ac:dyDescent="0.3">
      <c r="A31" s="15">
        <f t="shared" si="2"/>
        <v>0.5</v>
      </c>
      <c r="B31" s="13">
        <v>0</v>
      </c>
      <c r="C31" s="13">
        <f>1/66</f>
        <v>1.5151515151515152E-2</v>
      </c>
      <c r="D31" s="15">
        <v>0</v>
      </c>
      <c r="E31" s="15">
        <v>0</v>
      </c>
      <c r="F31" s="13">
        <v>0</v>
      </c>
      <c r="G31" s="13">
        <v>0</v>
      </c>
      <c r="H31" s="15">
        <v>0.4</v>
      </c>
      <c r="I31" s="15">
        <v>33</v>
      </c>
      <c r="J31" s="15">
        <v>0</v>
      </c>
      <c r="K31" s="15">
        <v>0.4</v>
      </c>
      <c r="L31" s="15">
        <v>0</v>
      </c>
      <c r="M31" s="16">
        <v>0</v>
      </c>
      <c r="N31" s="15">
        <v>0</v>
      </c>
      <c r="O31" s="15">
        <v>0</v>
      </c>
      <c r="P31" s="13">
        <v>0</v>
      </c>
      <c r="Q31" s="15">
        <v>0</v>
      </c>
      <c r="R31" s="13">
        <v>0</v>
      </c>
      <c r="S31" s="13">
        <v>0</v>
      </c>
      <c r="T31" s="13">
        <v>0</v>
      </c>
      <c r="U31" s="4">
        <f t="shared" si="3"/>
        <v>448</v>
      </c>
      <c r="V31" s="4">
        <f t="shared" si="4"/>
        <v>504</v>
      </c>
      <c r="W31" s="4">
        <v>0</v>
      </c>
      <c r="X31" s="4">
        <v>202</v>
      </c>
      <c r="Y31" s="4">
        <v>0</v>
      </c>
      <c r="Z31" s="4">
        <v>30</v>
      </c>
      <c r="AA31" s="4">
        <f>273+350</f>
        <v>623</v>
      </c>
      <c r="AB31" s="10">
        <v>0.01</v>
      </c>
      <c r="AC31" s="10">
        <v>7.0000000000000007E-2</v>
      </c>
      <c r="AD31" s="10">
        <f t="shared" si="0"/>
        <v>0.14285714285714285</v>
      </c>
      <c r="AE31" s="10" t="s">
        <v>12</v>
      </c>
      <c r="AF31" s="10" t="s">
        <v>12</v>
      </c>
      <c r="AG31" s="4">
        <v>8</v>
      </c>
      <c r="AH31" s="10" t="s">
        <v>46</v>
      </c>
    </row>
    <row r="32" spans="1:35" x14ac:dyDescent="0.3">
      <c r="A32" s="15">
        <f t="shared" si="2"/>
        <v>0.5</v>
      </c>
      <c r="B32" s="13">
        <v>0</v>
      </c>
      <c r="C32" s="13">
        <v>0</v>
      </c>
      <c r="D32" s="13">
        <f>1/66</f>
        <v>1.5151515151515152E-2</v>
      </c>
      <c r="E32" s="15">
        <v>0</v>
      </c>
      <c r="F32" s="13">
        <v>0</v>
      </c>
      <c r="G32" s="13">
        <v>0</v>
      </c>
      <c r="H32" s="15">
        <v>0.4</v>
      </c>
      <c r="I32" s="15">
        <v>33</v>
      </c>
      <c r="J32" s="15">
        <v>0</v>
      </c>
      <c r="K32" s="15">
        <v>0.4</v>
      </c>
      <c r="L32" s="15">
        <v>0</v>
      </c>
      <c r="M32" s="16">
        <v>0</v>
      </c>
      <c r="N32" s="15">
        <v>0</v>
      </c>
      <c r="O32" s="15">
        <v>0</v>
      </c>
      <c r="P32" s="13">
        <v>0</v>
      </c>
      <c r="Q32" s="15">
        <v>0</v>
      </c>
      <c r="R32" s="13">
        <v>0</v>
      </c>
      <c r="S32" s="13">
        <v>0</v>
      </c>
      <c r="T32" s="13">
        <v>0</v>
      </c>
      <c r="U32" s="4">
        <f t="shared" si="3"/>
        <v>448</v>
      </c>
      <c r="V32" s="4">
        <f t="shared" si="4"/>
        <v>504</v>
      </c>
      <c r="W32" s="4">
        <v>0</v>
      </c>
      <c r="X32" s="4">
        <v>202</v>
      </c>
      <c r="Y32" s="4">
        <v>0</v>
      </c>
      <c r="Z32" s="4">
        <v>30</v>
      </c>
      <c r="AA32" s="4">
        <f>273+150</f>
        <v>423</v>
      </c>
      <c r="AB32" s="10">
        <v>0.01</v>
      </c>
      <c r="AC32" s="10">
        <v>0.17</v>
      </c>
      <c r="AD32" s="10">
        <f t="shared" si="0"/>
        <v>5.8823529411764705E-2</v>
      </c>
      <c r="AE32" s="10" t="s">
        <v>12</v>
      </c>
      <c r="AF32" s="10" t="s">
        <v>12</v>
      </c>
      <c r="AG32" s="4">
        <v>8</v>
      </c>
      <c r="AH32" s="10" t="s">
        <v>46</v>
      </c>
    </row>
    <row r="33" spans="1:34" x14ac:dyDescent="0.3">
      <c r="A33" s="15">
        <f t="shared" si="2"/>
        <v>0.5</v>
      </c>
      <c r="B33" s="13">
        <v>0</v>
      </c>
      <c r="C33" s="13">
        <v>0</v>
      </c>
      <c r="D33" s="13">
        <f>1/66</f>
        <v>1.5151515151515152E-2</v>
      </c>
      <c r="E33" s="15">
        <v>0</v>
      </c>
      <c r="F33" s="13">
        <v>0</v>
      </c>
      <c r="G33" s="13">
        <v>0</v>
      </c>
      <c r="H33" s="15">
        <v>0.4</v>
      </c>
      <c r="I33" s="15">
        <v>33</v>
      </c>
      <c r="J33" s="15">
        <v>0</v>
      </c>
      <c r="K33" s="15">
        <v>0.4</v>
      </c>
      <c r="L33" s="15">
        <v>0</v>
      </c>
      <c r="M33" s="16">
        <v>0</v>
      </c>
      <c r="N33" s="15">
        <v>0</v>
      </c>
      <c r="O33" s="15">
        <v>0</v>
      </c>
      <c r="P33" s="13">
        <v>0</v>
      </c>
      <c r="Q33" s="15">
        <v>0</v>
      </c>
      <c r="R33" s="13">
        <v>0</v>
      </c>
      <c r="S33" s="13">
        <v>0</v>
      </c>
      <c r="T33" s="13">
        <v>0</v>
      </c>
      <c r="U33" s="4">
        <f t="shared" si="3"/>
        <v>448</v>
      </c>
      <c r="V33" s="4">
        <f t="shared" si="4"/>
        <v>504</v>
      </c>
      <c r="W33" s="4">
        <v>0</v>
      </c>
      <c r="X33" s="4">
        <v>202</v>
      </c>
      <c r="Y33" s="4">
        <v>0</v>
      </c>
      <c r="Z33" s="4">
        <v>30</v>
      </c>
      <c r="AA33" s="4">
        <f>273+250</f>
        <v>523</v>
      </c>
      <c r="AB33" s="10">
        <v>0.01</v>
      </c>
      <c r="AC33" s="10">
        <v>0.09</v>
      </c>
      <c r="AD33" s="10">
        <f t="shared" si="0"/>
        <v>0.11111111111111112</v>
      </c>
      <c r="AE33" s="10" t="s">
        <v>12</v>
      </c>
      <c r="AF33" s="10" t="s">
        <v>12</v>
      </c>
      <c r="AG33" s="4">
        <v>8</v>
      </c>
      <c r="AH33" s="10" t="s">
        <v>46</v>
      </c>
    </row>
    <row r="34" spans="1:34" x14ac:dyDescent="0.3">
      <c r="A34" s="15">
        <f t="shared" si="2"/>
        <v>0.5</v>
      </c>
      <c r="B34" s="13">
        <v>0</v>
      </c>
      <c r="C34" s="13">
        <v>0</v>
      </c>
      <c r="D34" s="13">
        <f>1/66</f>
        <v>1.5151515151515152E-2</v>
      </c>
      <c r="E34" s="15">
        <v>0</v>
      </c>
      <c r="F34" s="13">
        <v>0</v>
      </c>
      <c r="G34" s="13">
        <v>0</v>
      </c>
      <c r="H34" s="15">
        <v>0.4</v>
      </c>
      <c r="I34" s="15">
        <v>33</v>
      </c>
      <c r="J34" s="15">
        <v>0</v>
      </c>
      <c r="K34" s="15">
        <v>0.4</v>
      </c>
      <c r="L34" s="15">
        <v>0</v>
      </c>
      <c r="M34" s="16">
        <v>0</v>
      </c>
      <c r="N34" s="15">
        <v>0</v>
      </c>
      <c r="O34" s="15">
        <v>0</v>
      </c>
      <c r="P34" s="13">
        <v>0</v>
      </c>
      <c r="Q34" s="15">
        <v>0</v>
      </c>
      <c r="R34" s="13">
        <v>0</v>
      </c>
      <c r="S34" s="13">
        <v>0</v>
      </c>
      <c r="T34" s="13">
        <v>0</v>
      </c>
      <c r="U34" s="4">
        <f t="shared" si="3"/>
        <v>448</v>
      </c>
      <c r="V34" s="4">
        <f t="shared" si="4"/>
        <v>504</v>
      </c>
      <c r="W34" s="4">
        <v>0</v>
      </c>
      <c r="X34" s="4">
        <v>202</v>
      </c>
      <c r="Y34" s="4">
        <v>0</v>
      </c>
      <c r="Z34" s="4">
        <v>30</v>
      </c>
      <c r="AA34" s="4">
        <f>273+350</f>
        <v>623</v>
      </c>
      <c r="AB34" s="10">
        <v>0</v>
      </c>
      <c r="AC34" s="10">
        <v>0.06</v>
      </c>
      <c r="AD34" s="10">
        <f t="shared" si="0"/>
        <v>0</v>
      </c>
      <c r="AE34" s="10" t="s">
        <v>12</v>
      </c>
      <c r="AF34" s="10" t="s">
        <v>12</v>
      </c>
      <c r="AG34" s="4">
        <v>8</v>
      </c>
      <c r="AH34" s="10" t="s">
        <v>46</v>
      </c>
    </row>
    <row r="35" spans="1:34" x14ac:dyDescent="0.3">
      <c r="A35" s="15">
        <f t="shared" si="2"/>
        <v>0.5</v>
      </c>
      <c r="B35" s="13">
        <v>0</v>
      </c>
      <c r="C35" s="13">
        <v>0</v>
      </c>
      <c r="D35" s="13">
        <v>0</v>
      </c>
      <c r="E35" s="15">
        <v>0</v>
      </c>
      <c r="F35" s="13">
        <v>0</v>
      </c>
      <c r="G35" s="13">
        <v>0</v>
      </c>
      <c r="H35" s="15">
        <v>0.4</v>
      </c>
      <c r="I35" s="15">
        <v>33</v>
      </c>
      <c r="J35" s="15">
        <v>0</v>
      </c>
      <c r="K35" s="15">
        <v>0.4</v>
      </c>
      <c r="L35" s="15">
        <v>0</v>
      </c>
      <c r="M35" s="13">
        <f>1/66</f>
        <v>1.5151515151515152E-2</v>
      </c>
      <c r="N35" s="15">
        <v>0</v>
      </c>
      <c r="O35" s="15">
        <v>0</v>
      </c>
      <c r="P35" s="13">
        <v>0</v>
      </c>
      <c r="Q35" s="15">
        <v>0</v>
      </c>
      <c r="R35" s="13">
        <v>0</v>
      </c>
      <c r="S35" s="13">
        <v>0</v>
      </c>
      <c r="T35" s="13">
        <v>0</v>
      </c>
      <c r="U35" s="4">
        <f t="shared" si="3"/>
        <v>448</v>
      </c>
      <c r="V35" s="4">
        <f t="shared" si="4"/>
        <v>504</v>
      </c>
      <c r="W35" s="4">
        <v>0</v>
      </c>
      <c r="X35" s="4">
        <v>202</v>
      </c>
      <c r="Y35" s="4">
        <v>0</v>
      </c>
      <c r="Z35" s="4">
        <v>30</v>
      </c>
      <c r="AA35" s="4">
        <f>273+150</f>
        <v>423</v>
      </c>
      <c r="AB35" s="10">
        <v>0.01</v>
      </c>
      <c r="AC35" s="10">
        <v>0.09</v>
      </c>
      <c r="AD35" s="10">
        <f t="shared" si="0"/>
        <v>0.11111111111111112</v>
      </c>
      <c r="AE35" s="10" t="s">
        <v>12</v>
      </c>
      <c r="AF35" s="10" t="s">
        <v>12</v>
      </c>
      <c r="AG35" s="4">
        <v>8</v>
      </c>
      <c r="AH35" s="10" t="s">
        <v>46</v>
      </c>
    </row>
    <row r="36" spans="1:34" x14ac:dyDescent="0.3">
      <c r="A36" s="15">
        <f t="shared" si="2"/>
        <v>0.5</v>
      </c>
      <c r="B36" s="13">
        <v>0</v>
      </c>
      <c r="C36" s="13">
        <v>0</v>
      </c>
      <c r="D36" s="13">
        <v>0</v>
      </c>
      <c r="E36" s="15">
        <v>0</v>
      </c>
      <c r="F36" s="13">
        <v>0</v>
      </c>
      <c r="G36" s="13">
        <v>0</v>
      </c>
      <c r="H36" s="15">
        <v>0.4</v>
      </c>
      <c r="I36" s="15">
        <v>33</v>
      </c>
      <c r="J36" s="15">
        <v>0</v>
      </c>
      <c r="K36" s="15">
        <v>0.4</v>
      </c>
      <c r="L36" s="15">
        <v>0</v>
      </c>
      <c r="M36" s="13">
        <f>1/66</f>
        <v>1.5151515151515152E-2</v>
      </c>
      <c r="N36" s="15">
        <v>0</v>
      </c>
      <c r="O36" s="15">
        <v>0</v>
      </c>
      <c r="P36" s="13">
        <v>0</v>
      </c>
      <c r="Q36" s="15">
        <v>0</v>
      </c>
      <c r="R36" s="13">
        <v>0</v>
      </c>
      <c r="S36" s="13">
        <v>0</v>
      </c>
      <c r="T36" s="13">
        <v>0</v>
      </c>
      <c r="U36" s="4">
        <f t="shared" si="3"/>
        <v>448</v>
      </c>
      <c r="V36" s="4">
        <f t="shared" si="4"/>
        <v>504</v>
      </c>
      <c r="W36" s="4">
        <v>0</v>
      </c>
      <c r="X36" s="4">
        <v>202</v>
      </c>
      <c r="Y36" s="4">
        <v>0</v>
      </c>
      <c r="Z36" s="4">
        <v>30</v>
      </c>
      <c r="AA36" s="4">
        <f>273+250</f>
        <v>523</v>
      </c>
      <c r="AB36" s="10">
        <v>0</v>
      </c>
      <c r="AC36" s="10">
        <v>0.02</v>
      </c>
      <c r="AD36" s="10">
        <f t="shared" si="0"/>
        <v>0</v>
      </c>
      <c r="AE36" s="10" t="s">
        <v>12</v>
      </c>
      <c r="AF36" s="10" t="s">
        <v>12</v>
      </c>
      <c r="AG36" s="4">
        <v>8</v>
      </c>
      <c r="AH36" s="10" t="s">
        <v>46</v>
      </c>
    </row>
    <row r="37" spans="1:34" x14ac:dyDescent="0.3">
      <c r="A37" s="15">
        <f t="shared" si="2"/>
        <v>0.5</v>
      </c>
      <c r="B37" s="13">
        <v>0</v>
      </c>
      <c r="C37" s="13">
        <v>0</v>
      </c>
      <c r="D37" s="13">
        <v>0</v>
      </c>
      <c r="E37" s="15">
        <v>0</v>
      </c>
      <c r="F37" s="13">
        <v>0</v>
      </c>
      <c r="G37" s="13">
        <v>0</v>
      </c>
      <c r="H37" s="15">
        <v>0.4</v>
      </c>
      <c r="I37" s="15">
        <v>33</v>
      </c>
      <c r="J37" s="15">
        <v>0</v>
      </c>
      <c r="K37" s="15">
        <v>0.4</v>
      </c>
      <c r="L37" s="15">
        <v>0</v>
      </c>
      <c r="M37" s="13">
        <f>1/66</f>
        <v>1.5151515151515152E-2</v>
      </c>
      <c r="N37" s="15">
        <v>0</v>
      </c>
      <c r="O37" s="15">
        <v>0</v>
      </c>
      <c r="P37" s="13">
        <v>0</v>
      </c>
      <c r="Q37" s="15">
        <v>0</v>
      </c>
      <c r="R37" s="13">
        <v>0</v>
      </c>
      <c r="S37" s="13">
        <v>0</v>
      </c>
      <c r="T37" s="13">
        <v>0</v>
      </c>
      <c r="U37" s="4">
        <f t="shared" si="3"/>
        <v>448</v>
      </c>
      <c r="V37" s="4">
        <f t="shared" si="4"/>
        <v>504</v>
      </c>
      <c r="W37" s="4">
        <v>0</v>
      </c>
      <c r="X37" s="4">
        <v>202</v>
      </c>
      <c r="Y37" s="4">
        <v>0</v>
      </c>
      <c r="Z37" s="4">
        <v>30</v>
      </c>
      <c r="AA37" s="4">
        <f>273+350</f>
        <v>623</v>
      </c>
      <c r="AB37" s="10">
        <v>0</v>
      </c>
      <c r="AC37" s="10">
        <v>0.01</v>
      </c>
      <c r="AD37" s="10">
        <f t="shared" si="0"/>
        <v>0</v>
      </c>
      <c r="AE37" s="10" t="s">
        <v>12</v>
      </c>
      <c r="AF37" s="10" t="s">
        <v>12</v>
      </c>
      <c r="AG37" s="4">
        <v>8</v>
      </c>
      <c r="AH37" s="10" t="s">
        <v>46</v>
      </c>
    </row>
    <row r="38" spans="1:34" x14ac:dyDescent="0.3">
      <c r="A38" s="15">
        <f t="shared" si="2"/>
        <v>0.5</v>
      </c>
      <c r="B38" s="13">
        <v>0</v>
      </c>
      <c r="C38" s="13">
        <v>0</v>
      </c>
      <c r="D38" s="13">
        <v>0</v>
      </c>
      <c r="E38" s="13">
        <f>1/66</f>
        <v>1.5151515151515152E-2</v>
      </c>
      <c r="F38" s="13">
        <v>0</v>
      </c>
      <c r="G38" s="13">
        <v>0</v>
      </c>
      <c r="H38" s="15">
        <v>0.4</v>
      </c>
      <c r="I38" s="15">
        <v>33</v>
      </c>
      <c r="J38" s="15">
        <v>0</v>
      </c>
      <c r="K38" s="15">
        <v>0.4</v>
      </c>
      <c r="L38" s="15">
        <v>0</v>
      </c>
      <c r="M38" s="15">
        <v>0</v>
      </c>
      <c r="N38" s="15">
        <v>0</v>
      </c>
      <c r="O38" s="15">
        <v>0</v>
      </c>
      <c r="P38" s="13">
        <v>0</v>
      </c>
      <c r="Q38" s="15">
        <v>0</v>
      </c>
      <c r="R38" s="13">
        <v>0</v>
      </c>
      <c r="S38" s="13">
        <v>0</v>
      </c>
      <c r="T38" s="13">
        <v>0</v>
      </c>
      <c r="U38" s="4">
        <f t="shared" si="3"/>
        <v>448</v>
      </c>
      <c r="V38" s="4">
        <f t="shared" si="4"/>
        <v>504</v>
      </c>
      <c r="W38" s="4">
        <v>0</v>
      </c>
      <c r="X38" s="4">
        <v>202</v>
      </c>
      <c r="Y38" s="4">
        <v>0</v>
      </c>
      <c r="Z38" s="4">
        <v>30</v>
      </c>
      <c r="AA38" s="4">
        <f>273+150</f>
        <v>423</v>
      </c>
      <c r="AB38" s="10">
        <v>3.0000000000000001E-3</v>
      </c>
      <c r="AC38" s="10">
        <v>7.0000000000000007E-2</v>
      </c>
      <c r="AD38" s="10">
        <f t="shared" si="0"/>
        <v>4.2857142857142851E-2</v>
      </c>
      <c r="AE38" s="10" t="s">
        <v>12</v>
      </c>
      <c r="AF38" s="10" t="s">
        <v>12</v>
      </c>
      <c r="AG38" s="4">
        <v>8</v>
      </c>
      <c r="AH38" s="10" t="s">
        <v>46</v>
      </c>
    </row>
    <row r="39" spans="1:34" x14ac:dyDescent="0.3">
      <c r="A39" s="15">
        <f t="shared" si="2"/>
        <v>0.5</v>
      </c>
      <c r="B39" s="13">
        <v>0</v>
      </c>
      <c r="C39" s="13">
        <v>0</v>
      </c>
      <c r="D39" s="13">
        <v>0</v>
      </c>
      <c r="E39" s="13">
        <f>1/66</f>
        <v>1.5151515151515152E-2</v>
      </c>
      <c r="F39" s="13">
        <v>0</v>
      </c>
      <c r="G39" s="13">
        <v>0</v>
      </c>
      <c r="H39" s="15">
        <v>0.4</v>
      </c>
      <c r="I39" s="15">
        <v>33</v>
      </c>
      <c r="J39" s="15">
        <v>0</v>
      </c>
      <c r="K39" s="15">
        <v>0.4</v>
      </c>
      <c r="L39" s="15">
        <v>0</v>
      </c>
      <c r="M39" s="15">
        <v>0</v>
      </c>
      <c r="N39" s="15">
        <v>0</v>
      </c>
      <c r="O39" s="15">
        <v>0</v>
      </c>
      <c r="P39" s="13">
        <v>0</v>
      </c>
      <c r="Q39" s="15">
        <v>0</v>
      </c>
      <c r="R39" s="13">
        <v>0</v>
      </c>
      <c r="S39" s="13">
        <v>0</v>
      </c>
      <c r="T39" s="13">
        <v>0</v>
      </c>
      <c r="U39" s="4">
        <f t="shared" si="3"/>
        <v>448</v>
      </c>
      <c r="V39" s="4">
        <f t="shared" si="4"/>
        <v>504</v>
      </c>
      <c r="W39" s="4">
        <v>0</v>
      </c>
      <c r="X39" s="4">
        <v>202</v>
      </c>
      <c r="Y39" s="4">
        <v>0</v>
      </c>
      <c r="Z39" s="4">
        <v>30</v>
      </c>
      <c r="AA39" s="4">
        <f>273+250</f>
        <v>523</v>
      </c>
      <c r="AB39" s="10">
        <v>0</v>
      </c>
      <c r="AC39" s="10">
        <v>0.02</v>
      </c>
      <c r="AD39" s="10">
        <f t="shared" si="0"/>
        <v>0</v>
      </c>
      <c r="AE39" s="10" t="s">
        <v>12</v>
      </c>
      <c r="AF39" s="10" t="s">
        <v>12</v>
      </c>
      <c r="AG39" s="4">
        <v>8</v>
      </c>
      <c r="AH39" s="10" t="s">
        <v>46</v>
      </c>
    </row>
    <row r="40" spans="1:34" x14ac:dyDescent="0.3">
      <c r="A40" s="15">
        <f t="shared" si="2"/>
        <v>0.5</v>
      </c>
      <c r="B40" s="13">
        <v>0</v>
      </c>
      <c r="C40" s="13">
        <v>0</v>
      </c>
      <c r="D40" s="13">
        <v>0</v>
      </c>
      <c r="E40" s="13">
        <f>1/66</f>
        <v>1.5151515151515152E-2</v>
      </c>
      <c r="F40" s="13">
        <v>0</v>
      </c>
      <c r="G40" s="13">
        <v>0</v>
      </c>
      <c r="H40" s="15">
        <v>0.4</v>
      </c>
      <c r="I40" s="15">
        <v>33</v>
      </c>
      <c r="J40" s="15">
        <v>0</v>
      </c>
      <c r="K40" s="15">
        <v>0.4</v>
      </c>
      <c r="L40" s="15">
        <v>0</v>
      </c>
      <c r="M40" s="15">
        <v>0</v>
      </c>
      <c r="N40" s="15">
        <v>0</v>
      </c>
      <c r="O40" s="15">
        <v>0</v>
      </c>
      <c r="P40" s="13">
        <v>0</v>
      </c>
      <c r="Q40" s="15">
        <v>0</v>
      </c>
      <c r="R40" s="13">
        <v>0</v>
      </c>
      <c r="S40" s="13">
        <v>0</v>
      </c>
      <c r="T40" s="13">
        <v>0</v>
      </c>
      <c r="U40" s="4">
        <f t="shared" si="3"/>
        <v>448</v>
      </c>
      <c r="V40" s="4">
        <f t="shared" si="4"/>
        <v>504</v>
      </c>
      <c r="W40" s="4">
        <v>0</v>
      </c>
      <c r="X40" s="4">
        <v>202</v>
      </c>
      <c r="Y40" s="4">
        <v>0</v>
      </c>
      <c r="Z40" s="4">
        <v>30</v>
      </c>
      <c r="AA40" s="4">
        <f>273+350</f>
        <v>623</v>
      </c>
      <c r="AB40" s="10">
        <v>0</v>
      </c>
      <c r="AC40" s="10">
        <v>0.01</v>
      </c>
      <c r="AD40" s="10">
        <f t="shared" si="0"/>
        <v>0</v>
      </c>
      <c r="AE40" s="10" t="s">
        <v>12</v>
      </c>
      <c r="AF40" s="10" t="s">
        <v>12</v>
      </c>
      <c r="AG40" s="4">
        <v>8</v>
      </c>
      <c r="AH40" s="10" t="s">
        <v>46</v>
      </c>
    </row>
    <row r="41" spans="1:34" x14ac:dyDescent="0.3">
      <c r="A41" s="13">
        <v>0</v>
      </c>
      <c r="B41" s="13">
        <v>0</v>
      </c>
      <c r="C41" s="13">
        <v>6.6000000000000003E-2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35</v>
      </c>
      <c r="J41" s="13">
        <v>0</v>
      </c>
      <c r="K41" s="13">
        <v>0.5</v>
      </c>
      <c r="L41" s="13">
        <v>0</v>
      </c>
      <c r="M41" s="13">
        <v>0</v>
      </c>
      <c r="N41" s="13">
        <v>2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2">
        <v>423</v>
      </c>
      <c r="V41" s="2">
        <f>24*7</f>
        <v>168</v>
      </c>
      <c r="W41" s="2">
        <v>0</v>
      </c>
      <c r="X41" s="2">
        <v>100</v>
      </c>
      <c r="Y41" s="2">
        <v>0</v>
      </c>
      <c r="Z41" s="2">
        <v>60</v>
      </c>
      <c r="AA41" s="2">
        <v>573</v>
      </c>
      <c r="AB41" s="6">
        <v>491</v>
      </c>
      <c r="AC41" s="6">
        <v>226</v>
      </c>
      <c r="AD41" s="6">
        <f t="shared" si="0"/>
        <v>2.1725663716814161</v>
      </c>
      <c r="AE41" s="6" t="s">
        <v>33</v>
      </c>
      <c r="AF41" s="6" t="s">
        <v>52</v>
      </c>
      <c r="AG41" s="2">
        <v>9</v>
      </c>
      <c r="AH41" s="6" t="s">
        <v>48</v>
      </c>
    </row>
    <row r="42" spans="1:34" x14ac:dyDescent="0.3">
      <c r="A42" s="13">
        <v>0</v>
      </c>
      <c r="B42" s="13">
        <v>0</v>
      </c>
      <c r="C42" s="13">
        <v>6.6000000000000003E-2</v>
      </c>
      <c r="D42" s="13">
        <v>0</v>
      </c>
      <c r="E42" s="13">
        <v>0</v>
      </c>
      <c r="F42" s="13">
        <v>0</v>
      </c>
      <c r="G42" s="13">
        <v>0</v>
      </c>
      <c r="H42" s="13">
        <v>0.4</v>
      </c>
      <c r="I42" s="13">
        <v>44</v>
      </c>
      <c r="J42" s="13">
        <v>0</v>
      </c>
      <c r="K42" s="13">
        <v>0.2</v>
      </c>
      <c r="L42" s="13">
        <v>0</v>
      </c>
      <c r="M42" s="13">
        <v>0</v>
      </c>
      <c r="N42" s="13">
        <v>0.1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2">
        <f>273+160</f>
        <v>433</v>
      </c>
      <c r="V42" s="2">
        <f>24*11</f>
        <v>264</v>
      </c>
      <c r="W42" s="2">
        <v>0</v>
      </c>
      <c r="X42" s="2">
        <v>197</v>
      </c>
      <c r="Y42" s="2">
        <v>0</v>
      </c>
      <c r="Z42" s="2">
        <v>0</v>
      </c>
      <c r="AA42" s="2">
        <v>573</v>
      </c>
      <c r="AB42" s="6">
        <v>352</v>
      </c>
      <c r="AC42" s="6">
        <v>281</v>
      </c>
      <c r="AD42" s="6">
        <f t="shared" ref="AD42:AD69" si="5">AB42/AC42</f>
        <v>1.2526690391459074</v>
      </c>
      <c r="AE42" s="6" t="s">
        <v>47</v>
      </c>
      <c r="AF42" s="6" t="s">
        <v>6</v>
      </c>
      <c r="AG42" s="2">
        <v>9</v>
      </c>
      <c r="AH42" s="6" t="s">
        <v>48</v>
      </c>
    </row>
    <row r="43" spans="1:34" x14ac:dyDescent="0.3">
      <c r="A43" s="13">
        <v>0</v>
      </c>
      <c r="B43" s="13">
        <v>0</v>
      </c>
      <c r="C43" s="13">
        <v>6.6000000000000003E-2</v>
      </c>
      <c r="D43" s="13">
        <v>0</v>
      </c>
      <c r="E43" s="13">
        <v>0</v>
      </c>
      <c r="F43" s="13">
        <v>0</v>
      </c>
      <c r="G43" s="13">
        <v>0</v>
      </c>
      <c r="H43" s="13">
        <v>0.19</v>
      </c>
      <c r="I43" s="13">
        <v>25</v>
      </c>
      <c r="J43" s="13">
        <v>0</v>
      </c>
      <c r="K43" s="13">
        <v>0.15</v>
      </c>
      <c r="L43" s="13">
        <v>0</v>
      </c>
      <c r="M43" s="13">
        <v>0</v>
      </c>
      <c r="N43" s="13">
        <v>0.02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2">
        <f>273+170</f>
        <v>443</v>
      </c>
      <c r="V43" s="2">
        <v>48</v>
      </c>
      <c r="W43" s="2">
        <v>0</v>
      </c>
      <c r="X43" s="2">
        <v>233</v>
      </c>
      <c r="Y43" s="2">
        <v>0</v>
      </c>
      <c r="Z43" s="2">
        <v>0</v>
      </c>
      <c r="AA43" s="2">
        <v>573</v>
      </c>
      <c r="AB43" s="6">
        <v>633</v>
      </c>
      <c r="AC43" s="6">
        <v>506</v>
      </c>
      <c r="AD43" s="6">
        <f t="shared" si="5"/>
        <v>1.2509881422924902</v>
      </c>
      <c r="AE43" s="6" t="s">
        <v>49</v>
      </c>
      <c r="AF43" s="6" t="s">
        <v>5</v>
      </c>
      <c r="AG43" s="2">
        <v>9</v>
      </c>
      <c r="AH43" s="7" t="s">
        <v>48</v>
      </c>
    </row>
    <row r="44" spans="1:34" x14ac:dyDescent="0.3">
      <c r="A44" s="13">
        <v>0</v>
      </c>
      <c r="B44" s="13">
        <f>1/50</f>
        <v>0.02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f>(K44+L44+N44)*2</f>
        <v>0.53333333333333333</v>
      </c>
      <c r="I44" s="13">
        <f>1200/30</f>
        <v>40</v>
      </c>
      <c r="J44" s="13">
        <v>0</v>
      </c>
      <c r="K44" s="13">
        <f t="shared" ref="K44:L47" si="6">1.5/30</f>
        <v>0.05</v>
      </c>
      <c r="L44" s="13">
        <f t="shared" si="6"/>
        <v>0.05</v>
      </c>
      <c r="M44" s="13">
        <v>0</v>
      </c>
      <c r="N44" s="13">
        <f>5/30</f>
        <v>0.16666666666666666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2">
        <f>273+160</f>
        <v>433</v>
      </c>
      <c r="V44" s="2">
        <f t="shared" ref="V44:V56" si="7">24*7</f>
        <v>168</v>
      </c>
      <c r="W44" s="2">
        <v>0</v>
      </c>
      <c r="X44" s="2">
        <v>240</v>
      </c>
      <c r="Y44" s="2">
        <v>258</v>
      </c>
      <c r="Z44" s="2">
        <v>100</v>
      </c>
      <c r="AA44" s="2">
        <v>298</v>
      </c>
      <c r="AB44" s="6">
        <v>237</v>
      </c>
      <c r="AC44" s="6">
        <v>39</v>
      </c>
      <c r="AD44" s="6">
        <f t="shared" si="5"/>
        <v>6.0769230769230766</v>
      </c>
      <c r="AE44" s="6" t="s">
        <v>18</v>
      </c>
      <c r="AF44" s="6" t="s">
        <v>18</v>
      </c>
      <c r="AG44" s="2">
        <v>11</v>
      </c>
      <c r="AH44" s="6" t="s">
        <v>50</v>
      </c>
    </row>
    <row r="45" spans="1:34" x14ac:dyDescent="0.3">
      <c r="A45" s="13">
        <v>0</v>
      </c>
      <c r="B45" s="13">
        <f>1/70</f>
        <v>1.4285714285714285E-2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f>(K45+L45+N45)*2</f>
        <v>0.53333333333333333</v>
      </c>
      <c r="I45" s="13">
        <f>1200/30</f>
        <v>40</v>
      </c>
      <c r="J45" s="13">
        <v>0</v>
      </c>
      <c r="K45" s="13">
        <f t="shared" si="6"/>
        <v>0.05</v>
      </c>
      <c r="L45" s="13">
        <f t="shared" si="6"/>
        <v>0.05</v>
      </c>
      <c r="M45" s="13">
        <v>0</v>
      </c>
      <c r="N45" s="13">
        <f>5/30</f>
        <v>0.16666666666666666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2">
        <f>273+160</f>
        <v>433</v>
      </c>
      <c r="V45" s="2">
        <f t="shared" si="7"/>
        <v>168</v>
      </c>
      <c r="W45" s="2">
        <v>0</v>
      </c>
      <c r="X45" s="2">
        <v>240</v>
      </c>
      <c r="Y45" s="2">
        <v>258</v>
      </c>
      <c r="Z45" s="2">
        <v>100</v>
      </c>
      <c r="AA45" s="2">
        <v>298</v>
      </c>
      <c r="AB45" s="6">
        <v>211</v>
      </c>
      <c r="AC45" s="6">
        <v>17</v>
      </c>
      <c r="AD45" s="6">
        <f t="shared" si="5"/>
        <v>12.411764705882353</v>
      </c>
      <c r="AE45" s="6" t="s">
        <v>18</v>
      </c>
      <c r="AF45" s="6" t="s">
        <v>18</v>
      </c>
      <c r="AG45" s="2">
        <v>11</v>
      </c>
      <c r="AH45" s="6" t="s">
        <v>50</v>
      </c>
    </row>
    <row r="46" spans="1:34" x14ac:dyDescent="0.3">
      <c r="A46" s="13">
        <v>0</v>
      </c>
      <c r="B46" s="13">
        <f>1/90</f>
        <v>1.1111111111111112E-2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f>(K46+L46+N46)*2</f>
        <v>0.53333333333333333</v>
      </c>
      <c r="I46" s="13">
        <f>1200/30</f>
        <v>40</v>
      </c>
      <c r="J46" s="13">
        <v>0</v>
      </c>
      <c r="K46" s="13">
        <f t="shared" si="6"/>
        <v>0.05</v>
      </c>
      <c r="L46" s="13">
        <f t="shared" si="6"/>
        <v>0.05</v>
      </c>
      <c r="M46" s="13">
        <v>0</v>
      </c>
      <c r="N46" s="13">
        <f>5/30</f>
        <v>0.16666666666666666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2">
        <f>273+160</f>
        <v>433</v>
      </c>
      <c r="V46" s="2">
        <f t="shared" si="7"/>
        <v>168</v>
      </c>
      <c r="W46" s="2">
        <v>0</v>
      </c>
      <c r="X46" s="2">
        <v>240</v>
      </c>
      <c r="Y46" s="2">
        <v>258</v>
      </c>
      <c r="Z46" s="2">
        <v>100</v>
      </c>
      <c r="AA46" s="2">
        <v>298</v>
      </c>
      <c r="AB46" s="6">
        <v>170</v>
      </c>
      <c r="AC46" s="6">
        <v>13</v>
      </c>
      <c r="AD46" s="6">
        <f t="shared" si="5"/>
        <v>13.076923076923077</v>
      </c>
      <c r="AE46" s="6" t="s">
        <v>18</v>
      </c>
      <c r="AF46" s="6" t="s">
        <v>18</v>
      </c>
      <c r="AG46" s="2">
        <v>11</v>
      </c>
      <c r="AH46" s="6" t="s">
        <v>50</v>
      </c>
    </row>
    <row r="47" spans="1:34" x14ac:dyDescent="0.3">
      <c r="A47" s="13">
        <v>0</v>
      </c>
      <c r="B47" s="13">
        <f>1/120</f>
        <v>8.3333333333333332E-3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f>(K47+L47+N47)*2</f>
        <v>0.53333333333333333</v>
      </c>
      <c r="I47" s="13">
        <f>1200/30</f>
        <v>40</v>
      </c>
      <c r="J47" s="13">
        <v>0</v>
      </c>
      <c r="K47" s="13">
        <f t="shared" si="6"/>
        <v>0.05</v>
      </c>
      <c r="L47" s="13">
        <f t="shared" si="6"/>
        <v>0.05</v>
      </c>
      <c r="M47" s="13">
        <v>0</v>
      </c>
      <c r="N47" s="13">
        <f>5/30</f>
        <v>0.16666666666666666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2">
        <f>273+160</f>
        <v>433</v>
      </c>
      <c r="V47" s="2">
        <f t="shared" si="7"/>
        <v>168</v>
      </c>
      <c r="W47" s="2">
        <v>0</v>
      </c>
      <c r="X47" s="2">
        <v>240</v>
      </c>
      <c r="Y47" s="2">
        <v>258</v>
      </c>
      <c r="Z47" s="2">
        <v>100</v>
      </c>
      <c r="AA47" s="2">
        <v>298</v>
      </c>
      <c r="AB47" s="6">
        <v>153</v>
      </c>
      <c r="AC47" s="6">
        <v>11</v>
      </c>
      <c r="AD47" s="6">
        <f t="shared" si="5"/>
        <v>13.909090909090908</v>
      </c>
      <c r="AE47" s="6" t="s">
        <v>18</v>
      </c>
      <c r="AF47" s="6" t="s">
        <v>18</v>
      </c>
      <c r="AG47" s="2">
        <v>11</v>
      </c>
      <c r="AH47" s="6" t="s">
        <v>50</v>
      </c>
    </row>
    <row r="48" spans="1:34" x14ac:dyDescent="0.3">
      <c r="A48" s="13">
        <v>0</v>
      </c>
      <c r="B48" s="13">
        <v>5.0000000000000001E-3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f t="shared" ref="H48:H56" si="8">K48</f>
        <v>0.3</v>
      </c>
      <c r="I48" s="13">
        <v>3.67</v>
      </c>
      <c r="J48" s="13">
        <v>0.54</v>
      </c>
      <c r="K48" s="13">
        <v>0.3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5.0000000000000001E-3</v>
      </c>
      <c r="S48" s="13">
        <v>0</v>
      </c>
      <c r="T48" s="13">
        <v>0</v>
      </c>
      <c r="U48" s="2">
        <f t="shared" ref="U48:U56" si="9">273+140</f>
        <v>413</v>
      </c>
      <c r="V48" s="2">
        <f t="shared" si="7"/>
        <v>168</v>
      </c>
      <c r="W48" s="2">
        <v>0</v>
      </c>
      <c r="X48" s="2">
        <v>160</v>
      </c>
      <c r="Y48" s="2">
        <v>0</v>
      </c>
      <c r="Z48" s="2">
        <v>0</v>
      </c>
      <c r="AA48" s="2">
        <v>298</v>
      </c>
      <c r="AB48" s="6">
        <v>17</v>
      </c>
      <c r="AC48" s="6">
        <v>26</v>
      </c>
      <c r="AD48" s="6">
        <f t="shared" si="5"/>
        <v>0.65384615384615385</v>
      </c>
      <c r="AE48" s="6" t="s">
        <v>13</v>
      </c>
      <c r="AF48" s="6" t="s">
        <v>17</v>
      </c>
      <c r="AG48" s="2">
        <v>12</v>
      </c>
      <c r="AH48" s="7" t="s">
        <v>55</v>
      </c>
    </row>
    <row r="49" spans="1:35" x14ac:dyDescent="0.3">
      <c r="A49" s="13">
        <v>0</v>
      </c>
      <c r="B49" s="13">
        <v>5.0000000000000001E-3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f t="shared" si="8"/>
        <v>0.3</v>
      </c>
      <c r="I49" s="13">
        <v>3.67</v>
      </c>
      <c r="J49" s="13">
        <v>0.3</v>
      </c>
      <c r="K49" s="13">
        <v>0.3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5.0000000000000001E-3</v>
      </c>
      <c r="S49" s="13">
        <v>0</v>
      </c>
      <c r="T49" s="13">
        <v>0</v>
      </c>
      <c r="U49" s="2">
        <f t="shared" si="9"/>
        <v>413</v>
      </c>
      <c r="V49" s="2">
        <f t="shared" si="7"/>
        <v>168</v>
      </c>
      <c r="W49" s="2">
        <v>0</v>
      </c>
      <c r="X49" s="2">
        <v>160</v>
      </c>
      <c r="Y49" s="2">
        <v>0</v>
      </c>
      <c r="Z49" s="2">
        <v>0</v>
      </c>
      <c r="AA49" s="2">
        <v>298</v>
      </c>
      <c r="AB49" s="6">
        <v>60</v>
      </c>
      <c r="AC49" s="6">
        <v>36</v>
      </c>
      <c r="AD49" s="6">
        <f t="shared" si="5"/>
        <v>1.6666666666666667</v>
      </c>
      <c r="AE49" s="6" t="s">
        <v>13</v>
      </c>
      <c r="AF49" s="6" t="s">
        <v>17</v>
      </c>
      <c r="AG49" s="2">
        <v>12</v>
      </c>
      <c r="AH49" s="7" t="s">
        <v>55</v>
      </c>
    </row>
    <row r="50" spans="1:35" x14ac:dyDescent="0.3">
      <c r="A50" s="13">
        <v>0</v>
      </c>
      <c r="B50" s="13">
        <v>5.0000000000000001E-3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f t="shared" si="8"/>
        <v>0.3</v>
      </c>
      <c r="I50" s="13">
        <v>3.67</v>
      </c>
      <c r="J50" s="13">
        <v>0.15</v>
      </c>
      <c r="K50" s="13">
        <v>0.3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5.0000000000000001E-3</v>
      </c>
      <c r="S50" s="13">
        <v>0</v>
      </c>
      <c r="T50" s="13">
        <v>0</v>
      </c>
      <c r="U50" s="2">
        <f t="shared" si="9"/>
        <v>413</v>
      </c>
      <c r="V50" s="2">
        <f t="shared" si="7"/>
        <v>168</v>
      </c>
      <c r="W50" s="2">
        <v>0</v>
      </c>
      <c r="X50" s="2">
        <v>160</v>
      </c>
      <c r="Y50" s="2">
        <v>0</v>
      </c>
      <c r="Z50" s="2">
        <v>0</v>
      </c>
      <c r="AA50" s="2">
        <v>298</v>
      </c>
      <c r="AB50" s="6">
        <v>59</v>
      </c>
      <c r="AC50" s="6">
        <v>47</v>
      </c>
      <c r="AD50" s="6">
        <f t="shared" si="5"/>
        <v>1.2553191489361701</v>
      </c>
      <c r="AE50" s="6" t="s">
        <v>13</v>
      </c>
      <c r="AF50" s="6" t="s">
        <v>17</v>
      </c>
      <c r="AG50" s="2">
        <v>12</v>
      </c>
      <c r="AH50" s="7" t="s">
        <v>55</v>
      </c>
    </row>
    <row r="51" spans="1:35" x14ac:dyDescent="0.3">
      <c r="A51" s="13">
        <v>0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f t="shared" si="8"/>
        <v>0.3</v>
      </c>
      <c r="I51" s="13">
        <v>3.67</v>
      </c>
      <c r="J51" s="13">
        <v>0.3</v>
      </c>
      <c r="K51" s="13">
        <v>0.3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5.0000000000000001E-3</v>
      </c>
      <c r="S51" s="13">
        <v>0</v>
      </c>
      <c r="T51" s="13">
        <v>0</v>
      </c>
      <c r="U51" s="2">
        <f t="shared" si="9"/>
        <v>413</v>
      </c>
      <c r="V51" s="2">
        <f t="shared" si="7"/>
        <v>168</v>
      </c>
      <c r="W51" s="2">
        <v>0</v>
      </c>
      <c r="X51" s="2">
        <v>160</v>
      </c>
      <c r="Y51" s="2">
        <v>0</v>
      </c>
      <c r="Z51" s="2">
        <v>0</v>
      </c>
      <c r="AA51" s="2">
        <v>298</v>
      </c>
      <c r="AB51" s="6">
        <v>0</v>
      </c>
      <c r="AC51" s="6">
        <v>26</v>
      </c>
      <c r="AD51" s="8">
        <f t="shared" si="5"/>
        <v>0</v>
      </c>
      <c r="AE51" s="6" t="s">
        <v>13</v>
      </c>
      <c r="AF51" s="6" t="s">
        <v>17</v>
      </c>
      <c r="AG51" s="2">
        <v>12</v>
      </c>
      <c r="AH51" s="7" t="s">
        <v>55</v>
      </c>
    </row>
    <row r="52" spans="1:35" x14ac:dyDescent="0.3">
      <c r="A52" s="13">
        <v>0</v>
      </c>
      <c r="B52" s="13">
        <v>2.5000000000000001E-3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f t="shared" si="8"/>
        <v>0.3</v>
      </c>
      <c r="I52" s="13">
        <v>3.67</v>
      </c>
      <c r="J52" s="13">
        <v>0.3</v>
      </c>
      <c r="K52" s="13">
        <v>0.3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5.0000000000000001E-3</v>
      </c>
      <c r="S52" s="13">
        <v>0</v>
      </c>
      <c r="T52" s="13">
        <v>0</v>
      </c>
      <c r="U52" s="2">
        <f t="shared" si="9"/>
        <v>413</v>
      </c>
      <c r="V52" s="2">
        <f t="shared" si="7"/>
        <v>168</v>
      </c>
      <c r="W52" s="2">
        <v>0</v>
      </c>
      <c r="X52" s="2">
        <v>160</v>
      </c>
      <c r="Y52" s="2">
        <v>0</v>
      </c>
      <c r="Z52" s="2">
        <v>0</v>
      </c>
      <c r="AA52" s="2">
        <v>298</v>
      </c>
      <c r="AB52" s="6">
        <v>31</v>
      </c>
      <c r="AC52" s="6">
        <v>28</v>
      </c>
      <c r="AD52" s="6">
        <f t="shared" si="5"/>
        <v>1.1071428571428572</v>
      </c>
      <c r="AE52" s="6" t="s">
        <v>13</v>
      </c>
      <c r="AF52" s="6" t="s">
        <v>17</v>
      </c>
      <c r="AG52" s="2">
        <v>12</v>
      </c>
      <c r="AH52" s="7" t="s">
        <v>55</v>
      </c>
    </row>
    <row r="53" spans="1:35" x14ac:dyDescent="0.3">
      <c r="A53" s="13">
        <v>0</v>
      </c>
      <c r="B53" s="13">
        <v>0.01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f t="shared" si="8"/>
        <v>0.3</v>
      </c>
      <c r="I53" s="13">
        <v>3.67</v>
      </c>
      <c r="J53" s="13">
        <v>0.3</v>
      </c>
      <c r="K53" s="13">
        <v>0.3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5.0000000000000001E-3</v>
      </c>
      <c r="S53" s="13">
        <v>0</v>
      </c>
      <c r="T53" s="13">
        <v>0</v>
      </c>
      <c r="U53" s="2">
        <f t="shared" si="9"/>
        <v>413</v>
      </c>
      <c r="V53" s="2">
        <f t="shared" si="7"/>
        <v>168</v>
      </c>
      <c r="W53" s="2">
        <v>0</v>
      </c>
      <c r="X53" s="2">
        <v>160</v>
      </c>
      <c r="Y53" s="2">
        <v>0</v>
      </c>
      <c r="Z53" s="2">
        <v>0</v>
      </c>
      <c r="AA53" s="2">
        <v>298</v>
      </c>
      <c r="AB53" s="6">
        <v>119</v>
      </c>
      <c r="AC53" s="6">
        <v>59</v>
      </c>
      <c r="AD53" s="6">
        <f t="shared" si="5"/>
        <v>2.0169491525423728</v>
      </c>
      <c r="AE53" s="6" t="s">
        <v>13</v>
      </c>
      <c r="AF53" s="6" t="s">
        <v>17</v>
      </c>
      <c r="AG53" s="2">
        <v>12</v>
      </c>
      <c r="AH53" s="7" t="s">
        <v>55</v>
      </c>
    </row>
    <row r="54" spans="1:35" x14ac:dyDescent="0.3">
      <c r="A54" s="13">
        <v>0</v>
      </c>
      <c r="B54" s="13">
        <v>5.0000000000000001E-3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f t="shared" si="8"/>
        <v>0.3</v>
      </c>
      <c r="I54" s="13">
        <v>3.67</v>
      </c>
      <c r="J54" s="13">
        <v>0.3</v>
      </c>
      <c r="K54" s="13">
        <v>0.3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2">
        <f t="shared" si="9"/>
        <v>413</v>
      </c>
      <c r="V54" s="2">
        <f t="shared" si="7"/>
        <v>168</v>
      </c>
      <c r="W54" s="2">
        <v>0</v>
      </c>
      <c r="X54" s="2">
        <v>160</v>
      </c>
      <c r="Y54" s="2">
        <v>0</v>
      </c>
      <c r="Z54" s="2">
        <v>0</v>
      </c>
      <c r="AA54" s="2">
        <v>298</v>
      </c>
      <c r="AB54" s="6">
        <v>71</v>
      </c>
      <c r="AC54" s="6">
        <v>16</v>
      </c>
      <c r="AD54" s="6">
        <f t="shared" si="5"/>
        <v>4.4375</v>
      </c>
      <c r="AE54" s="6" t="s">
        <v>13</v>
      </c>
      <c r="AF54" s="6" t="s">
        <v>17</v>
      </c>
      <c r="AG54" s="2">
        <v>12</v>
      </c>
      <c r="AH54" s="7" t="s">
        <v>55</v>
      </c>
    </row>
    <row r="55" spans="1:35" x14ac:dyDescent="0.3">
      <c r="A55" s="13">
        <v>0</v>
      </c>
      <c r="B55" s="13">
        <v>5.0000000000000001E-3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f t="shared" si="8"/>
        <v>0.3</v>
      </c>
      <c r="I55" s="13">
        <v>3.67</v>
      </c>
      <c r="J55" s="13">
        <v>0.3</v>
      </c>
      <c r="K55" s="13">
        <v>0.3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2.5000000000000001E-3</v>
      </c>
      <c r="S55" s="13">
        <v>0</v>
      </c>
      <c r="T55" s="13">
        <v>0</v>
      </c>
      <c r="U55" s="2">
        <f t="shared" si="9"/>
        <v>413</v>
      </c>
      <c r="V55" s="2">
        <f t="shared" si="7"/>
        <v>168</v>
      </c>
      <c r="W55" s="2">
        <v>0</v>
      </c>
      <c r="X55" s="2">
        <v>160</v>
      </c>
      <c r="Y55" s="2">
        <v>0</v>
      </c>
      <c r="Z55" s="2">
        <v>0</v>
      </c>
      <c r="AA55" s="2">
        <v>298</v>
      </c>
      <c r="AB55" s="6">
        <v>61</v>
      </c>
      <c r="AC55" s="6">
        <v>27</v>
      </c>
      <c r="AD55" s="6">
        <f t="shared" si="5"/>
        <v>2.2592592592592591</v>
      </c>
      <c r="AE55" s="6" t="s">
        <v>13</v>
      </c>
      <c r="AF55" s="6" t="s">
        <v>17</v>
      </c>
      <c r="AG55" s="2">
        <v>12</v>
      </c>
      <c r="AH55" s="7" t="s">
        <v>55</v>
      </c>
    </row>
    <row r="56" spans="1:35" x14ac:dyDescent="0.3">
      <c r="A56" s="13">
        <v>0</v>
      </c>
      <c r="B56" s="13">
        <v>5.0000000000000001E-3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f t="shared" si="8"/>
        <v>0.3</v>
      </c>
      <c r="I56" s="13">
        <v>3.67</v>
      </c>
      <c r="J56" s="13">
        <v>0.3</v>
      </c>
      <c r="K56" s="13">
        <v>0.3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0.01</v>
      </c>
      <c r="S56" s="13">
        <v>0</v>
      </c>
      <c r="T56" s="13">
        <v>0</v>
      </c>
      <c r="U56" s="2">
        <f t="shared" si="9"/>
        <v>413</v>
      </c>
      <c r="V56" s="2">
        <f t="shared" si="7"/>
        <v>168</v>
      </c>
      <c r="W56" s="2">
        <v>0</v>
      </c>
      <c r="X56" s="2">
        <v>160</v>
      </c>
      <c r="Y56" s="2">
        <v>0</v>
      </c>
      <c r="Z56" s="2">
        <v>0</v>
      </c>
      <c r="AA56" s="2">
        <v>298</v>
      </c>
      <c r="AB56" s="6">
        <v>60</v>
      </c>
      <c r="AC56" s="6">
        <v>55</v>
      </c>
      <c r="AD56" s="6">
        <f t="shared" si="5"/>
        <v>1.0909090909090908</v>
      </c>
      <c r="AE56" s="6" t="s">
        <v>13</v>
      </c>
      <c r="AF56" s="6" t="s">
        <v>17</v>
      </c>
      <c r="AG56" s="2">
        <v>12</v>
      </c>
      <c r="AH56" s="7" t="s">
        <v>55</v>
      </c>
    </row>
    <row r="57" spans="1:35" x14ac:dyDescent="0.3">
      <c r="A57" s="13">
        <v>0</v>
      </c>
      <c r="B57" s="13">
        <v>0.23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f t="shared" ref="H57:H62" si="10">N57*2</f>
        <v>0.30499999999999999</v>
      </c>
      <c r="I57" s="13">
        <v>31.14</v>
      </c>
      <c r="J57" s="13">
        <v>0</v>
      </c>
      <c r="K57" s="13">
        <v>1.32</v>
      </c>
      <c r="L57" s="13">
        <v>0</v>
      </c>
      <c r="M57" s="13">
        <v>0</v>
      </c>
      <c r="N57" s="13">
        <f t="shared" ref="N57:N62" si="11">0.23/2+0.075/2</f>
        <v>0.1525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2">
        <v>463</v>
      </c>
      <c r="V57" s="2">
        <v>48</v>
      </c>
      <c r="W57" s="2">
        <v>0</v>
      </c>
      <c r="X57" s="2">
        <v>91</v>
      </c>
      <c r="Y57" s="2">
        <v>0</v>
      </c>
      <c r="Z57" s="2">
        <v>0</v>
      </c>
      <c r="AA57" s="2">
        <v>403</v>
      </c>
      <c r="AB57" s="6">
        <v>14.7</v>
      </c>
      <c r="AC57" s="6">
        <v>2</v>
      </c>
      <c r="AD57" s="6">
        <f t="shared" si="5"/>
        <v>7.35</v>
      </c>
      <c r="AE57" s="6" t="s">
        <v>56</v>
      </c>
      <c r="AF57" s="6" t="s">
        <v>56</v>
      </c>
      <c r="AG57" s="2">
        <v>15</v>
      </c>
      <c r="AH57" s="7" t="s">
        <v>57</v>
      </c>
    </row>
    <row r="58" spans="1:35" x14ac:dyDescent="0.3">
      <c r="A58" s="13">
        <v>0</v>
      </c>
      <c r="B58" s="13">
        <v>0.23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f t="shared" si="10"/>
        <v>0.30499999999999999</v>
      </c>
      <c r="I58" s="13">
        <v>31.14</v>
      </c>
      <c r="J58" s="13">
        <v>0</v>
      </c>
      <c r="K58" s="13">
        <v>1.32</v>
      </c>
      <c r="L58" s="13">
        <v>0</v>
      </c>
      <c r="M58" s="13">
        <v>0</v>
      </c>
      <c r="N58" s="13">
        <f t="shared" si="11"/>
        <v>0.1525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2">
        <v>463</v>
      </c>
      <c r="V58" s="2">
        <v>48</v>
      </c>
      <c r="W58" s="2">
        <v>0</v>
      </c>
      <c r="X58" s="2">
        <v>77</v>
      </c>
      <c r="Y58" s="2">
        <v>0</v>
      </c>
      <c r="Z58" s="2">
        <v>0</v>
      </c>
      <c r="AA58" s="2">
        <v>403</v>
      </c>
      <c r="AB58" s="6">
        <v>35</v>
      </c>
      <c r="AC58" s="6">
        <v>2.5</v>
      </c>
      <c r="AD58" s="6">
        <f t="shared" si="5"/>
        <v>14</v>
      </c>
      <c r="AE58" s="6" t="s">
        <v>56</v>
      </c>
      <c r="AF58" s="6" t="s">
        <v>56</v>
      </c>
      <c r="AG58" s="2">
        <v>15</v>
      </c>
      <c r="AH58" s="6" t="s">
        <v>57</v>
      </c>
    </row>
    <row r="59" spans="1:35" x14ac:dyDescent="0.3">
      <c r="A59" s="13">
        <v>0</v>
      </c>
      <c r="B59" s="13">
        <v>0.23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f t="shared" si="10"/>
        <v>0.30499999999999999</v>
      </c>
      <c r="I59" s="13">
        <v>31.14</v>
      </c>
      <c r="J59" s="13">
        <v>0</v>
      </c>
      <c r="K59" s="13">
        <v>1.32</v>
      </c>
      <c r="L59" s="13">
        <v>0</v>
      </c>
      <c r="M59" s="13">
        <v>0</v>
      </c>
      <c r="N59" s="13">
        <f t="shared" si="11"/>
        <v>0.1525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2">
        <v>463</v>
      </c>
      <c r="V59" s="2">
        <v>48</v>
      </c>
      <c r="W59" s="2">
        <v>0</v>
      </c>
      <c r="X59" s="2">
        <v>102</v>
      </c>
      <c r="Y59" s="2">
        <v>0</v>
      </c>
      <c r="Z59" s="2">
        <v>0</v>
      </c>
      <c r="AA59" s="2">
        <v>403</v>
      </c>
      <c r="AB59" s="6">
        <v>63</v>
      </c>
      <c r="AC59" s="6">
        <v>2.4</v>
      </c>
      <c r="AD59" s="6">
        <f t="shared" si="5"/>
        <v>26.25</v>
      </c>
      <c r="AE59" s="6" t="s">
        <v>56</v>
      </c>
      <c r="AF59" s="6" t="s">
        <v>56</v>
      </c>
      <c r="AG59" s="2">
        <v>15</v>
      </c>
      <c r="AH59" s="7" t="s">
        <v>57</v>
      </c>
    </row>
    <row r="60" spans="1:35" x14ac:dyDescent="0.3">
      <c r="A60" s="13">
        <v>0</v>
      </c>
      <c r="B60" s="13">
        <v>0.23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f t="shared" si="10"/>
        <v>0.30499999999999999</v>
      </c>
      <c r="I60" s="13">
        <v>31.14</v>
      </c>
      <c r="J60" s="13">
        <v>0</v>
      </c>
      <c r="K60" s="13">
        <v>1.32</v>
      </c>
      <c r="L60" s="13">
        <v>0</v>
      </c>
      <c r="M60" s="13">
        <v>0</v>
      </c>
      <c r="N60" s="13">
        <f t="shared" si="11"/>
        <v>0.1525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2">
        <v>463</v>
      </c>
      <c r="V60" s="2">
        <v>48</v>
      </c>
      <c r="W60" s="2">
        <v>0</v>
      </c>
      <c r="X60" s="2">
        <v>91</v>
      </c>
      <c r="Y60" s="2">
        <v>0</v>
      </c>
      <c r="Z60" s="2">
        <v>0</v>
      </c>
      <c r="AA60" s="2">
        <v>573</v>
      </c>
      <c r="AB60" s="6">
        <v>49</v>
      </c>
      <c r="AC60" s="6">
        <v>7.7</v>
      </c>
      <c r="AD60" s="6">
        <f t="shared" si="5"/>
        <v>6.3636363636363633</v>
      </c>
      <c r="AE60" s="6" t="s">
        <v>56</v>
      </c>
      <c r="AF60" s="6" t="s">
        <v>56</v>
      </c>
      <c r="AG60" s="2">
        <v>15</v>
      </c>
      <c r="AH60" s="6" t="s">
        <v>57</v>
      </c>
    </row>
    <row r="61" spans="1:35" x14ac:dyDescent="0.3">
      <c r="A61" s="13">
        <v>0</v>
      </c>
      <c r="B61" s="13">
        <v>0.23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f t="shared" si="10"/>
        <v>0.30499999999999999</v>
      </c>
      <c r="I61" s="13">
        <v>31.14</v>
      </c>
      <c r="J61" s="13">
        <v>0</v>
      </c>
      <c r="K61" s="13">
        <v>1.32</v>
      </c>
      <c r="L61" s="13">
        <v>0</v>
      </c>
      <c r="M61" s="13">
        <v>0</v>
      </c>
      <c r="N61" s="13">
        <f t="shared" si="11"/>
        <v>0.1525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2">
        <v>463</v>
      </c>
      <c r="V61" s="2">
        <v>48</v>
      </c>
      <c r="W61" s="2">
        <v>0</v>
      </c>
      <c r="X61" s="2">
        <v>77</v>
      </c>
      <c r="Y61" s="2">
        <v>0</v>
      </c>
      <c r="Z61" s="2">
        <v>0</v>
      </c>
      <c r="AA61" s="2">
        <v>573</v>
      </c>
      <c r="AB61" s="6">
        <v>120</v>
      </c>
      <c r="AC61" s="6">
        <v>7.9</v>
      </c>
      <c r="AD61" s="6">
        <f t="shared" si="5"/>
        <v>15.189873417721518</v>
      </c>
      <c r="AE61" s="6" t="s">
        <v>56</v>
      </c>
      <c r="AF61" s="6" t="s">
        <v>56</v>
      </c>
      <c r="AG61" s="2">
        <v>15</v>
      </c>
      <c r="AH61" s="7" t="s">
        <v>57</v>
      </c>
    </row>
    <row r="62" spans="1:35" x14ac:dyDescent="0.3">
      <c r="A62" s="13">
        <v>0</v>
      </c>
      <c r="B62" s="13">
        <v>0.23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f t="shared" si="10"/>
        <v>0.30499999999999999</v>
      </c>
      <c r="I62" s="13">
        <v>31.14</v>
      </c>
      <c r="J62" s="13">
        <v>0</v>
      </c>
      <c r="K62" s="13">
        <v>1.32</v>
      </c>
      <c r="L62" s="13">
        <v>0</v>
      </c>
      <c r="M62" s="13">
        <v>0</v>
      </c>
      <c r="N62" s="13">
        <f t="shared" si="11"/>
        <v>0.1525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2">
        <v>463</v>
      </c>
      <c r="V62" s="2">
        <v>48</v>
      </c>
      <c r="W62" s="2">
        <v>0</v>
      </c>
      <c r="X62" s="2">
        <v>102</v>
      </c>
      <c r="Y62" s="2">
        <v>0</v>
      </c>
      <c r="Z62" s="2">
        <v>0</v>
      </c>
      <c r="AA62" s="2">
        <v>573</v>
      </c>
      <c r="AB62" s="6">
        <v>56</v>
      </c>
      <c r="AC62" s="6">
        <v>7.4</v>
      </c>
      <c r="AD62" s="6">
        <f t="shared" si="5"/>
        <v>7.5675675675675675</v>
      </c>
      <c r="AE62" s="6" t="s">
        <v>56</v>
      </c>
      <c r="AF62" s="6" t="s">
        <v>56</v>
      </c>
      <c r="AG62" s="2">
        <v>15</v>
      </c>
      <c r="AH62" s="7" t="s">
        <v>57</v>
      </c>
    </row>
    <row r="63" spans="1:35" x14ac:dyDescent="0.3">
      <c r="A63" s="13">
        <v>0</v>
      </c>
      <c r="B63" s="13">
        <f>1/36</f>
        <v>2.7777777777777776E-2</v>
      </c>
      <c r="C63" s="13">
        <v>0</v>
      </c>
      <c r="D63" s="13">
        <f>1/152</f>
        <v>6.5789473684210523E-3</v>
      </c>
      <c r="E63" s="13">
        <v>0</v>
      </c>
      <c r="F63" s="13">
        <v>0</v>
      </c>
      <c r="G63" s="13">
        <v>0</v>
      </c>
      <c r="H63" s="13">
        <f>N63*2+K63</f>
        <v>0.30000000000000004</v>
      </c>
      <c r="I63" s="13">
        <v>45</v>
      </c>
      <c r="J63" s="13">
        <v>0</v>
      </c>
      <c r="K63" s="13">
        <f>0.1</f>
        <v>0.1</v>
      </c>
      <c r="L63" s="13">
        <v>0</v>
      </c>
      <c r="M63" s="13">
        <v>0</v>
      </c>
      <c r="N63" s="13">
        <f>0.1</f>
        <v>0.1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2">
        <v>448</v>
      </c>
      <c r="V63" s="2">
        <v>120</v>
      </c>
      <c r="W63" s="2">
        <v>0</v>
      </c>
      <c r="X63" s="2">
        <v>233</v>
      </c>
      <c r="Y63" s="2">
        <v>0</v>
      </c>
      <c r="Z63" s="2">
        <v>0</v>
      </c>
      <c r="AA63" s="2">
        <v>523</v>
      </c>
      <c r="AB63" s="6">
        <v>5.3</v>
      </c>
      <c r="AC63" s="6">
        <v>1.2</v>
      </c>
      <c r="AD63" s="6">
        <f t="shared" si="5"/>
        <v>4.416666666666667</v>
      </c>
      <c r="AE63" s="6" t="s">
        <v>49</v>
      </c>
      <c r="AF63" s="6" t="s">
        <v>5</v>
      </c>
      <c r="AG63" s="2">
        <v>17</v>
      </c>
      <c r="AH63" s="7" t="s">
        <v>58</v>
      </c>
      <c r="AI63" s="6" t="s">
        <v>59</v>
      </c>
    </row>
    <row r="64" spans="1:35" x14ac:dyDescent="0.3">
      <c r="A64" s="13">
        <v>0</v>
      </c>
      <c r="B64" s="13">
        <f>1/36</f>
        <v>2.7777777777777776E-2</v>
      </c>
      <c r="C64" s="13">
        <v>0</v>
      </c>
      <c r="D64" s="13">
        <f>1/152</f>
        <v>6.5789473684210523E-3</v>
      </c>
      <c r="E64" s="13">
        <v>0</v>
      </c>
      <c r="F64" s="13">
        <v>0</v>
      </c>
      <c r="G64" s="13">
        <v>0</v>
      </c>
      <c r="H64" s="13">
        <f>K64</f>
        <v>0.61</v>
      </c>
      <c r="I64" s="13">
        <v>7.5</v>
      </c>
      <c r="J64" s="13">
        <v>0.5</v>
      </c>
      <c r="K64" s="13">
        <v>0.61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2">
        <v>423</v>
      </c>
      <c r="V64" s="2">
        <v>240</v>
      </c>
      <c r="W64" s="2">
        <v>0</v>
      </c>
      <c r="X64" s="2">
        <v>160</v>
      </c>
      <c r="Y64" s="2">
        <v>0</v>
      </c>
      <c r="Z64" s="2">
        <v>0</v>
      </c>
      <c r="AA64" s="2">
        <v>523</v>
      </c>
      <c r="AB64" s="6">
        <v>4</v>
      </c>
      <c r="AC64" s="6">
        <v>4.5</v>
      </c>
      <c r="AD64" s="6">
        <f t="shared" si="5"/>
        <v>0.88888888888888884</v>
      </c>
      <c r="AE64" s="6" t="s">
        <v>13</v>
      </c>
      <c r="AF64" s="6" t="s">
        <v>13</v>
      </c>
      <c r="AG64" s="2">
        <v>17</v>
      </c>
      <c r="AH64" s="7" t="s">
        <v>58</v>
      </c>
      <c r="AI64" s="6" t="s">
        <v>60</v>
      </c>
    </row>
    <row r="65" spans="1:35" x14ac:dyDescent="0.3">
      <c r="A65" s="13">
        <v>0</v>
      </c>
      <c r="B65" s="13">
        <f>1/100</f>
        <v>0.01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f>N65*2</f>
        <v>0.3</v>
      </c>
      <c r="I65" s="13">
        <f>4400/100</f>
        <v>44</v>
      </c>
      <c r="J65" s="13">
        <v>0</v>
      </c>
      <c r="K65" s="13">
        <f>13/100</f>
        <v>0.13</v>
      </c>
      <c r="L65" s="13">
        <v>0</v>
      </c>
      <c r="M65" s="13">
        <v>0</v>
      </c>
      <c r="N65" s="13">
        <f>15/100</f>
        <v>0.15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2">
        <v>423</v>
      </c>
      <c r="V65" s="2">
        <v>48</v>
      </c>
      <c r="W65" s="2">
        <v>0</v>
      </c>
      <c r="X65" s="2">
        <v>233</v>
      </c>
      <c r="Y65" s="2">
        <v>0</v>
      </c>
      <c r="Z65" s="2">
        <v>0</v>
      </c>
      <c r="AA65" s="2">
        <v>523</v>
      </c>
      <c r="AB65" s="6">
        <v>2.7</v>
      </c>
      <c r="AC65" s="6">
        <v>0.5</v>
      </c>
      <c r="AD65" s="6">
        <f t="shared" si="5"/>
        <v>5.4</v>
      </c>
      <c r="AE65" s="6" t="s">
        <v>49</v>
      </c>
      <c r="AF65" s="6" t="s">
        <v>5</v>
      </c>
      <c r="AG65" s="2">
        <v>19</v>
      </c>
      <c r="AH65" s="7" t="s">
        <v>61</v>
      </c>
      <c r="AI65" s="6" t="s">
        <v>59</v>
      </c>
    </row>
    <row r="66" spans="1:35" x14ac:dyDescent="0.3">
      <c r="A66" s="13">
        <v>0</v>
      </c>
      <c r="B66" s="13">
        <v>0</v>
      </c>
      <c r="C66" s="13">
        <f>1/100</f>
        <v>0.01</v>
      </c>
      <c r="D66" s="13">
        <v>0</v>
      </c>
      <c r="E66" s="13">
        <v>0</v>
      </c>
      <c r="F66" s="13">
        <v>0</v>
      </c>
      <c r="G66" s="13">
        <v>0</v>
      </c>
      <c r="H66" s="13">
        <f>N66*2</f>
        <v>0.3</v>
      </c>
      <c r="I66" s="13">
        <f>4400/100</f>
        <v>44</v>
      </c>
      <c r="J66" s="13">
        <v>0</v>
      </c>
      <c r="K66" s="13">
        <f>13/100</f>
        <v>0.13</v>
      </c>
      <c r="L66" s="13">
        <v>0</v>
      </c>
      <c r="M66" s="13">
        <v>0</v>
      </c>
      <c r="N66" s="13">
        <f>15/100</f>
        <v>0.15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2">
        <v>423</v>
      </c>
      <c r="V66" s="2">
        <v>48</v>
      </c>
      <c r="W66" s="2">
        <v>0</v>
      </c>
      <c r="X66" s="2">
        <v>233</v>
      </c>
      <c r="Y66" s="2">
        <v>0</v>
      </c>
      <c r="Z66" s="2">
        <v>0</v>
      </c>
      <c r="AA66" s="2">
        <v>523</v>
      </c>
      <c r="AB66" s="6">
        <v>1.4</v>
      </c>
      <c r="AC66" s="6">
        <v>0.4</v>
      </c>
      <c r="AD66" s="6">
        <f t="shared" si="5"/>
        <v>3.4999999999999996</v>
      </c>
      <c r="AE66" s="6" t="s">
        <v>49</v>
      </c>
      <c r="AF66" s="6" t="s">
        <v>5</v>
      </c>
      <c r="AG66" s="2">
        <v>19</v>
      </c>
      <c r="AH66" s="7" t="s">
        <v>61</v>
      </c>
      <c r="AI66" s="6" t="s">
        <v>59</v>
      </c>
    </row>
    <row r="67" spans="1:35" x14ac:dyDescent="0.3">
      <c r="A67" s="13">
        <v>0</v>
      </c>
      <c r="B67" s="13">
        <v>0</v>
      </c>
      <c r="C67" s="13">
        <v>0</v>
      </c>
      <c r="D67" s="13">
        <f>2.1/100</f>
        <v>2.1000000000000001E-2</v>
      </c>
      <c r="E67" s="13">
        <v>0</v>
      </c>
      <c r="F67" s="13">
        <v>0</v>
      </c>
      <c r="G67" s="13">
        <v>0</v>
      </c>
      <c r="H67" s="13">
        <f>N67*2</f>
        <v>0.3</v>
      </c>
      <c r="I67" s="13">
        <f>4400/100</f>
        <v>44</v>
      </c>
      <c r="J67" s="13">
        <v>0</v>
      </c>
      <c r="K67" s="13">
        <f>13/100</f>
        <v>0.13</v>
      </c>
      <c r="L67" s="13">
        <v>0</v>
      </c>
      <c r="M67" s="13">
        <v>0</v>
      </c>
      <c r="N67" s="13">
        <f>15/100</f>
        <v>0.15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2">
        <v>423</v>
      </c>
      <c r="V67" s="2">
        <v>48</v>
      </c>
      <c r="W67" s="2">
        <v>0</v>
      </c>
      <c r="X67" s="2">
        <v>233</v>
      </c>
      <c r="Y67" s="2">
        <v>0</v>
      </c>
      <c r="Z67" s="2">
        <v>0</v>
      </c>
      <c r="AA67" s="2">
        <v>513</v>
      </c>
      <c r="AB67" s="6">
        <v>1.7</v>
      </c>
      <c r="AC67" s="6">
        <v>0.5</v>
      </c>
      <c r="AD67" s="6">
        <f t="shared" si="5"/>
        <v>3.4</v>
      </c>
      <c r="AE67" s="6" t="s">
        <v>49</v>
      </c>
      <c r="AF67" s="6" t="s">
        <v>5</v>
      </c>
      <c r="AG67" s="2">
        <v>19</v>
      </c>
      <c r="AH67" s="7" t="s">
        <v>61</v>
      </c>
      <c r="AI67" s="6" t="s">
        <v>59</v>
      </c>
    </row>
    <row r="68" spans="1:35" x14ac:dyDescent="0.3">
      <c r="A68" s="13">
        <v>0</v>
      </c>
      <c r="B68" s="13">
        <v>0</v>
      </c>
      <c r="C68" s="13">
        <v>0</v>
      </c>
      <c r="D68" s="13">
        <v>0</v>
      </c>
      <c r="E68" s="13">
        <f>2/100</f>
        <v>0.02</v>
      </c>
      <c r="F68" s="13">
        <v>0</v>
      </c>
      <c r="G68" s="13">
        <v>0</v>
      </c>
      <c r="H68" s="13">
        <f>N68*2</f>
        <v>0.3</v>
      </c>
      <c r="I68" s="13">
        <f>4400/100</f>
        <v>44</v>
      </c>
      <c r="J68" s="13">
        <v>0</v>
      </c>
      <c r="K68" s="13">
        <f>13/100</f>
        <v>0.13</v>
      </c>
      <c r="L68" s="13">
        <v>0</v>
      </c>
      <c r="M68" s="13">
        <v>0</v>
      </c>
      <c r="N68" s="13">
        <f>15/100</f>
        <v>0.15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2">
        <v>423</v>
      </c>
      <c r="V68" s="2">
        <v>48</v>
      </c>
      <c r="W68" s="2">
        <v>0</v>
      </c>
      <c r="X68" s="2">
        <v>233</v>
      </c>
      <c r="Y68" s="2">
        <v>0</v>
      </c>
      <c r="Z68" s="2">
        <v>0</v>
      </c>
      <c r="AA68" s="2">
        <v>453</v>
      </c>
      <c r="AB68" s="6">
        <v>0.04</v>
      </c>
      <c r="AC68" s="6">
        <v>1.3</v>
      </c>
      <c r="AD68" s="6">
        <f t="shared" si="5"/>
        <v>3.0769230769230767E-2</v>
      </c>
      <c r="AE68" s="6" t="s">
        <v>49</v>
      </c>
      <c r="AF68" s="6" t="s">
        <v>5</v>
      </c>
      <c r="AG68" s="2">
        <v>19</v>
      </c>
      <c r="AH68" s="7" t="s">
        <v>61</v>
      </c>
      <c r="AI68" s="6" t="s">
        <v>59</v>
      </c>
    </row>
    <row r="69" spans="1:35" x14ac:dyDescent="0.3">
      <c r="A69" s="13">
        <v>0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f>N69*2</f>
        <v>0.3</v>
      </c>
      <c r="I69" s="13">
        <f>4400/100</f>
        <v>44</v>
      </c>
      <c r="J69" s="13">
        <v>0</v>
      </c>
      <c r="K69" s="13">
        <f>13/100</f>
        <v>0.13</v>
      </c>
      <c r="L69" s="13">
        <v>0</v>
      </c>
      <c r="M69" s="13">
        <f>3.3/100</f>
        <v>3.3000000000000002E-2</v>
      </c>
      <c r="N69" s="13">
        <f>15/100</f>
        <v>0.15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2">
        <v>423</v>
      </c>
      <c r="V69" s="2">
        <v>48</v>
      </c>
      <c r="W69" s="2">
        <v>0</v>
      </c>
      <c r="X69" s="2">
        <v>233</v>
      </c>
      <c r="Y69" s="2">
        <v>0</v>
      </c>
      <c r="Z69" s="2">
        <v>0</v>
      </c>
      <c r="AA69" s="2">
        <v>453</v>
      </c>
      <c r="AB69" s="6">
        <v>0.17</v>
      </c>
      <c r="AC69" s="6">
        <v>0.8</v>
      </c>
      <c r="AD69" s="6">
        <f t="shared" si="5"/>
        <v>0.21249999999999999</v>
      </c>
      <c r="AE69" s="6" t="s">
        <v>49</v>
      </c>
      <c r="AF69" s="6" t="s">
        <v>5</v>
      </c>
      <c r="AG69" s="2">
        <v>19</v>
      </c>
      <c r="AH69" s="7" t="s">
        <v>61</v>
      </c>
      <c r="AI69" s="6" t="s">
        <v>59</v>
      </c>
    </row>
    <row r="70" spans="1:35" x14ac:dyDescent="0.3">
      <c r="A70" s="13">
        <v>0</v>
      </c>
      <c r="B70" s="13">
        <f>2/18</f>
        <v>0.1111111111111111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f>N70*2+O70*2</f>
        <v>0.27222222222222225</v>
      </c>
      <c r="I70" s="13">
        <f>22.5/18</f>
        <v>1.25</v>
      </c>
      <c r="J70" s="13">
        <v>0</v>
      </c>
      <c r="K70" s="13">
        <v>0</v>
      </c>
      <c r="L70" s="13">
        <v>0</v>
      </c>
      <c r="M70" s="13">
        <v>0</v>
      </c>
      <c r="N70" s="13">
        <f>1.21/18</f>
        <v>6.7222222222222225E-2</v>
      </c>
      <c r="O70" s="13">
        <f>1.24/18</f>
        <v>6.8888888888888888E-2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2">
        <v>453</v>
      </c>
      <c r="V70" s="2">
        <v>18</v>
      </c>
      <c r="W70" s="2">
        <v>0</v>
      </c>
      <c r="X70" s="2">
        <v>0</v>
      </c>
      <c r="Y70" s="2">
        <v>0</v>
      </c>
      <c r="Z70" s="2">
        <v>0</v>
      </c>
      <c r="AA70" s="2">
        <v>473</v>
      </c>
      <c r="AD70" s="6">
        <v>1.7</v>
      </c>
      <c r="AE70" s="6" t="s">
        <v>8</v>
      </c>
      <c r="AF70" s="6" t="s">
        <v>8</v>
      </c>
      <c r="AG70" s="2">
        <v>20</v>
      </c>
      <c r="AH70" s="7" t="s">
        <v>62</v>
      </c>
    </row>
    <row r="71" spans="1:35" x14ac:dyDescent="0.3">
      <c r="A71" s="13">
        <v>0</v>
      </c>
      <c r="B71" s="13">
        <f>37/1000/3</f>
        <v>1.2333333333333333E-2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0.3</v>
      </c>
      <c r="I71" s="13">
        <v>36.299999999999997</v>
      </c>
      <c r="J71" s="13">
        <v>0</v>
      </c>
      <c r="K71" s="13">
        <f>0.45/3</f>
        <v>0.15</v>
      </c>
      <c r="L71" s="13">
        <v>0</v>
      </c>
      <c r="M71" s="13">
        <v>0</v>
      </c>
      <c r="N71" s="13">
        <v>0</v>
      </c>
      <c r="O71" s="13">
        <f>0.3/2</f>
        <v>0.15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2">
        <f>273+160</f>
        <v>433</v>
      </c>
      <c r="V71" s="2">
        <f>2.5*24</f>
        <v>60</v>
      </c>
      <c r="W71" s="2">
        <v>0</v>
      </c>
      <c r="X71" s="2">
        <v>187</v>
      </c>
      <c r="Y71" s="2">
        <v>0</v>
      </c>
      <c r="Z71" s="2">
        <v>150</v>
      </c>
      <c r="AA71" s="2">
        <f>273+170</f>
        <v>443</v>
      </c>
      <c r="AB71" s="6">
        <v>0.26</v>
      </c>
      <c r="AC71" s="6">
        <v>0.04</v>
      </c>
      <c r="AD71" s="6">
        <f>AB71/AC71</f>
        <v>6.5</v>
      </c>
      <c r="AE71" s="6" t="s">
        <v>7</v>
      </c>
      <c r="AF71" s="6" t="s">
        <v>7</v>
      </c>
      <c r="AG71" s="2">
        <v>23</v>
      </c>
      <c r="AH71" s="6" t="s">
        <v>63</v>
      </c>
    </row>
    <row r="72" spans="1:35" x14ac:dyDescent="0.3">
      <c r="A72" s="13">
        <v>0</v>
      </c>
      <c r="B72" s="13">
        <f>37/1000/3</f>
        <v>1.2333333333333333E-2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0.3</v>
      </c>
      <c r="I72" s="13">
        <v>36.299999999999997</v>
      </c>
      <c r="J72" s="13">
        <v>0</v>
      </c>
      <c r="K72" s="13">
        <f>0.45/3</f>
        <v>0.15</v>
      </c>
      <c r="L72" s="13">
        <v>0</v>
      </c>
      <c r="M72" s="13">
        <v>0</v>
      </c>
      <c r="N72" s="13">
        <v>0</v>
      </c>
      <c r="O72" s="13">
        <f>0.3/2</f>
        <v>0.15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2">
        <f>273+160</f>
        <v>433</v>
      </c>
      <c r="V72" s="2">
        <f>2.5*24</f>
        <v>60</v>
      </c>
      <c r="W72" s="2">
        <v>0</v>
      </c>
      <c r="X72" s="2">
        <v>187</v>
      </c>
      <c r="Y72" s="2">
        <v>0</v>
      </c>
      <c r="Z72" s="2">
        <v>150</v>
      </c>
      <c r="AA72" s="2">
        <f>273+520</f>
        <v>793</v>
      </c>
      <c r="AB72" s="6">
        <v>0.114</v>
      </c>
      <c r="AC72" s="6">
        <v>0.05</v>
      </c>
      <c r="AD72" s="6">
        <v>1.7</v>
      </c>
      <c r="AE72" s="6" t="s">
        <v>7</v>
      </c>
      <c r="AF72" s="6" t="s">
        <v>7</v>
      </c>
      <c r="AG72" s="2">
        <v>23</v>
      </c>
      <c r="AH72" s="6" t="s">
        <v>63</v>
      </c>
    </row>
    <row r="73" spans="1:35" x14ac:dyDescent="0.3">
      <c r="A73" s="13">
        <v>0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43.3</v>
      </c>
      <c r="J73" s="13">
        <v>0</v>
      </c>
      <c r="K73" s="13">
        <v>0.3</v>
      </c>
      <c r="L73" s="13">
        <v>0</v>
      </c>
      <c r="M73" s="13">
        <v>7.3999999999999996E-2</v>
      </c>
      <c r="N73" s="13">
        <v>1.7999999999999999E-2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2">
        <f>273+150</f>
        <v>423</v>
      </c>
      <c r="V73" s="2">
        <f>24*17</f>
        <v>408</v>
      </c>
      <c r="W73" s="2">
        <v>1</v>
      </c>
      <c r="X73" s="2">
        <v>205</v>
      </c>
      <c r="Y73" s="2">
        <v>0</v>
      </c>
      <c r="Z73" s="2">
        <v>0</v>
      </c>
      <c r="AA73" s="2">
        <f t="shared" ref="AA73:AA95" si="12">273+150</f>
        <v>423</v>
      </c>
      <c r="AD73" s="6">
        <v>44.4</v>
      </c>
      <c r="AE73" s="6" t="s">
        <v>64</v>
      </c>
      <c r="AF73" s="6" t="s">
        <v>64</v>
      </c>
      <c r="AG73" s="2">
        <v>24</v>
      </c>
      <c r="AH73" s="7" t="s">
        <v>65</v>
      </c>
    </row>
    <row r="74" spans="1:35" x14ac:dyDescent="0.3">
      <c r="A74" s="13">
        <v>0</v>
      </c>
      <c r="B74" s="13">
        <f>0.24/12</f>
        <v>0.02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f>80/12</f>
        <v>6.666666666666667</v>
      </c>
      <c r="J74" s="13">
        <v>0</v>
      </c>
      <c r="K74" s="13">
        <f>1.2/12</f>
        <v>9.9999999999999992E-2</v>
      </c>
      <c r="L74" s="13">
        <v>0</v>
      </c>
      <c r="M74" s="13">
        <v>0</v>
      </c>
      <c r="N74" s="13">
        <f>1.8/12</f>
        <v>0.15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2">
        <f>273+160</f>
        <v>433</v>
      </c>
      <c r="V74" s="2">
        <v>96</v>
      </c>
      <c r="W74" s="2">
        <v>1</v>
      </c>
      <c r="X74" s="2">
        <v>286</v>
      </c>
      <c r="Y74" s="2">
        <v>0</v>
      </c>
      <c r="Z74" s="2">
        <v>50</v>
      </c>
      <c r="AA74" s="2">
        <f t="shared" si="12"/>
        <v>423</v>
      </c>
      <c r="AB74" s="6">
        <v>736</v>
      </c>
      <c r="AC74" s="6">
        <v>162</v>
      </c>
      <c r="AD74" s="6">
        <f t="shared" ref="AD74:AD104" si="13">AB74/AC74</f>
        <v>4.5432098765432096</v>
      </c>
      <c r="AE74" s="6" t="s">
        <v>66</v>
      </c>
      <c r="AF74" s="6" t="s">
        <v>10</v>
      </c>
      <c r="AG74" s="2">
        <v>25</v>
      </c>
      <c r="AH74" s="6" t="s">
        <v>100</v>
      </c>
    </row>
    <row r="75" spans="1:35" x14ac:dyDescent="0.3">
      <c r="A75" s="13">
        <v>0</v>
      </c>
      <c r="B75" s="13">
        <f>0.24/12</f>
        <v>0.02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f>80/12</f>
        <v>6.666666666666667</v>
      </c>
      <c r="J75" s="13">
        <v>0</v>
      </c>
      <c r="K75" s="13">
        <f>1.2/12</f>
        <v>9.9999999999999992E-2</v>
      </c>
      <c r="L75" s="13">
        <v>0</v>
      </c>
      <c r="M75" s="13">
        <v>0</v>
      </c>
      <c r="N75" s="13">
        <f>1.8/12</f>
        <v>0.15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2">
        <f>273+160</f>
        <v>433</v>
      </c>
      <c r="V75" s="2">
        <v>96</v>
      </c>
      <c r="W75" s="2">
        <v>1</v>
      </c>
      <c r="X75" s="2">
        <v>306</v>
      </c>
      <c r="Y75" s="2">
        <v>0</v>
      </c>
      <c r="Z75" s="2">
        <v>50</v>
      </c>
      <c r="AA75" s="2">
        <f t="shared" si="12"/>
        <v>423</v>
      </c>
      <c r="AB75" s="6">
        <v>436</v>
      </c>
      <c r="AC75" s="6">
        <v>114</v>
      </c>
      <c r="AD75" s="6">
        <f t="shared" si="13"/>
        <v>3.8245614035087718</v>
      </c>
      <c r="AE75" s="6" t="s">
        <v>66</v>
      </c>
      <c r="AF75" s="6" t="s">
        <v>10</v>
      </c>
      <c r="AG75" s="2">
        <v>25</v>
      </c>
      <c r="AH75" s="6" t="s">
        <v>100</v>
      </c>
    </row>
    <row r="76" spans="1:35" x14ac:dyDescent="0.3">
      <c r="A76" s="13">
        <v>0</v>
      </c>
      <c r="B76" s="13">
        <f>0.24/12</f>
        <v>0.02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f>80/12</f>
        <v>6.666666666666667</v>
      </c>
      <c r="J76" s="13">
        <v>0</v>
      </c>
      <c r="K76" s="13">
        <f>1.2/12</f>
        <v>9.9999999999999992E-2</v>
      </c>
      <c r="L76" s="13">
        <v>0</v>
      </c>
      <c r="M76" s="13">
        <v>0</v>
      </c>
      <c r="N76" s="13">
        <f>1.8/12</f>
        <v>0.15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2">
        <f>273+160</f>
        <v>433</v>
      </c>
      <c r="V76" s="2">
        <v>96</v>
      </c>
      <c r="W76" s="2">
        <v>1</v>
      </c>
      <c r="X76" s="2">
        <v>306</v>
      </c>
      <c r="Y76" s="2">
        <v>0</v>
      </c>
      <c r="Z76" s="2">
        <v>50</v>
      </c>
      <c r="AA76" s="2">
        <f t="shared" si="12"/>
        <v>423</v>
      </c>
      <c r="AB76" s="6">
        <v>253</v>
      </c>
      <c r="AC76" s="6">
        <v>48</v>
      </c>
      <c r="AD76" s="6">
        <f t="shared" si="13"/>
        <v>5.270833333333333</v>
      </c>
      <c r="AE76" s="6" t="s">
        <v>66</v>
      </c>
      <c r="AF76" s="6" t="s">
        <v>10</v>
      </c>
      <c r="AG76" s="2">
        <v>25</v>
      </c>
      <c r="AH76" s="6" t="s">
        <v>100</v>
      </c>
    </row>
    <row r="77" spans="1:35" x14ac:dyDescent="0.3">
      <c r="A77" s="13">
        <v>0</v>
      </c>
      <c r="B77" s="13">
        <f>0.24/12</f>
        <v>0.02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f>80/12</f>
        <v>6.666666666666667</v>
      </c>
      <c r="J77" s="13">
        <v>0</v>
      </c>
      <c r="K77" s="13">
        <f>1.2/12</f>
        <v>9.9999999999999992E-2</v>
      </c>
      <c r="L77" s="13">
        <v>0</v>
      </c>
      <c r="M77" s="13">
        <v>0</v>
      </c>
      <c r="N77" s="13">
        <f>1.8/12</f>
        <v>0.15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2">
        <f>273+160</f>
        <v>433</v>
      </c>
      <c r="V77" s="2">
        <v>96</v>
      </c>
      <c r="W77" s="2">
        <v>1</v>
      </c>
      <c r="X77" s="2">
        <v>147</v>
      </c>
      <c r="Y77" s="2">
        <v>0</v>
      </c>
      <c r="Z77" s="2">
        <v>50</v>
      </c>
      <c r="AA77" s="2">
        <f t="shared" si="12"/>
        <v>423</v>
      </c>
      <c r="AB77" s="6">
        <v>478</v>
      </c>
      <c r="AC77" s="6">
        <v>97</v>
      </c>
      <c r="AD77" s="6">
        <f t="shared" si="13"/>
        <v>4.927835051546392</v>
      </c>
      <c r="AE77" s="6" t="s">
        <v>66</v>
      </c>
      <c r="AF77" s="6" t="s">
        <v>10</v>
      </c>
      <c r="AG77" s="2">
        <v>25</v>
      </c>
      <c r="AH77" s="6" t="s">
        <v>100</v>
      </c>
    </row>
    <row r="78" spans="1:35" x14ac:dyDescent="0.3">
      <c r="A78" s="13">
        <v>0.1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55</v>
      </c>
      <c r="J78" s="13">
        <v>1.4</v>
      </c>
      <c r="K78" s="13">
        <v>7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2">
        <f t="shared" ref="U78:U90" si="14">273+175</f>
        <v>448</v>
      </c>
      <c r="V78" s="2">
        <f t="shared" ref="V78:V90" si="15">24*10</f>
        <v>240</v>
      </c>
      <c r="W78" s="2">
        <v>0</v>
      </c>
      <c r="X78" s="2">
        <v>227</v>
      </c>
      <c r="Y78" s="2">
        <v>0</v>
      </c>
      <c r="Z78" s="2">
        <v>0</v>
      </c>
      <c r="AA78" s="2">
        <f t="shared" si="12"/>
        <v>423</v>
      </c>
      <c r="AB78" s="6">
        <v>0</v>
      </c>
      <c r="AC78" s="6">
        <v>10</v>
      </c>
      <c r="AD78" s="6">
        <f t="shared" si="13"/>
        <v>0</v>
      </c>
      <c r="AE78" s="6" t="s">
        <v>21</v>
      </c>
      <c r="AG78" s="2">
        <v>26</v>
      </c>
      <c r="AH78" s="6" t="s">
        <v>79</v>
      </c>
    </row>
    <row r="79" spans="1:35" x14ac:dyDescent="0.3">
      <c r="A79" s="13">
        <v>0.1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55</v>
      </c>
      <c r="J79" s="13">
        <v>1.4</v>
      </c>
      <c r="K79" s="13">
        <v>7</v>
      </c>
      <c r="L79" s="13">
        <v>0</v>
      </c>
      <c r="M79" s="13">
        <v>0.06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2">
        <f t="shared" si="14"/>
        <v>448</v>
      </c>
      <c r="V79" s="2">
        <f t="shared" si="15"/>
        <v>240</v>
      </c>
      <c r="W79" s="2">
        <v>0</v>
      </c>
      <c r="X79" s="2">
        <v>227</v>
      </c>
      <c r="Y79" s="2">
        <v>0</v>
      </c>
      <c r="Z79" s="2">
        <v>0</v>
      </c>
      <c r="AA79" s="2">
        <f t="shared" si="12"/>
        <v>423</v>
      </c>
      <c r="AB79" s="6">
        <v>25</v>
      </c>
      <c r="AC79" s="6">
        <v>59</v>
      </c>
      <c r="AD79" s="6">
        <f t="shared" si="13"/>
        <v>0.42372881355932202</v>
      </c>
      <c r="AE79" s="6" t="s">
        <v>21</v>
      </c>
      <c r="AG79" s="2">
        <v>26</v>
      </c>
      <c r="AH79" s="6" t="s">
        <v>79</v>
      </c>
    </row>
    <row r="80" spans="1:35" x14ac:dyDescent="0.3">
      <c r="A80" s="13">
        <v>0.1</v>
      </c>
      <c r="B80" s="18">
        <v>0.01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55</v>
      </c>
      <c r="J80" s="13">
        <v>1.4</v>
      </c>
      <c r="K80" s="13">
        <v>7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2">
        <f t="shared" si="14"/>
        <v>448</v>
      </c>
      <c r="V80" s="2">
        <f t="shared" si="15"/>
        <v>240</v>
      </c>
      <c r="W80" s="2">
        <v>0</v>
      </c>
      <c r="X80" s="2">
        <v>227</v>
      </c>
      <c r="Y80" s="2">
        <v>0</v>
      </c>
      <c r="Z80" s="2">
        <v>0</v>
      </c>
      <c r="AA80" s="2">
        <f t="shared" si="12"/>
        <v>423</v>
      </c>
      <c r="AB80" s="6">
        <v>102</v>
      </c>
      <c r="AC80" s="6">
        <v>22</v>
      </c>
      <c r="AD80" s="6">
        <f t="shared" si="13"/>
        <v>4.6363636363636367</v>
      </c>
      <c r="AE80" s="6" t="s">
        <v>21</v>
      </c>
      <c r="AG80" s="2">
        <v>26</v>
      </c>
      <c r="AH80" s="6" t="s">
        <v>79</v>
      </c>
    </row>
    <row r="81" spans="1:34" x14ac:dyDescent="0.3">
      <c r="A81" s="13">
        <v>0.1</v>
      </c>
      <c r="B81" s="13">
        <v>2.1999999999999999E-2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55</v>
      </c>
      <c r="J81" s="13">
        <v>1.4</v>
      </c>
      <c r="K81" s="13">
        <v>7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2">
        <f t="shared" si="14"/>
        <v>448</v>
      </c>
      <c r="V81" s="2">
        <f t="shared" si="15"/>
        <v>240</v>
      </c>
      <c r="W81" s="2">
        <v>0</v>
      </c>
      <c r="X81" s="2">
        <v>227</v>
      </c>
      <c r="Y81" s="2">
        <v>0</v>
      </c>
      <c r="Z81" s="2">
        <v>0</v>
      </c>
      <c r="AA81" s="2">
        <f t="shared" si="12"/>
        <v>423</v>
      </c>
      <c r="AB81" s="6">
        <v>84</v>
      </c>
      <c r="AC81" s="6">
        <v>86</v>
      </c>
      <c r="AD81" s="6">
        <f t="shared" si="13"/>
        <v>0.97674418604651159</v>
      </c>
      <c r="AE81" s="6" t="s">
        <v>21</v>
      </c>
      <c r="AG81" s="2">
        <v>26</v>
      </c>
      <c r="AH81" s="6" t="s">
        <v>79</v>
      </c>
    </row>
    <row r="82" spans="1:34" x14ac:dyDescent="0.3">
      <c r="A82" s="13">
        <v>0.1</v>
      </c>
      <c r="B82" s="13">
        <v>0</v>
      </c>
      <c r="C82" s="13">
        <v>0.01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55</v>
      </c>
      <c r="J82" s="13">
        <v>1.4</v>
      </c>
      <c r="K82" s="13">
        <v>7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2">
        <f t="shared" si="14"/>
        <v>448</v>
      </c>
      <c r="V82" s="2">
        <f t="shared" si="15"/>
        <v>240</v>
      </c>
      <c r="W82" s="2">
        <v>0</v>
      </c>
      <c r="X82" s="2">
        <v>227</v>
      </c>
      <c r="Y82" s="2">
        <v>0</v>
      </c>
      <c r="Z82" s="2">
        <v>0</v>
      </c>
      <c r="AA82" s="2">
        <f t="shared" si="12"/>
        <v>423</v>
      </c>
      <c r="AB82" s="6">
        <v>59</v>
      </c>
      <c r="AC82" s="6">
        <v>90</v>
      </c>
      <c r="AD82" s="6">
        <f t="shared" si="13"/>
        <v>0.65555555555555556</v>
      </c>
      <c r="AE82" s="6" t="s">
        <v>21</v>
      </c>
      <c r="AG82" s="2">
        <v>26</v>
      </c>
      <c r="AH82" s="6" t="s">
        <v>79</v>
      </c>
    </row>
    <row r="83" spans="1:34" x14ac:dyDescent="0.3">
      <c r="A83" s="13">
        <v>0.5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55</v>
      </c>
      <c r="J83" s="13">
        <v>1.4</v>
      </c>
      <c r="K83" s="13">
        <v>7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2">
        <f t="shared" si="14"/>
        <v>448</v>
      </c>
      <c r="V83" s="2">
        <f t="shared" si="15"/>
        <v>240</v>
      </c>
      <c r="W83" s="2">
        <v>0</v>
      </c>
      <c r="X83" s="2">
        <v>227</v>
      </c>
      <c r="Y83" s="2">
        <v>0</v>
      </c>
      <c r="Z83" s="2">
        <v>0</v>
      </c>
      <c r="AA83" s="2">
        <f t="shared" si="12"/>
        <v>423</v>
      </c>
      <c r="AB83" s="6">
        <v>0</v>
      </c>
      <c r="AC83" s="6">
        <v>20</v>
      </c>
      <c r="AD83" s="6">
        <f t="shared" si="13"/>
        <v>0</v>
      </c>
      <c r="AE83" s="6" t="s">
        <v>21</v>
      </c>
      <c r="AG83" s="2">
        <v>26</v>
      </c>
      <c r="AH83" s="6" t="s">
        <v>79</v>
      </c>
    </row>
    <row r="84" spans="1:34" x14ac:dyDescent="0.3">
      <c r="A84" s="13">
        <v>0.5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55</v>
      </c>
      <c r="J84" s="13">
        <v>1.4</v>
      </c>
      <c r="K84" s="13">
        <v>7</v>
      </c>
      <c r="L84" s="13">
        <v>0</v>
      </c>
      <c r="M84" s="13">
        <v>7.9000000000000001E-2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2">
        <f t="shared" si="14"/>
        <v>448</v>
      </c>
      <c r="V84" s="2">
        <f t="shared" si="15"/>
        <v>240</v>
      </c>
      <c r="W84" s="2">
        <v>0</v>
      </c>
      <c r="X84" s="2">
        <v>227</v>
      </c>
      <c r="Y84" s="2">
        <v>0</v>
      </c>
      <c r="Z84" s="2">
        <v>0</v>
      </c>
      <c r="AA84" s="2">
        <f t="shared" si="12"/>
        <v>423</v>
      </c>
      <c r="AB84" s="6">
        <v>40</v>
      </c>
      <c r="AC84" s="6">
        <v>12</v>
      </c>
      <c r="AD84" s="6">
        <f t="shared" si="13"/>
        <v>3.3333333333333335</v>
      </c>
      <c r="AE84" s="6" t="s">
        <v>21</v>
      </c>
      <c r="AG84" s="2">
        <v>26</v>
      </c>
      <c r="AH84" s="6" t="s">
        <v>79</v>
      </c>
    </row>
    <row r="85" spans="1:34" x14ac:dyDescent="0.3">
      <c r="A85" s="13">
        <v>0.5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55</v>
      </c>
      <c r="J85" s="13">
        <v>1.4</v>
      </c>
      <c r="K85" s="13">
        <v>7</v>
      </c>
      <c r="L85" s="13">
        <v>0</v>
      </c>
      <c r="M85" s="13">
        <f>M84*2</f>
        <v>0.158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2">
        <f t="shared" si="14"/>
        <v>448</v>
      </c>
      <c r="V85" s="2">
        <f t="shared" si="15"/>
        <v>240</v>
      </c>
      <c r="W85" s="2">
        <v>0</v>
      </c>
      <c r="X85" s="2">
        <v>227</v>
      </c>
      <c r="Y85" s="2">
        <v>0</v>
      </c>
      <c r="Z85" s="2">
        <v>0</v>
      </c>
      <c r="AA85" s="2">
        <f t="shared" si="12"/>
        <v>423</v>
      </c>
      <c r="AB85" s="6">
        <v>75</v>
      </c>
      <c r="AC85" s="6">
        <v>18</v>
      </c>
      <c r="AD85" s="6">
        <f t="shared" si="13"/>
        <v>4.166666666666667</v>
      </c>
      <c r="AE85" s="6" t="s">
        <v>21</v>
      </c>
      <c r="AG85" s="2">
        <v>26</v>
      </c>
      <c r="AH85" s="6" t="s">
        <v>79</v>
      </c>
    </row>
    <row r="86" spans="1:34" x14ac:dyDescent="0.3">
      <c r="A86" s="13">
        <v>0.5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55</v>
      </c>
      <c r="J86" s="13">
        <v>1.4</v>
      </c>
      <c r="K86" s="13">
        <v>7</v>
      </c>
      <c r="L86" s="13">
        <v>0</v>
      </c>
      <c r="M86" s="13">
        <f>M85*2</f>
        <v>0.316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2">
        <f t="shared" si="14"/>
        <v>448</v>
      </c>
      <c r="V86" s="2">
        <f t="shared" si="15"/>
        <v>240</v>
      </c>
      <c r="W86" s="2">
        <v>0</v>
      </c>
      <c r="X86" s="2">
        <v>227</v>
      </c>
      <c r="Y86" s="2">
        <v>0</v>
      </c>
      <c r="Z86" s="2">
        <v>0</v>
      </c>
      <c r="AA86" s="2">
        <f t="shared" si="12"/>
        <v>423</v>
      </c>
      <c r="AB86" s="6">
        <v>68</v>
      </c>
      <c r="AC86" s="6">
        <v>135</v>
      </c>
      <c r="AD86" s="6">
        <f t="shared" si="13"/>
        <v>0.50370370370370365</v>
      </c>
      <c r="AE86" s="6" t="s">
        <v>21</v>
      </c>
      <c r="AG86" s="2">
        <v>26</v>
      </c>
      <c r="AH86" s="6" t="s">
        <v>79</v>
      </c>
    </row>
    <row r="87" spans="1:34" x14ac:dyDescent="0.3">
      <c r="A87" s="13">
        <v>0.5</v>
      </c>
      <c r="B87" s="13">
        <v>1.4999999999999999E-2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55</v>
      </c>
      <c r="J87" s="13">
        <v>1.4</v>
      </c>
      <c r="K87" s="13">
        <v>7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2">
        <f t="shared" si="14"/>
        <v>448</v>
      </c>
      <c r="V87" s="2">
        <f t="shared" si="15"/>
        <v>240</v>
      </c>
      <c r="W87" s="2">
        <v>0</v>
      </c>
      <c r="X87" s="2">
        <v>227</v>
      </c>
      <c r="Y87" s="2">
        <v>0</v>
      </c>
      <c r="Z87" s="2">
        <v>0</v>
      </c>
      <c r="AA87" s="2">
        <f t="shared" si="12"/>
        <v>423</v>
      </c>
      <c r="AB87" s="6">
        <v>37</v>
      </c>
      <c r="AC87" s="6">
        <v>33</v>
      </c>
      <c r="AD87" s="6">
        <f t="shared" si="13"/>
        <v>1.1212121212121211</v>
      </c>
      <c r="AE87" s="6" t="s">
        <v>21</v>
      </c>
      <c r="AG87" s="2">
        <v>26</v>
      </c>
      <c r="AH87" s="6" t="s">
        <v>79</v>
      </c>
    </row>
    <row r="88" spans="1:34" x14ac:dyDescent="0.3">
      <c r="A88" s="13">
        <v>0.5</v>
      </c>
      <c r="B88" s="13">
        <f>0.015*2</f>
        <v>0.03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55</v>
      </c>
      <c r="J88" s="13">
        <v>1.4</v>
      </c>
      <c r="K88" s="13">
        <v>7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2">
        <f t="shared" si="14"/>
        <v>448</v>
      </c>
      <c r="V88" s="2">
        <f t="shared" si="15"/>
        <v>240</v>
      </c>
      <c r="W88" s="2">
        <v>0</v>
      </c>
      <c r="X88" s="2">
        <v>227</v>
      </c>
      <c r="Y88" s="2">
        <v>0</v>
      </c>
      <c r="Z88" s="2">
        <v>0</v>
      </c>
      <c r="AA88" s="2">
        <f t="shared" si="12"/>
        <v>423</v>
      </c>
      <c r="AB88" s="6">
        <v>77</v>
      </c>
      <c r="AC88" s="6">
        <v>64</v>
      </c>
      <c r="AD88" s="6">
        <f t="shared" si="13"/>
        <v>1.203125</v>
      </c>
      <c r="AE88" s="6" t="s">
        <v>21</v>
      </c>
      <c r="AG88" s="2">
        <v>26</v>
      </c>
      <c r="AH88" s="6" t="s">
        <v>79</v>
      </c>
    </row>
    <row r="89" spans="1:34" x14ac:dyDescent="0.3">
      <c r="A89" s="13">
        <v>0.5</v>
      </c>
      <c r="B89" s="13">
        <f>0.015*4</f>
        <v>0.06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55</v>
      </c>
      <c r="J89" s="13">
        <v>1.4</v>
      </c>
      <c r="K89" s="13">
        <v>7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2">
        <f t="shared" si="14"/>
        <v>448</v>
      </c>
      <c r="V89" s="2">
        <f t="shared" si="15"/>
        <v>240</v>
      </c>
      <c r="W89" s="2">
        <v>0</v>
      </c>
      <c r="X89" s="2">
        <v>227</v>
      </c>
      <c r="Y89" s="2">
        <v>0</v>
      </c>
      <c r="Z89" s="2">
        <v>0</v>
      </c>
      <c r="AA89" s="2">
        <f t="shared" si="12"/>
        <v>423</v>
      </c>
      <c r="AB89" s="6">
        <v>66</v>
      </c>
      <c r="AC89" s="6">
        <v>81</v>
      </c>
      <c r="AD89" s="6">
        <f t="shared" si="13"/>
        <v>0.81481481481481477</v>
      </c>
      <c r="AE89" s="6" t="s">
        <v>21</v>
      </c>
      <c r="AG89" s="2">
        <v>26</v>
      </c>
      <c r="AH89" s="6" t="s">
        <v>79</v>
      </c>
    </row>
    <row r="90" spans="1:34" x14ac:dyDescent="0.3">
      <c r="A90" s="13">
        <v>0.5</v>
      </c>
      <c r="B90" s="13">
        <f>0.015*6</f>
        <v>0.09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55</v>
      </c>
      <c r="J90" s="13">
        <v>1.4</v>
      </c>
      <c r="K90" s="13">
        <v>7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2">
        <f t="shared" si="14"/>
        <v>448</v>
      </c>
      <c r="V90" s="2">
        <f t="shared" si="15"/>
        <v>240</v>
      </c>
      <c r="W90" s="2">
        <v>0</v>
      </c>
      <c r="X90" s="2">
        <v>227</v>
      </c>
      <c r="Y90" s="2">
        <v>0</v>
      </c>
      <c r="Z90" s="2">
        <v>0</v>
      </c>
      <c r="AA90" s="2">
        <f t="shared" si="12"/>
        <v>423</v>
      </c>
      <c r="AB90" s="6">
        <v>78</v>
      </c>
      <c r="AC90" s="6">
        <v>84</v>
      </c>
      <c r="AD90" s="6">
        <f t="shared" si="13"/>
        <v>0.9285714285714286</v>
      </c>
      <c r="AE90" s="6" t="s">
        <v>21</v>
      </c>
      <c r="AG90" s="2">
        <v>26</v>
      </c>
      <c r="AH90" s="6" t="s">
        <v>79</v>
      </c>
    </row>
    <row r="91" spans="1:34" x14ac:dyDescent="0.3">
      <c r="A91" s="13">
        <v>0</v>
      </c>
      <c r="B91" s="13">
        <f>1/60</f>
        <v>1.6666666666666666E-2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f t="shared" ref="H91:H98" si="16">N91*2</f>
        <v>11.7</v>
      </c>
      <c r="I91" s="13">
        <f>3330/90</f>
        <v>37</v>
      </c>
      <c r="J91" s="13">
        <v>0</v>
      </c>
      <c r="K91" s="13">
        <f>9/80</f>
        <v>0.1125</v>
      </c>
      <c r="L91" s="13">
        <v>0</v>
      </c>
      <c r="M91" s="13">
        <v>0</v>
      </c>
      <c r="N91" s="13">
        <v>5.85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2">
        <f>273+165</f>
        <v>438</v>
      </c>
      <c r="V91" s="2">
        <v>67</v>
      </c>
      <c r="W91" s="2">
        <v>0</v>
      </c>
      <c r="X91" s="2">
        <v>299</v>
      </c>
      <c r="Y91" s="2">
        <v>0</v>
      </c>
      <c r="Z91" s="2">
        <v>0</v>
      </c>
      <c r="AA91" s="2">
        <f t="shared" si="12"/>
        <v>423</v>
      </c>
      <c r="AB91" s="6">
        <v>175</v>
      </c>
      <c r="AC91" s="6">
        <v>43</v>
      </c>
      <c r="AD91" s="8">
        <f t="shared" si="13"/>
        <v>4.0697674418604652</v>
      </c>
      <c r="AE91" s="6" t="s">
        <v>66</v>
      </c>
      <c r="AG91" s="2">
        <v>27</v>
      </c>
      <c r="AH91" s="6" t="s">
        <v>80</v>
      </c>
    </row>
    <row r="92" spans="1:34" x14ac:dyDescent="0.3">
      <c r="A92" s="13">
        <v>0</v>
      </c>
      <c r="B92" s="13">
        <f>1/60</f>
        <v>1.6666666666666666E-2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f t="shared" si="16"/>
        <v>11.7</v>
      </c>
      <c r="I92" s="13">
        <f>3330/90</f>
        <v>37</v>
      </c>
      <c r="J92" s="13">
        <v>1</v>
      </c>
      <c r="K92" s="13">
        <f>9/80</f>
        <v>0.1125</v>
      </c>
      <c r="L92" s="13">
        <v>0</v>
      </c>
      <c r="M92" s="13">
        <v>0</v>
      </c>
      <c r="N92" s="13">
        <v>5.85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2">
        <f>273+165</f>
        <v>438</v>
      </c>
      <c r="V92" s="2">
        <v>67</v>
      </c>
      <c r="W92" s="2">
        <v>0</v>
      </c>
      <c r="X92" s="2">
        <v>233</v>
      </c>
      <c r="Y92" s="2">
        <v>0</v>
      </c>
      <c r="Z92" s="2">
        <v>0</v>
      </c>
      <c r="AA92" s="2">
        <f t="shared" si="12"/>
        <v>423</v>
      </c>
      <c r="AB92" s="6">
        <v>175</v>
      </c>
      <c r="AC92" s="6">
        <v>55</v>
      </c>
      <c r="AD92" s="6">
        <f t="shared" si="13"/>
        <v>3.1818181818181817</v>
      </c>
      <c r="AE92" s="6" t="s">
        <v>49</v>
      </c>
      <c r="AF92" s="6" t="s">
        <v>5</v>
      </c>
      <c r="AG92" s="2">
        <v>27</v>
      </c>
      <c r="AH92" s="6" t="s">
        <v>80</v>
      </c>
    </row>
    <row r="93" spans="1:34" x14ac:dyDescent="0.3">
      <c r="A93" s="13">
        <v>0</v>
      </c>
      <c r="B93" s="13">
        <v>5.0000000000000001E-3</v>
      </c>
      <c r="C93" s="13">
        <v>0</v>
      </c>
      <c r="D93" s="13">
        <v>5.0000000000000001E-3</v>
      </c>
      <c r="E93" s="13">
        <v>0</v>
      </c>
      <c r="F93" s="13">
        <v>0</v>
      </c>
      <c r="G93" s="13">
        <v>0</v>
      </c>
      <c r="H93" s="13">
        <f t="shared" si="16"/>
        <v>9.8000000000000004E-2</v>
      </c>
      <c r="I93" s="13">
        <f t="shared" ref="I93:I98" si="17">(39+25*0.6)/18</f>
        <v>3</v>
      </c>
      <c r="J93" s="13">
        <v>0</v>
      </c>
      <c r="K93" s="13">
        <v>3.5000000000000003E-2</v>
      </c>
      <c r="L93" s="13">
        <v>0</v>
      </c>
      <c r="M93" s="13">
        <v>0</v>
      </c>
      <c r="N93" s="13">
        <v>4.9000000000000002E-2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2">
        <f t="shared" ref="U93:U98" si="18">273+180</f>
        <v>453</v>
      </c>
      <c r="V93" s="2">
        <v>40</v>
      </c>
      <c r="W93" s="2">
        <v>0</v>
      </c>
      <c r="X93" s="2">
        <v>258</v>
      </c>
      <c r="Y93" s="2">
        <v>0</v>
      </c>
      <c r="Z93" s="2">
        <v>40</v>
      </c>
      <c r="AA93" s="2">
        <f t="shared" si="12"/>
        <v>423</v>
      </c>
      <c r="AB93" s="6">
        <v>32</v>
      </c>
      <c r="AC93" s="6">
        <v>64</v>
      </c>
      <c r="AD93" s="6">
        <f t="shared" si="13"/>
        <v>0.5</v>
      </c>
      <c r="AE93" s="6" t="s">
        <v>18</v>
      </c>
      <c r="AG93" s="2">
        <v>29</v>
      </c>
      <c r="AH93" s="6" t="s">
        <v>81</v>
      </c>
    </row>
    <row r="94" spans="1:34" x14ac:dyDescent="0.3">
      <c r="A94" s="13">
        <v>0</v>
      </c>
      <c r="B94" s="13">
        <v>7.4999999999999997E-3</v>
      </c>
      <c r="C94" s="13">
        <v>0</v>
      </c>
      <c r="D94" s="13">
        <v>2.5000000000000001E-3</v>
      </c>
      <c r="E94" s="13">
        <v>0</v>
      </c>
      <c r="F94" s="13">
        <v>0</v>
      </c>
      <c r="G94" s="13">
        <v>0</v>
      </c>
      <c r="H94" s="13">
        <f t="shared" si="16"/>
        <v>0.104</v>
      </c>
      <c r="I94" s="13">
        <f t="shared" si="17"/>
        <v>3</v>
      </c>
      <c r="J94" s="13">
        <v>0</v>
      </c>
      <c r="K94" s="13">
        <v>3.5000000000000003E-2</v>
      </c>
      <c r="L94" s="13">
        <v>0</v>
      </c>
      <c r="M94" s="13">
        <v>0</v>
      </c>
      <c r="N94" s="13">
        <f>0.052</f>
        <v>5.1999999999999998E-2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2">
        <f t="shared" si="18"/>
        <v>453</v>
      </c>
      <c r="V94" s="2">
        <v>40</v>
      </c>
      <c r="W94" s="2">
        <v>0</v>
      </c>
      <c r="X94" s="2">
        <v>258</v>
      </c>
      <c r="Y94" s="2">
        <v>0</v>
      </c>
      <c r="Z94" s="2">
        <v>40</v>
      </c>
      <c r="AA94" s="2">
        <f t="shared" si="12"/>
        <v>423</v>
      </c>
      <c r="AB94" s="6">
        <v>38</v>
      </c>
      <c r="AC94" s="6">
        <v>54</v>
      </c>
      <c r="AD94" s="6">
        <f t="shared" si="13"/>
        <v>0.70370370370370372</v>
      </c>
      <c r="AE94" s="6" t="s">
        <v>18</v>
      </c>
      <c r="AG94" s="2">
        <v>29</v>
      </c>
      <c r="AH94" s="6" t="s">
        <v>81</v>
      </c>
    </row>
    <row r="95" spans="1:34" x14ac:dyDescent="0.3">
      <c r="A95" s="13">
        <v>0</v>
      </c>
      <c r="B95" s="13">
        <f>0.008</f>
        <v>8.0000000000000002E-3</v>
      </c>
      <c r="C95" s="13">
        <v>0</v>
      </c>
      <c r="D95" s="13">
        <v>1.6999999999999999E-3</v>
      </c>
      <c r="E95" s="13">
        <v>0</v>
      </c>
      <c r="F95" s="13">
        <v>0</v>
      </c>
      <c r="G95" s="13">
        <v>0</v>
      </c>
      <c r="H95" s="13">
        <f t="shared" si="16"/>
        <v>0.106</v>
      </c>
      <c r="I95" s="13">
        <f t="shared" si="17"/>
        <v>3</v>
      </c>
      <c r="J95" s="13">
        <v>0</v>
      </c>
      <c r="K95" s="13">
        <v>3.5000000000000003E-2</v>
      </c>
      <c r="L95" s="13">
        <v>0</v>
      </c>
      <c r="M95" s="13">
        <v>0</v>
      </c>
      <c r="N95" s="13">
        <f>0.053</f>
        <v>5.2999999999999999E-2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2">
        <f t="shared" si="18"/>
        <v>453</v>
      </c>
      <c r="V95" s="2">
        <v>40</v>
      </c>
      <c r="W95" s="2">
        <v>0</v>
      </c>
      <c r="X95" s="2">
        <v>258</v>
      </c>
      <c r="Y95" s="2">
        <v>0</v>
      </c>
      <c r="Z95" s="2">
        <v>40</v>
      </c>
      <c r="AA95" s="2">
        <f t="shared" si="12"/>
        <v>423</v>
      </c>
      <c r="AB95" s="6">
        <v>48</v>
      </c>
      <c r="AC95" s="6">
        <v>64</v>
      </c>
      <c r="AD95" s="6">
        <f t="shared" si="13"/>
        <v>0.75</v>
      </c>
      <c r="AE95" s="6" t="s">
        <v>18</v>
      </c>
      <c r="AG95" s="2">
        <v>29</v>
      </c>
      <c r="AH95" s="6" t="s">
        <v>81</v>
      </c>
    </row>
    <row r="96" spans="1:34" x14ac:dyDescent="0.3">
      <c r="A96" s="13">
        <v>0</v>
      </c>
      <c r="B96" s="13">
        <v>5.0000000000000001E-3</v>
      </c>
      <c r="C96" s="13">
        <v>0</v>
      </c>
      <c r="D96" s="13">
        <v>5.0000000000000001E-3</v>
      </c>
      <c r="E96" s="13">
        <v>0</v>
      </c>
      <c r="F96" s="13">
        <v>0</v>
      </c>
      <c r="G96" s="13">
        <v>0</v>
      </c>
      <c r="H96" s="13">
        <f t="shared" si="16"/>
        <v>9.8000000000000004E-2</v>
      </c>
      <c r="I96" s="13">
        <f t="shared" si="17"/>
        <v>3</v>
      </c>
      <c r="J96" s="13">
        <v>0</v>
      </c>
      <c r="K96" s="13">
        <v>3.5000000000000003E-2</v>
      </c>
      <c r="L96" s="13">
        <v>0</v>
      </c>
      <c r="M96" s="13">
        <v>0</v>
      </c>
      <c r="N96" s="13">
        <v>4.9000000000000002E-2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2">
        <f t="shared" si="18"/>
        <v>453</v>
      </c>
      <c r="V96" s="2">
        <v>40</v>
      </c>
      <c r="W96" s="2">
        <v>0</v>
      </c>
      <c r="X96" s="2">
        <v>258</v>
      </c>
      <c r="Y96" s="2">
        <v>0</v>
      </c>
      <c r="Z96" s="2">
        <v>40</v>
      </c>
      <c r="AA96" s="2">
        <f>273+350</f>
        <v>623</v>
      </c>
      <c r="AB96" s="6">
        <v>29</v>
      </c>
      <c r="AC96" s="6">
        <v>26</v>
      </c>
      <c r="AD96" s="6">
        <f t="shared" si="13"/>
        <v>1.1153846153846154</v>
      </c>
      <c r="AE96" s="6" t="s">
        <v>18</v>
      </c>
      <c r="AG96" s="2">
        <v>29</v>
      </c>
      <c r="AH96" s="6" t="s">
        <v>81</v>
      </c>
    </row>
    <row r="97" spans="1:34" x14ac:dyDescent="0.3">
      <c r="A97" s="13">
        <v>0</v>
      </c>
      <c r="B97" s="13">
        <v>7.4999999999999997E-3</v>
      </c>
      <c r="C97" s="13">
        <v>0</v>
      </c>
      <c r="D97" s="13">
        <v>2.5000000000000001E-3</v>
      </c>
      <c r="E97" s="13">
        <v>0</v>
      </c>
      <c r="F97" s="13">
        <v>0</v>
      </c>
      <c r="G97" s="13">
        <v>0</v>
      </c>
      <c r="H97" s="13">
        <f t="shared" si="16"/>
        <v>0.104</v>
      </c>
      <c r="I97" s="13">
        <f t="shared" si="17"/>
        <v>3</v>
      </c>
      <c r="J97" s="13">
        <v>0</v>
      </c>
      <c r="K97" s="13">
        <v>3.5000000000000003E-2</v>
      </c>
      <c r="L97" s="13">
        <v>0</v>
      </c>
      <c r="M97" s="13">
        <v>0</v>
      </c>
      <c r="N97" s="13">
        <f>0.052</f>
        <v>5.1999999999999998E-2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2">
        <f t="shared" si="18"/>
        <v>453</v>
      </c>
      <c r="V97" s="2">
        <v>40</v>
      </c>
      <c r="W97" s="2">
        <v>0</v>
      </c>
      <c r="X97" s="2">
        <v>258</v>
      </c>
      <c r="Y97" s="2">
        <v>0</v>
      </c>
      <c r="Z97" s="2">
        <v>40</v>
      </c>
      <c r="AA97" s="2">
        <f>273+350</f>
        <v>623</v>
      </c>
      <c r="AB97" s="6">
        <v>30</v>
      </c>
      <c r="AC97" s="6">
        <v>23</v>
      </c>
      <c r="AD97" s="6">
        <f t="shared" si="13"/>
        <v>1.3043478260869565</v>
      </c>
      <c r="AE97" s="6" t="s">
        <v>18</v>
      </c>
      <c r="AG97" s="2">
        <v>29</v>
      </c>
      <c r="AH97" s="6" t="s">
        <v>81</v>
      </c>
    </row>
    <row r="98" spans="1:34" x14ac:dyDescent="0.3">
      <c r="A98" s="13">
        <v>0</v>
      </c>
      <c r="B98" s="13">
        <f>0.008</f>
        <v>8.0000000000000002E-3</v>
      </c>
      <c r="C98" s="13">
        <v>0</v>
      </c>
      <c r="D98" s="13">
        <v>1.6999999999999999E-3</v>
      </c>
      <c r="E98" s="13">
        <v>0</v>
      </c>
      <c r="F98" s="13">
        <v>0</v>
      </c>
      <c r="G98" s="13">
        <v>0</v>
      </c>
      <c r="H98" s="13">
        <f t="shared" si="16"/>
        <v>0.106</v>
      </c>
      <c r="I98" s="13">
        <f t="shared" si="17"/>
        <v>3</v>
      </c>
      <c r="J98" s="13">
        <v>0</v>
      </c>
      <c r="K98" s="13">
        <v>3.5000000000000003E-2</v>
      </c>
      <c r="L98" s="13">
        <v>0</v>
      </c>
      <c r="M98" s="13">
        <v>0</v>
      </c>
      <c r="N98" s="13">
        <f>0.053</f>
        <v>5.2999999999999999E-2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2">
        <f t="shared" si="18"/>
        <v>453</v>
      </c>
      <c r="V98" s="2">
        <v>40</v>
      </c>
      <c r="W98" s="2">
        <v>0</v>
      </c>
      <c r="X98" s="2">
        <v>258</v>
      </c>
      <c r="Y98" s="2">
        <v>0</v>
      </c>
      <c r="Z98" s="2">
        <v>40</v>
      </c>
      <c r="AA98" s="2">
        <f>273+350</f>
        <v>623</v>
      </c>
      <c r="AB98" s="6">
        <v>46</v>
      </c>
      <c r="AC98" s="6">
        <v>29</v>
      </c>
      <c r="AD98" s="6">
        <f t="shared" si="13"/>
        <v>1.5862068965517242</v>
      </c>
      <c r="AE98" s="6" t="s">
        <v>18</v>
      </c>
      <c r="AG98" s="2">
        <v>29</v>
      </c>
      <c r="AH98" s="7" t="s">
        <v>81</v>
      </c>
    </row>
    <row r="99" spans="1:34" x14ac:dyDescent="0.3">
      <c r="A99" s="13">
        <f>0.3/0.6</f>
        <v>0.5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f>K99*2</f>
        <v>0.75</v>
      </c>
      <c r="I99" s="13">
        <f>5/0.6</f>
        <v>8.3333333333333339</v>
      </c>
      <c r="J99" s="13">
        <v>0</v>
      </c>
      <c r="K99" s="13">
        <f>0.225/0.6</f>
        <v>0.375</v>
      </c>
      <c r="L99" s="13">
        <v>0</v>
      </c>
      <c r="M99" s="13">
        <f>0.1/0.6</f>
        <v>0.16666666666666669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2">
        <f>273+175</f>
        <v>448</v>
      </c>
      <c r="V99" s="2">
        <f>24*10</f>
        <v>240</v>
      </c>
      <c r="W99" s="2">
        <v>0</v>
      </c>
      <c r="X99" s="2">
        <v>258</v>
      </c>
      <c r="Y99" s="2">
        <v>0</v>
      </c>
      <c r="Z99" s="2">
        <v>60</v>
      </c>
      <c r="AA99" s="2">
        <f>273+150</f>
        <v>423</v>
      </c>
      <c r="AB99" s="6">
        <v>24</v>
      </c>
      <c r="AC99" s="6">
        <v>93</v>
      </c>
      <c r="AD99" s="6">
        <f t="shared" si="13"/>
        <v>0.25806451612903225</v>
      </c>
      <c r="AE99" s="6" t="s">
        <v>22</v>
      </c>
      <c r="AF99" s="6" t="s">
        <v>22</v>
      </c>
      <c r="AG99" s="2">
        <v>30</v>
      </c>
      <c r="AH99" s="6" t="s">
        <v>82</v>
      </c>
    </row>
    <row r="100" spans="1:34" x14ac:dyDescent="0.3">
      <c r="A100" s="13">
        <v>0</v>
      </c>
      <c r="B100" s="13">
        <v>1.4E-2</v>
      </c>
      <c r="C100" s="13">
        <v>0</v>
      </c>
      <c r="D100" s="13">
        <f>0.005</f>
        <v>5.0000000000000001E-3</v>
      </c>
      <c r="E100" s="13">
        <v>0</v>
      </c>
      <c r="F100" s="13">
        <v>0</v>
      </c>
      <c r="G100" s="13">
        <v>0</v>
      </c>
      <c r="H100" s="13">
        <f>0.2+K100</f>
        <v>0.4</v>
      </c>
      <c r="I100" s="13">
        <f>20</f>
        <v>20</v>
      </c>
      <c r="J100" s="13">
        <v>0</v>
      </c>
      <c r="K100" s="13">
        <f>0.2</f>
        <v>0.2</v>
      </c>
      <c r="L100" s="13">
        <v>0</v>
      </c>
      <c r="M100" s="13">
        <v>0</v>
      </c>
      <c r="N100" s="13">
        <v>0.1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2">
        <f t="shared" ref="U100:U116" si="19">273+170</f>
        <v>443</v>
      </c>
      <c r="V100" s="2">
        <v>48</v>
      </c>
      <c r="W100" s="2">
        <v>0</v>
      </c>
      <c r="X100" s="2">
        <v>233</v>
      </c>
      <c r="Y100" s="2">
        <v>0</v>
      </c>
      <c r="Z100" s="2">
        <v>0</v>
      </c>
      <c r="AA100" s="2">
        <v>423</v>
      </c>
      <c r="AB100" s="6">
        <v>198</v>
      </c>
      <c r="AC100" s="6">
        <v>50</v>
      </c>
      <c r="AD100" s="6">
        <f t="shared" si="13"/>
        <v>3.96</v>
      </c>
      <c r="AE100" s="6" t="s">
        <v>49</v>
      </c>
      <c r="AF100" s="6" t="s">
        <v>5</v>
      </c>
      <c r="AG100" s="2">
        <v>31</v>
      </c>
      <c r="AH100" s="6" t="s">
        <v>83</v>
      </c>
    </row>
    <row r="101" spans="1:34" x14ac:dyDescent="0.3">
      <c r="A101" s="13">
        <v>0</v>
      </c>
      <c r="B101" s="13">
        <v>0.02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0.25</v>
      </c>
      <c r="I101" s="13">
        <v>30</v>
      </c>
      <c r="J101" s="13">
        <v>0</v>
      </c>
      <c r="K101" s="13">
        <v>0.25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2">
        <f t="shared" si="19"/>
        <v>443</v>
      </c>
      <c r="V101" s="2">
        <v>72</v>
      </c>
      <c r="W101" s="2">
        <v>0</v>
      </c>
      <c r="X101" s="2">
        <v>233</v>
      </c>
      <c r="Y101" s="2">
        <v>0</v>
      </c>
      <c r="Z101" s="2">
        <v>0</v>
      </c>
      <c r="AA101" s="2">
        <v>423</v>
      </c>
      <c r="AB101" s="6">
        <v>157</v>
      </c>
      <c r="AC101" s="6">
        <v>91</v>
      </c>
      <c r="AD101" s="6">
        <f t="shared" si="13"/>
        <v>1.7252747252747254</v>
      </c>
      <c r="AE101" s="6" t="s">
        <v>49</v>
      </c>
      <c r="AF101" s="6" t="s">
        <v>5</v>
      </c>
      <c r="AG101" s="2">
        <v>32</v>
      </c>
      <c r="AH101" s="6" t="s">
        <v>84</v>
      </c>
    </row>
    <row r="102" spans="1:34" x14ac:dyDescent="0.3">
      <c r="A102" s="13">
        <v>0</v>
      </c>
      <c r="B102" s="13">
        <v>0.02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0.25</v>
      </c>
      <c r="I102" s="13">
        <v>30</v>
      </c>
      <c r="J102" s="13">
        <v>0</v>
      </c>
      <c r="K102" s="13">
        <v>0.25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f>1/300</f>
        <v>3.3333333333333335E-3</v>
      </c>
      <c r="S102" s="13">
        <v>0</v>
      </c>
      <c r="T102" s="13">
        <v>0</v>
      </c>
      <c r="U102" s="2">
        <f t="shared" si="19"/>
        <v>443</v>
      </c>
      <c r="V102" s="2">
        <v>72</v>
      </c>
      <c r="W102" s="2">
        <v>0</v>
      </c>
      <c r="X102" s="2">
        <v>233</v>
      </c>
      <c r="Y102" s="2">
        <v>0</v>
      </c>
      <c r="Z102" s="2">
        <v>0</v>
      </c>
      <c r="AA102" s="2">
        <v>423</v>
      </c>
      <c r="AB102" s="6">
        <v>153</v>
      </c>
      <c r="AC102" s="6">
        <v>122</v>
      </c>
      <c r="AD102" s="6">
        <f t="shared" si="13"/>
        <v>1.2540983606557377</v>
      </c>
      <c r="AE102" s="6" t="s">
        <v>49</v>
      </c>
      <c r="AF102" s="6" t="s">
        <v>5</v>
      </c>
      <c r="AG102" s="2">
        <v>32</v>
      </c>
      <c r="AH102" s="6" t="s">
        <v>84</v>
      </c>
    </row>
    <row r="103" spans="1:34" x14ac:dyDescent="0.3">
      <c r="A103" s="13">
        <v>0</v>
      </c>
      <c r="B103" s="13">
        <v>0.02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0.25</v>
      </c>
      <c r="I103" s="13">
        <v>30</v>
      </c>
      <c r="J103" s="13">
        <v>0</v>
      </c>
      <c r="K103" s="13">
        <v>0.25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f>1/200</f>
        <v>5.0000000000000001E-3</v>
      </c>
      <c r="S103" s="13">
        <v>0</v>
      </c>
      <c r="T103" s="13">
        <v>0</v>
      </c>
      <c r="U103" s="2">
        <f t="shared" si="19"/>
        <v>443</v>
      </c>
      <c r="V103" s="2">
        <v>72</v>
      </c>
      <c r="W103" s="2">
        <v>0</v>
      </c>
      <c r="X103" s="2">
        <v>233</v>
      </c>
      <c r="Y103" s="2">
        <v>0</v>
      </c>
      <c r="Z103" s="2">
        <v>0</v>
      </c>
      <c r="AA103" s="2">
        <v>423</v>
      </c>
      <c r="AB103" s="6">
        <v>148</v>
      </c>
      <c r="AC103" s="6">
        <v>128</v>
      </c>
      <c r="AD103" s="6">
        <f t="shared" si="13"/>
        <v>1.15625</v>
      </c>
      <c r="AE103" s="6" t="s">
        <v>49</v>
      </c>
      <c r="AF103" s="6" t="s">
        <v>5</v>
      </c>
      <c r="AG103" s="2">
        <v>32</v>
      </c>
      <c r="AH103" s="6" t="s">
        <v>84</v>
      </c>
    </row>
    <row r="104" spans="1:34" x14ac:dyDescent="0.3">
      <c r="A104" s="13">
        <v>0</v>
      </c>
      <c r="B104" s="13">
        <v>0.02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0.25</v>
      </c>
      <c r="I104" s="13">
        <v>30</v>
      </c>
      <c r="J104" s="13">
        <v>0</v>
      </c>
      <c r="K104" s="13">
        <v>0.25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f>1/100</f>
        <v>0.01</v>
      </c>
      <c r="S104" s="13">
        <v>0</v>
      </c>
      <c r="T104" s="13">
        <v>0</v>
      </c>
      <c r="U104" s="2">
        <f t="shared" si="19"/>
        <v>443</v>
      </c>
      <c r="V104" s="2">
        <v>72</v>
      </c>
      <c r="W104" s="2">
        <v>0</v>
      </c>
      <c r="X104" s="2">
        <v>233</v>
      </c>
      <c r="Y104" s="2">
        <v>0</v>
      </c>
      <c r="Z104" s="2">
        <v>0</v>
      </c>
      <c r="AA104" s="2">
        <v>423</v>
      </c>
      <c r="AB104" s="6">
        <v>151</v>
      </c>
      <c r="AC104" s="6">
        <v>137</v>
      </c>
      <c r="AD104" s="6">
        <f t="shared" si="13"/>
        <v>1.1021897810218979</v>
      </c>
      <c r="AE104" s="6" t="s">
        <v>49</v>
      </c>
      <c r="AF104" s="6" t="s">
        <v>5</v>
      </c>
      <c r="AG104" s="2">
        <v>32</v>
      </c>
      <c r="AH104" s="6" t="s">
        <v>84</v>
      </c>
    </row>
    <row r="105" spans="1:34" x14ac:dyDescent="0.3">
      <c r="A105" s="13">
        <v>0</v>
      </c>
      <c r="B105" s="13">
        <f>1/40</f>
        <v>2.5000000000000001E-2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0.1</v>
      </c>
      <c r="I105" s="13">
        <v>52</v>
      </c>
      <c r="J105" s="13">
        <v>0</v>
      </c>
      <c r="K105" s="13">
        <v>0.05</v>
      </c>
      <c r="L105" s="13">
        <v>0</v>
      </c>
      <c r="M105" s="13">
        <v>0</v>
      </c>
      <c r="N105" s="13">
        <f t="shared" ref="N105:N116" si="20">0.25/2</f>
        <v>0.125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2">
        <f t="shared" si="19"/>
        <v>443</v>
      </c>
      <c r="V105" s="2">
        <v>240</v>
      </c>
      <c r="W105" s="2">
        <v>0</v>
      </c>
      <c r="X105" s="2">
        <v>325</v>
      </c>
      <c r="Y105" s="2">
        <v>0</v>
      </c>
      <c r="Z105" s="2">
        <v>60</v>
      </c>
      <c r="AA105" s="2">
        <f>100+273</f>
        <v>373</v>
      </c>
      <c r="AD105" s="6">
        <v>0.56999999999999995</v>
      </c>
      <c r="AE105" s="6" t="s">
        <v>85</v>
      </c>
      <c r="AG105" s="2">
        <v>34</v>
      </c>
      <c r="AH105" s="6" t="s">
        <v>86</v>
      </c>
    </row>
    <row r="106" spans="1:34" x14ac:dyDescent="0.3">
      <c r="A106" s="13">
        <v>0</v>
      </c>
      <c r="B106" s="13">
        <f>1/40</f>
        <v>2.5000000000000001E-2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0.1</v>
      </c>
      <c r="I106" s="13">
        <v>52</v>
      </c>
      <c r="J106" s="13">
        <v>0</v>
      </c>
      <c r="K106" s="13">
        <v>0.05</v>
      </c>
      <c r="L106" s="13">
        <v>0</v>
      </c>
      <c r="M106" s="13">
        <v>0</v>
      </c>
      <c r="N106" s="13">
        <f t="shared" si="20"/>
        <v>0.125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2">
        <f t="shared" si="19"/>
        <v>443</v>
      </c>
      <c r="V106" s="2">
        <v>240</v>
      </c>
      <c r="W106" s="2">
        <v>0</v>
      </c>
      <c r="X106" s="2">
        <v>325</v>
      </c>
      <c r="Y106" s="2">
        <v>0</v>
      </c>
      <c r="Z106" s="2">
        <v>60</v>
      </c>
      <c r="AA106" s="2">
        <f>200+273</f>
        <v>473</v>
      </c>
      <c r="AD106" s="6">
        <v>1.32</v>
      </c>
      <c r="AE106" s="6" t="s">
        <v>85</v>
      </c>
      <c r="AG106" s="2">
        <v>34</v>
      </c>
      <c r="AH106" s="6" t="s">
        <v>86</v>
      </c>
    </row>
    <row r="107" spans="1:34" x14ac:dyDescent="0.3">
      <c r="A107" s="13">
        <v>0</v>
      </c>
      <c r="B107" s="13">
        <f>1/40</f>
        <v>2.5000000000000001E-2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0.1</v>
      </c>
      <c r="I107" s="13">
        <v>52</v>
      </c>
      <c r="J107" s="13">
        <v>0</v>
      </c>
      <c r="K107" s="13">
        <v>0.05</v>
      </c>
      <c r="L107" s="13">
        <v>0</v>
      </c>
      <c r="M107" s="13">
        <v>0</v>
      </c>
      <c r="N107" s="13">
        <f t="shared" si="20"/>
        <v>0.125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2">
        <f t="shared" si="19"/>
        <v>443</v>
      </c>
      <c r="V107" s="2">
        <v>240</v>
      </c>
      <c r="W107" s="2">
        <v>0</v>
      </c>
      <c r="X107" s="2">
        <v>325</v>
      </c>
      <c r="Y107" s="2">
        <v>0</v>
      </c>
      <c r="Z107" s="2">
        <v>60</v>
      </c>
      <c r="AA107" s="2">
        <f>300+273</f>
        <v>573</v>
      </c>
      <c r="AD107" s="6">
        <v>1.28</v>
      </c>
      <c r="AE107" s="6" t="s">
        <v>85</v>
      </c>
      <c r="AG107" s="2">
        <v>34</v>
      </c>
      <c r="AH107" s="6" t="s">
        <v>86</v>
      </c>
    </row>
    <row r="108" spans="1:34" x14ac:dyDescent="0.3">
      <c r="A108" s="13">
        <v>0</v>
      </c>
      <c r="B108" s="13">
        <f>1/40</f>
        <v>2.5000000000000001E-2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0.1</v>
      </c>
      <c r="I108" s="13">
        <v>52</v>
      </c>
      <c r="J108" s="13">
        <v>0</v>
      </c>
      <c r="K108" s="13">
        <v>0.05</v>
      </c>
      <c r="L108" s="13">
        <v>0</v>
      </c>
      <c r="M108" s="13">
        <v>0</v>
      </c>
      <c r="N108" s="13">
        <f t="shared" si="20"/>
        <v>0.125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2">
        <f t="shared" si="19"/>
        <v>443</v>
      </c>
      <c r="V108" s="2">
        <v>240</v>
      </c>
      <c r="W108" s="2">
        <v>0</v>
      </c>
      <c r="X108" s="2">
        <v>325</v>
      </c>
      <c r="Y108" s="2">
        <v>0</v>
      </c>
      <c r="Z108" s="2">
        <v>60</v>
      </c>
      <c r="AA108" s="2">
        <f>400+273</f>
        <v>673</v>
      </c>
      <c r="AD108" s="6">
        <v>1.38</v>
      </c>
      <c r="AE108" s="6" t="s">
        <v>85</v>
      </c>
      <c r="AG108" s="2">
        <v>34</v>
      </c>
      <c r="AH108" s="6" t="s">
        <v>86</v>
      </c>
    </row>
    <row r="109" spans="1:34" x14ac:dyDescent="0.3">
      <c r="A109" s="13">
        <v>0</v>
      </c>
      <c r="B109" s="13">
        <v>0</v>
      </c>
      <c r="C109" s="13">
        <v>2.5000000000000001E-2</v>
      </c>
      <c r="D109" s="13">
        <v>0</v>
      </c>
      <c r="E109" s="13">
        <v>0</v>
      </c>
      <c r="F109" s="13">
        <v>0</v>
      </c>
      <c r="G109" s="13">
        <v>0</v>
      </c>
      <c r="H109" s="13">
        <v>0.1</v>
      </c>
      <c r="I109" s="13">
        <v>52</v>
      </c>
      <c r="J109" s="13">
        <v>0</v>
      </c>
      <c r="K109" s="13">
        <v>0.05</v>
      </c>
      <c r="L109" s="13">
        <v>0</v>
      </c>
      <c r="M109" s="13">
        <v>0</v>
      </c>
      <c r="N109" s="13">
        <f t="shared" si="20"/>
        <v>0.125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2">
        <f t="shared" si="19"/>
        <v>443</v>
      </c>
      <c r="V109" s="2">
        <v>240</v>
      </c>
      <c r="W109" s="2">
        <v>0</v>
      </c>
      <c r="X109" s="2">
        <v>325</v>
      </c>
      <c r="Y109" s="2">
        <v>0</v>
      </c>
      <c r="Z109" s="2">
        <v>60</v>
      </c>
      <c r="AA109" s="2">
        <f>100+273</f>
        <v>373</v>
      </c>
      <c r="AD109" s="6">
        <v>0.54</v>
      </c>
      <c r="AE109" s="6" t="s">
        <v>85</v>
      </c>
      <c r="AG109" s="2">
        <v>34</v>
      </c>
      <c r="AH109" s="6" t="s">
        <v>86</v>
      </c>
    </row>
    <row r="110" spans="1:34" x14ac:dyDescent="0.3">
      <c r="A110" s="13">
        <v>0</v>
      </c>
      <c r="B110" s="13">
        <v>0</v>
      </c>
      <c r="C110" s="13">
        <v>2.5000000000000001E-2</v>
      </c>
      <c r="D110" s="13">
        <v>0</v>
      </c>
      <c r="E110" s="13">
        <v>0</v>
      </c>
      <c r="F110" s="13">
        <v>0</v>
      </c>
      <c r="G110" s="13">
        <v>0</v>
      </c>
      <c r="H110" s="13">
        <v>0.1</v>
      </c>
      <c r="I110" s="13">
        <v>52</v>
      </c>
      <c r="J110" s="13">
        <v>0</v>
      </c>
      <c r="K110" s="13">
        <v>0.05</v>
      </c>
      <c r="L110" s="13">
        <v>0</v>
      </c>
      <c r="M110" s="13">
        <v>0</v>
      </c>
      <c r="N110" s="13">
        <f t="shared" si="20"/>
        <v>0.125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2">
        <f t="shared" si="19"/>
        <v>443</v>
      </c>
      <c r="V110" s="2">
        <v>241</v>
      </c>
      <c r="W110" s="2">
        <v>0</v>
      </c>
      <c r="X110" s="2">
        <v>325</v>
      </c>
      <c r="Y110" s="2">
        <v>0</v>
      </c>
      <c r="Z110" s="2">
        <v>60</v>
      </c>
      <c r="AA110" s="2">
        <f>200+273</f>
        <v>473</v>
      </c>
      <c r="AD110" s="6">
        <v>0.45</v>
      </c>
      <c r="AE110" s="6" t="s">
        <v>85</v>
      </c>
      <c r="AG110" s="2">
        <v>34</v>
      </c>
      <c r="AH110" s="6" t="s">
        <v>86</v>
      </c>
    </row>
    <row r="111" spans="1:34" x14ac:dyDescent="0.3">
      <c r="A111" s="13">
        <v>0</v>
      </c>
      <c r="B111" s="13">
        <v>0</v>
      </c>
      <c r="C111" s="13">
        <v>2.5000000000000001E-2</v>
      </c>
      <c r="D111" s="13">
        <v>0</v>
      </c>
      <c r="E111" s="13">
        <v>0</v>
      </c>
      <c r="F111" s="13">
        <v>0</v>
      </c>
      <c r="G111" s="13">
        <v>0</v>
      </c>
      <c r="H111" s="13">
        <v>0.1</v>
      </c>
      <c r="I111" s="13">
        <v>52</v>
      </c>
      <c r="J111" s="13">
        <v>0</v>
      </c>
      <c r="K111" s="13">
        <v>0.05</v>
      </c>
      <c r="L111" s="13">
        <v>0</v>
      </c>
      <c r="M111" s="13">
        <v>0</v>
      </c>
      <c r="N111" s="13">
        <f t="shared" si="20"/>
        <v>0.125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2">
        <f t="shared" si="19"/>
        <v>443</v>
      </c>
      <c r="V111" s="2">
        <v>242</v>
      </c>
      <c r="W111" s="2">
        <v>0</v>
      </c>
      <c r="X111" s="2">
        <v>325</v>
      </c>
      <c r="Y111" s="2">
        <v>0</v>
      </c>
      <c r="Z111" s="2">
        <v>60</v>
      </c>
      <c r="AA111" s="2">
        <f>300+273</f>
        <v>573</v>
      </c>
      <c r="AD111" s="6">
        <v>0.4</v>
      </c>
      <c r="AE111" s="6" t="s">
        <v>85</v>
      </c>
      <c r="AG111" s="2">
        <v>34</v>
      </c>
      <c r="AH111" s="6" t="s">
        <v>86</v>
      </c>
    </row>
    <row r="112" spans="1:34" x14ac:dyDescent="0.3">
      <c r="A112" s="13">
        <v>0</v>
      </c>
      <c r="B112" s="13">
        <v>0</v>
      </c>
      <c r="C112" s="13">
        <v>2.5000000000000001E-2</v>
      </c>
      <c r="D112" s="13">
        <v>0</v>
      </c>
      <c r="E112" s="13">
        <v>0</v>
      </c>
      <c r="F112" s="13">
        <v>0</v>
      </c>
      <c r="G112" s="13">
        <v>0</v>
      </c>
      <c r="H112" s="13">
        <v>0.1</v>
      </c>
      <c r="I112" s="13">
        <v>52</v>
      </c>
      <c r="J112" s="13">
        <v>0</v>
      </c>
      <c r="K112" s="13">
        <v>0.05</v>
      </c>
      <c r="L112" s="13">
        <v>0</v>
      </c>
      <c r="M112" s="13">
        <v>0</v>
      </c>
      <c r="N112" s="13">
        <f t="shared" si="20"/>
        <v>0.125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2">
        <f t="shared" si="19"/>
        <v>443</v>
      </c>
      <c r="V112" s="2">
        <v>243</v>
      </c>
      <c r="W112" s="2">
        <v>0</v>
      </c>
      <c r="X112" s="2">
        <v>325</v>
      </c>
      <c r="Y112" s="2">
        <v>0</v>
      </c>
      <c r="Z112" s="2">
        <v>60</v>
      </c>
      <c r="AA112" s="2">
        <f>400+273</f>
        <v>673</v>
      </c>
      <c r="AD112" s="6">
        <v>0.35</v>
      </c>
      <c r="AE112" s="6" t="s">
        <v>85</v>
      </c>
      <c r="AG112" s="2">
        <v>34</v>
      </c>
      <c r="AH112" s="6" t="s">
        <v>86</v>
      </c>
    </row>
    <row r="113" spans="1:34" x14ac:dyDescent="0.3">
      <c r="A113" s="13">
        <v>0</v>
      </c>
      <c r="B113" s="13">
        <v>0</v>
      </c>
      <c r="C113" s="13">
        <v>0</v>
      </c>
      <c r="D113" s="13">
        <v>2.5000000000000001E-2</v>
      </c>
      <c r="E113" s="13">
        <v>0</v>
      </c>
      <c r="F113" s="13">
        <v>0</v>
      </c>
      <c r="G113" s="13">
        <v>0</v>
      </c>
      <c r="H113" s="13">
        <v>0.1</v>
      </c>
      <c r="I113" s="13">
        <v>52</v>
      </c>
      <c r="J113" s="13">
        <v>0</v>
      </c>
      <c r="K113" s="13">
        <v>0.05</v>
      </c>
      <c r="L113" s="13">
        <v>0</v>
      </c>
      <c r="M113" s="13">
        <v>0</v>
      </c>
      <c r="N113" s="13">
        <f t="shared" si="20"/>
        <v>0.125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2">
        <f t="shared" si="19"/>
        <v>443</v>
      </c>
      <c r="V113" s="2">
        <v>243</v>
      </c>
      <c r="W113" s="2">
        <v>0</v>
      </c>
      <c r="X113" s="2">
        <v>325</v>
      </c>
      <c r="Y113" s="2">
        <v>0</v>
      </c>
      <c r="Z113" s="2">
        <v>60</v>
      </c>
      <c r="AA113" s="2">
        <f>100+273</f>
        <v>373</v>
      </c>
      <c r="AD113" s="6">
        <v>0.5</v>
      </c>
      <c r="AE113" s="6" t="s">
        <v>85</v>
      </c>
      <c r="AG113" s="2">
        <v>34</v>
      </c>
      <c r="AH113" s="6" t="s">
        <v>86</v>
      </c>
    </row>
    <row r="114" spans="1:34" x14ac:dyDescent="0.3">
      <c r="A114" s="13">
        <v>0</v>
      </c>
      <c r="B114" s="13">
        <v>0</v>
      </c>
      <c r="C114" s="13">
        <v>0</v>
      </c>
      <c r="D114" s="13">
        <v>2.5000000000000001E-2</v>
      </c>
      <c r="E114" s="13">
        <v>0</v>
      </c>
      <c r="F114" s="13">
        <v>0</v>
      </c>
      <c r="G114" s="13">
        <v>0</v>
      </c>
      <c r="H114" s="13">
        <v>0.1</v>
      </c>
      <c r="I114" s="13">
        <v>52</v>
      </c>
      <c r="J114" s="13">
        <v>0</v>
      </c>
      <c r="K114" s="13">
        <v>0.05</v>
      </c>
      <c r="L114" s="13">
        <v>0</v>
      </c>
      <c r="M114" s="13">
        <v>0</v>
      </c>
      <c r="N114" s="13">
        <f t="shared" si="20"/>
        <v>0.125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2">
        <f t="shared" si="19"/>
        <v>443</v>
      </c>
      <c r="V114" s="2">
        <v>243</v>
      </c>
      <c r="W114" s="2">
        <v>0</v>
      </c>
      <c r="X114" s="2">
        <v>325</v>
      </c>
      <c r="Y114" s="2">
        <v>0</v>
      </c>
      <c r="Z114" s="2">
        <v>60</v>
      </c>
      <c r="AA114" s="2">
        <f>200+273</f>
        <v>473</v>
      </c>
      <c r="AD114" s="6">
        <v>0.22</v>
      </c>
      <c r="AE114" s="6" t="s">
        <v>85</v>
      </c>
      <c r="AG114" s="2">
        <v>34</v>
      </c>
      <c r="AH114" s="6" t="s">
        <v>86</v>
      </c>
    </row>
    <row r="115" spans="1:34" x14ac:dyDescent="0.3">
      <c r="A115" s="13">
        <v>0</v>
      </c>
      <c r="B115" s="13">
        <v>0</v>
      </c>
      <c r="C115" s="13">
        <v>0</v>
      </c>
      <c r="D115" s="13">
        <v>2.5000000000000001E-2</v>
      </c>
      <c r="E115" s="13">
        <v>0</v>
      </c>
      <c r="F115" s="13">
        <v>0</v>
      </c>
      <c r="G115" s="13">
        <v>0</v>
      </c>
      <c r="H115" s="13">
        <v>0.1</v>
      </c>
      <c r="I115" s="13">
        <v>52</v>
      </c>
      <c r="J115" s="13">
        <v>0</v>
      </c>
      <c r="K115" s="13">
        <v>0.05</v>
      </c>
      <c r="L115" s="13">
        <v>0</v>
      </c>
      <c r="M115" s="13">
        <v>0</v>
      </c>
      <c r="N115" s="13">
        <f t="shared" si="20"/>
        <v>0.125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2">
        <f t="shared" si="19"/>
        <v>443</v>
      </c>
      <c r="V115" s="2">
        <v>243</v>
      </c>
      <c r="W115" s="2">
        <v>0</v>
      </c>
      <c r="X115" s="2">
        <v>325</v>
      </c>
      <c r="Y115" s="2">
        <v>0</v>
      </c>
      <c r="Z115" s="2">
        <v>60</v>
      </c>
      <c r="AA115" s="2">
        <f>300+273</f>
        <v>573</v>
      </c>
      <c r="AD115" s="6">
        <v>0.17</v>
      </c>
      <c r="AE115" s="6" t="s">
        <v>85</v>
      </c>
      <c r="AG115" s="2">
        <v>34</v>
      </c>
      <c r="AH115" s="6" t="s">
        <v>86</v>
      </c>
    </row>
    <row r="116" spans="1:34" x14ac:dyDescent="0.3">
      <c r="A116" s="13">
        <v>0</v>
      </c>
      <c r="B116" s="13">
        <v>0</v>
      </c>
      <c r="C116" s="13">
        <v>0</v>
      </c>
      <c r="D116" s="13">
        <v>2.5000000000000001E-2</v>
      </c>
      <c r="E116" s="13">
        <v>0</v>
      </c>
      <c r="F116" s="13">
        <v>0</v>
      </c>
      <c r="G116" s="13">
        <v>0</v>
      </c>
      <c r="H116" s="13">
        <v>0.1</v>
      </c>
      <c r="I116" s="13">
        <v>52</v>
      </c>
      <c r="J116" s="13">
        <v>0</v>
      </c>
      <c r="K116" s="13">
        <v>0.05</v>
      </c>
      <c r="L116" s="13">
        <v>0</v>
      </c>
      <c r="M116" s="13">
        <v>0</v>
      </c>
      <c r="N116" s="13">
        <f t="shared" si="20"/>
        <v>0.125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2">
        <f t="shared" si="19"/>
        <v>443</v>
      </c>
      <c r="V116" s="2">
        <v>243</v>
      </c>
      <c r="W116" s="2">
        <v>0</v>
      </c>
      <c r="X116" s="2">
        <v>325</v>
      </c>
      <c r="Y116" s="2">
        <v>0</v>
      </c>
      <c r="Z116" s="2">
        <v>60</v>
      </c>
      <c r="AA116" s="2">
        <f>400+273</f>
        <v>673</v>
      </c>
      <c r="AD116" s="6">
        <v>0.15</v>
      </c>
      <c r="AE116" s="6" t="s">
        <v>85</v>
      </c>
      <c r="AG116" s="2">
        <v>34</v>
      </c>
      <c r="AH116" s="6" t="s">
        <v>86</v>
      </c>
    </row>
    <row r="117" spans="1:34" x14ac:dyDescent="0.3">
      <c r="A117" s="13">
        <v>0</v>
      </c>
      <c r="B117" s="13">
        <v>0.1</v>
      </c>
      <c r="C117" s="13">
        <v>0</v>
      </c>
      <c r="D117" s="13">
        <v>0</v>
      </c>
      <c r="E117" s="13">
        <v>0</v>
      </c>
      <c r="F117" s="13">
        <f>1/64</f>
        <v>1.5625E-2</v>
      </c>
      <c r="G117" s="13">
        <v>0</v>
      </c>
      <c r="H117" s="13">
        <f t="shared" ref="H117:H136" si="21">N117*2</f>
        <v>0.92400000000000004</v>
      </c>
      <c r="I117" s="13">
        <v>18</v>
      </c>
      <c r="J117" s="13">
        <v>0</v>
      </c>
      <c r="K117" s="13">
        <v>0</v>
      </c>
      <c r="L117" s="13">
        <v>0</v>
      </c>
      <c r="M117" s="13">
        <v>0</v>
      </c>
      <c r="N117" s="13">
        <v>0.46200000000000002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2">
        <v>373</v>
      </c>
      <c r="V117" s="2">
        <v>5</v>
      </c>
      <c r="W117" s="2">
        <v>0</v>
      </c>
      <c r="X117" s="2">
        <v>0</v>
      </c>
      <c r="Y117" s="2">
        <v>0</v>
      </c>
      <c r="Z117" s="2">
        <v>0</v>
      </c>
      <c r="AA117" s="2">
        <v>423</v>
      </c>
      <c r="AD117" s="6">
        <v>0</v>
      </c>
      <c r="AE117" s="6" t="s">
        <v>89</v>
      </c>
      <c r="AF117" s="6" t="s">
        <v>90</v>
      </c>
      <c r="AG117" s="2">
        <v>35</v>
      </c>
      <c r="AH117" s="6" t="s">
        <v>91</v>
      </c>
    </row>
    <row r="118" spans="1:34" x14ac:dyDescent="0.3">
      <c r="A118" s="13">
        <v>0</v>
      </c>
      <c r="B118" s="13">
        <v>0.1</v>
      </c>
      <c r="C118" s="13">
        <v>0</v>
      </c>
      <c r="D118" s="13">
        <v>0</v>
      </c>
      <c r="E118" s="13">
        <v>0</v>
      </c>
      <c r="F118" s="13">
        <f>1/64</f>
        <v>1.5625E-2</v>
      </c>
      <c r="G118" s="13">
        <v>0</v>
      </c>
      <c r="H118" s="13">
        <f t="shared" si="21"/>
        <v>0.92400000000000004</v>
      </c>
      <c r="I118" s="13">
        <v>18</v>
      </c>
      <c r="J118" s="13">
        <v>0</v>
      </c>
      <c r="K118" s="13">
        <v>0</v>
      </c>
      <c r="L118" s="13">
        <v>0</v>
      </c>
      <c r="M118" s="13">
        <v>0</v>
      </c>
      <c r="N118" s="13">
        <v>0.46200000000000002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2">
        <v>373</v>
      </c>
      <c r="V118" s="2">
        <v>5</v>
      </c>
      <c r="W118" s="2">
        <v>0</v>
      </c>
      <c r="X118" s="2">
        <v>0</v>
      </c>
      <c r="Y118" s="2">
        <v>0</v>
      </c>
      <c r="Z118" s="2">
        <v>0</v>
      </c>
      <c r="AA118" s="2">
        <v>473</v>
      </c>
      <c r="AD118" s="6">
        <f>0.49/0.51</f>
        <v>0.96078431372549011</v>
      </c>
      <c r="AE118" s="6" t="s">
        <v>89</v>
      </c>
      <c r="AF118" s="6" t="s">
        <v>90</v>
      </c>
      <c r="AG118" s="2">
        <v>35</v>
      </c>
      <c r="AH118" s="6" t="s">
        <v>91</v>
      </c>
    </row>
    <row r="119" spans="1:34" x14ac:dyDescent="0.3">
      <c r="A119" s="13">
        <v>0</v>
      </c>
      <c r="B119" s="13">
        <v>0.1</v>
      </c>
      <c r="C119" s="13">
        <v>0</v>
      </c>
      <c r="D119" s="13">
        <v>0</v>
      </c>
      <c r="E119" s="13">
        <v>0</v>
      </c>
      <c r="F119" s="13">
        <f>1/64</f>
        <v>1.5625E-2</v>
      </c>
      <c r="G119" s="13">
        <v>0</v>
      </c>
      <c r="H119" s="13">
        <f t="shared" si="21"/>
        <v>0.92400000000000004</v>
      </c>
      <c r="I119" s="13">
        <v>18</v>
      </c>
      <c r="J119" s="13">
        <v>0</v>
      </c>
      <c r="K119" s="13">
        <v>0</v>
      </c>
      <c r="L119" s="13">
        <v>0</v>
      </c>
      <c r="M119" s="13">
        <v>0</v>
      </c>
      <c r="N119" s="13">
        <v>0.46200000000000002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2">
        <v>373</v>
      </c>
      <c r="V119" s="2">
        <v>5</v>
      </c>
      <c r="W119" s="2">
        <v>0</v>
      </c>
      <c r="X119" s="2">
        <v>0</v>
      </c>
      <c r="Y119" s="2">
        <v>0</v>
      </c>
      <c r="Z119" s="2">
        <v>0</v>
      </c>
      <c r="AA119" s="2">
        <v>523</v>
      </c>
      <c r="AD119" s="6">
        <f>0.66/0.34</f>
        <v>1.9411764705882353</v>
      </c>
      <c r="AE119" s="6" t="s">
        <v>89</v>
      </c>
      <c r="AF119" s="6" t="s">
        <v>90</v>
      </c>
      <c r="AG119" s="2">
        <v>35</v>
      </c>
      <c r="AH119" s="6" t="s">
        <v>91</v>
      </c>
    </row>
    <row r="120" spans="1:34" x14ac:dyDescent="0.3">
      <c r="A120" s="13">
        <v>0</v>
      </c>
      <c r="B120" s="13">
        <v>0.1</v>
      </c>
      <c r="C120" s="13">
        <v>0</v>
      </c>
      <c r="D120" s="13">
        <v>0</v>
      </c>
      <c r="E120" s="13">
        <v>0</v>
      </c>
      <c r="F120" s="13">
        <f>1/64</f>
        <v>1.5625E-2</v>
      </c>
      <c r="G120" s="13">
        <v>0</v>
      </c>
      <c r="H120" s="13">
        <f t="shared" si="21"/>
        <v>0.92400000000000004</v>
      </c>
      <c r="I120" s="13">
        <v>18</v>
      </c>
      <c r="J120" s="13">
        <v>0</v>
      </c>
      <c r="K120" s="13">
        <v>0</v>
      </c>
      <c r="L120" s="13">
        <v>0</v>
      </c>
      <c r="M120" s="13">
        <v>0</v>
      </c>
      <c r="N120" s="13">
        <v>0.46200000000000002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2">
        <v>373</v>
      </c>
      <c r="V120" s="2">
        <v>5</v>
      </c>
      <c r="W120" s="2">
        <v>0</v>
      </c>
      <c r="X120" s="2">
        <v>0</v>
      </c>
      <c r="Y120" s="2">
        <v>0</v>
      </c>
      <c r="Z120" s="2">
        <v>0</v>
      </c>
      <c r="AA120" s="2">
        <v>573</v>
      </c>
      <c r="AD120" s="6">
        <f>0.93/0.07</f>
        <v>13.285714285714285</v>
      </c>
      <c r="AE120" s="6" t="s">
        <v>89</v>
      </c>
      <c r="AF120" s="6" t="s">
        <v>90</v>
      </c>
      <c r="AG120" s="2">
        <v>35</v>
      </c>
      <c r="AH120" s="6" t="s">
        <v>91</v>
      </c>
    </row>
    <row r="121" spans="1:34" x14ac:dyDescent="0.3">
      <c r="A121" s="13">
        <v>0</v>
      </c>
      <c r="B121" s="13">
        <v>0.1</v>
      </c>
      <c r="C121" s="13">
        <v>0</v>
      </c>
      <c r="D121" s="13">
        <v>0</v>
      </c>
      <c r="E121" s="13">
        <v>0</v>
      </c>
      <c r="F121" s="13">
        <f>1/32</f>
        <v>3.125E-2</v>
      </c>
      <c r="G121" s="13">
        <v>0</v>
      </c>
      <c r="H121" s="13">
        <f t="shared" si="21"/>
        <v>0.92400000000000004</v>
      </c>
      <c r="I121" s="13">
        <v>18</v>
      </c>
      <c r="J121" s="13">
        <v>0</v>
      </c>
      <c r="K121" s="13">
        <v>0</v>
      </c>
      <c r="L121" s="13">
        <v>0</v>
      </c>
      <c r="M121" s="13">
        <v>0</v>
      </c>
      <c r="N121" s="13">
        <v>0.46200000000000002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2">
        <v>373</v>
      </c>
      <c r="V121" s="2">
        <v>5</v>
      </c>
      <c r="W121" s="2">
        <v>0</v>
      </c>
      <c r="X121" s="2">
        <v>0</v>
      </c>
      <c r="Y121" s="2">
        <v>0</v>
      </c>
      <c r="Z121" s="2">
        <v>0</v>
      </c>
      <c r="AA121" s="2">
        <v>423</v>
      </c>
      <c r="AD121" s="6">
        <v>0</v>
      </c>
      <c r="AE121" s="6" t="s">
        <v>89</v>
      </c>
      <c r="AF121" s="6" t="s">
        <v>90</v>
      </c>
      <c r="AG121" s="2">
        <v>35</v>
      </c>
      <c r="AH121" s="6" t="s">
        <v>91</v>
      </c>
    </row>
    <row r="122" spans="1:34" x14ac:dyDescent="0.3">
      <c r="A122" s="13">
        <v>0</v>
      </c>
      <c r="B122" s="13">
        <v>0.1</v>
      </c>
      <c r="C122" s="13">
        <v>0</v>
      </c>
      <c r="D122" s="13">
        <v>0</v>
      </c>
      <c r="E122" s="13">
        <v>0</v>
      </c>
      <c r="F122" s="13">
        <f>1/32</f>
        <v>3.125E-2</v>
      </c>
      <c r="G122" s="13">
        <v>0</v>
      </c>
      <c r="H122" s="13">
        <f t="shared" si="21"/>
        <v>0.92400000000000004</v>
      </c>
      <c r="I122" s="13">
        <v>18</v>
      </c>
      <c r="J122" s="13">
        <v>0</v>
      </c>
      <c r="K122" s="13">
        <v>0</v>
      </c>
      <c r="L122" s="13">
        <v>0</v>
      </c>
      <c r="M122" s="13">
        <v>0</v>
      </c>
      <c r="N122" s="13">
        <v>0.46200000000000002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2">
        <v>373</v>
      </c>
      <c r="V122" s="2">
        <v>5</v>
      </c>
      <c r="W122" s="2">
        <v>0</v>
      </c>
      <c r="X122" s="2">
        <v>0</v>
      </c>
      <c r="Y122" s="2">
        <v>0</v>
      </c>
      <c r="Z122" s="2">
        <v>0</v>
      </c>
      <c r="AA122" s="2">
        <v>473</v>
      </c>
      <c r="AD122" s="6">
        <f>0.45/0.55</f>
        <v>0.81818181818181812</v>
      </c>
      <c r="AE122" s="6" t="s">
        <v>89</v>
      </c>
      <c r="AF122" s="6" t="s">
        <v>90</v>
      </c>
      <c r="AG122" s="2">
        <v>35</v>
      </c>
      <c r="AH122" s="6" t="s">
        <v>91</v>
      </c>
    </row>
    <row r="123" spans="1:34" x14ac:dyDescent="0.3">
      <c r="A123" s="13">
        <v>0</v>
      </c>
      <c r="B123" s="13">
        <v>0.1</v>
      </c>
      <c r="C123" s="13">
        <v>0</v>
      </c>
      <c r="D123" s="13">
        <v>0</v>
      </c>
      <c r="E123" s="13">
        <v>0</v>
      </c>
      <c r="F123" s="13">
        <f>1/32</f>
        <v>3.125E-2</v>
      </c>
      <c r="G123" s="13">
        <v>0</v>
      </c>
      <c r="H123" s="13">
        <f t="shared" si="21"/>
        <v>0.92400000000000004</v>
      </c>
      <c r="I123" s="13">
        <v>18</v>
      </c>
      <c r="J123" s="13">
        <v>0</v>
      </c>
      <c r="K123" s="13">
        <v>0</v>
      </c>
      <c r="L123" s="13">
        <v>0</v>
      </c>
      <c r="M123" s="13">
        <v>0</v>
      </c>
      <c r="N123" s="13">
        <v>0.46200000000000002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2">
        <v>373</v>
      </c>
      <c r="V123" s="2">
        <v>5</v>
      </c>
      <c r="W123" s="2">
        <v>0</v>
      </c>
      <c r="X123" s="2">
        <v>0</v>
      </c>
      <c r="Y123" s="2">
        <v>0</v>
      </c>
      <c r="Z123" s="2">
        <v>0</v>
      </c>
      <c r="AA123" s="2">
        <v>523</v>
      </c>
      <c r="AD123" s="6">
        <f>0.8/0.2</f>
        <v>4</v>
      </c>
      <c r="AE123" s="6" t="s">
        <v>89</v>
      </c>
      <c r="AF123" s="6" t="s">
        <v>90</v>
      </c>
      <c r="AG123" s="2">
        <v>35</v>
      </c>
      <c r="AH123" s="6" t="s">
        <v>91</v>
      </c>
    </row>
    <row r="124" spans="1:34" x14ac:dyDescent="0.3">
      <c r="A124" s="13">
        <v>0</v>
      </c>
      <c r="B124" s="13">
        <v>0.1</v>
      </c>
      <c r="C124" s="13">
        <v>0</v>
      </c>
      <c r="D124" s="13">
        <v>0</v>
      </c>
      <c r="E124" s="13">
        <v>0</v>
      </c>
      <c r="F124" s="13">
        <f>1/32</f>
        <v>3.125E-2</v>
      </c>
      <c r="G124" s="13">
        <v>0</v>
      </c>
      <c r="H124" s="13">
        <f t="shared" si="21"/>
        <v>0.92400000000000004</v>
      </c>
      <c r="I124" s="13">
        <v>18</v>
      </c>
      <c r="J124" s="13">
        <v>0</v>
      </c>
      <c r="K124" s="13">
        <v>0</v>
      </c>
      <c r="L124" s="13">
        <v>0</v>
      </c>
      <c r="M124" s="13">
        <v>0</v>
      </c>
      <c r="N124" s="13">
        <v>0.46200000000000002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2">
        <v>373</v>
      </c>
      <c r="V124" s="2">
        <v>5</v>
      </c>
      <c r="W124" s="2">
        <v>0</v>
      </c>
      <c r="X124" s="2">
        <v>0</v>
      </c>
      <c r="Y124" s="2">
        <v>0</v>
      </c>
      <c r="Z124" s="2">
        <v>0</v>
      </c>
      <c r="AA124" s="2">
        <v>573</v>
      </c>
      <c r="AD124" s="6">
        <f>0.97/0.03</f>
        <v>32.333333333333336</v>
      </c>
      <c r="AE124" s="6" t="s">
        <v>89</v>
      </c>
      <c r="AF124" s="6" t="s">
        <v>90</v>
      </c>
      <c r="AG124" s="2">
        <v>35</v>
      </c>
      <c r="AH124" s="6" t="s">
        <v>91</v>
      </c>
    </row>
    <row r="125" spans="1:34" x14ac:dyDescent="0.3">
      <c r="A125" s="13">
        <v>0</v>
      </c>
      <c r="B125" s="13">
        <v>0.1</v>
      </c>
      <c r="C125" s="13">
        <v>0</v>
      </c>
      <c r="D125" s="13">
        <v>0</v>
      </c>
      <c r="E125" s="13">
        <v>0</v>
      </c>
      <c r="F125" s="13">
        <v>0</v>
      </c>
      <c r="G125" s="13">
        <f>1/64</f>
        <v>1.5625E-2</v>
      </c>
      <c r="H125" s="13">
        <f t="shared" si="21"/>
        <v>0.92400000000000004</v>
      </c>
      <c r="I125" s="13">
        <v>18</v>
      </c>
      <c r="J125" s="13">
        <v>0</v>
      </c>
      <c r="K125" s="13">
        <v>0</v>
      </c>
      <c r="L125" s="13">
        <v>0</v>
      </c>
      <c r="M125" s="13">
        <v>0</v>
      </c>
      <c r="N125" s="13">
        <v>0.46200000000000002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2">
        <v>373</v>
      </c>
      <c r="V125" s="2">
        <v>5</v>
      </c>
      <c r="W125" s="2">
        <v>0</v>
      </c>
      <c r="X125" s="2">
        <v>0</v>
      </c>
      <c r="Y125" s="2">
        <v>0</v>
      </c>
      <c r="Z125" s="2">
        <v>0</v>
      </c>
      <c r="AA125" s="2">
        <v>423</v>
      </c>
      <c r="AD125" s="6">
        <v>0</v>
      </c>
      <c r="AE125" s="6" t="s">
        <v>89</v>
      </c>
      <c r="AF125" s="6" t="s">
        <v>90</v>
      </c>
      <c r="AG125" s="2">
        <v>35</v>
      </c>
      <c r="AH125" s="6" t="s">
        <v>91</v>
      </c>
    </row>
    <row r="126" spans="1:34" x14ac:dyDescent="0.3">
      <c r="A126" s="13">
        <v>0</v>
      </c>
      <c r="B126" s="13">
        <v>0.1</v>
      </c>
      <c r="C126" s="13">
        <v>0</v>
      </c>
      <c r="D126" s="13">
        <v>0</v>
      </c>
      <c r="E126" s="13">
        <v>0</v>
      </c>
      <c r="F126" s="13">
        <v>0</v>
      </c>
      <c r="G126" s="13">
        <f>1/64</f>
        <v>1.5625E-2</v>
      </c>
      <c r="H126" s="13">
        <f t="shared" si="21"/>
        <v>0.92400000000000004</v>
      </c>
      <c r="I126" s="13">
        <v>18</v>
      </c>
      <c r="J126" s="13">
        <v>0</v>
      </c>
      <c r="K126" s="13">
        <v>0</v>
      </c>
      <c r="L126" s="13">
        <v>0</v>
      </c>
      <c r="M126" s="13">
        <v>0</v>
      </c>
      <c r="N126" s="13">
        <v>0.46200000000000002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2">
        <v>373</v>
      </c>
      <c r="V126" s="2">
        <v>5</v>
      </c>
      <c r="W126" s="2">
        <v>0</v>
      </c>
      <c r="X126" s="2">
        <v>0</v>
      </c>
      <c r="Y126" s="2">
        <v>0</v>
      </c>
      <c r="Z126" s="2">
        <v>0</v>
      </c>
      <c r="AA126" s="2">
        <v>473</v>
      </c>
      <c r="AD126" s="6">
        <f>0.64/0.36</f>
        <v>1.7777777777777779</v>
      </c>
      <c r="AE126" s="6" t="s">
        <v>89</v>
      </c>
      <c r="AF126" s="6" t="s">
        <v>90</v>
      </c>
      <c r="AG126" s="2">
        <v>35</v>
      </c>
      <c r="AH126" s="6" t="s">
        <v>91</v>
      </c>
    </row>
    <row r="127" spans="1:34" x14ac:dyDescent="0.3">
      <c r="A127" s="13">
        <v>0</v>
      </c>
      <c r="B127" s="13">
        <v>0.1</v>
      </c>
      <c r="C127" s="13">
        <v>0</v>
      </c>
      <c r="D127" s="13">
        <v>0</v>
      </c>
      <c r="E127" s="13">
        <v>0</v>
      </c>
      <c r="F127" s="13">
        <v>0</v>
      </c>
      <c r="G127" s="13">
        <f>1/64</f>
        <v>1.5625E-2</v>
      </c>
      <c r="H127" s="13">
        <f t="shared" si="21"/>
        <v>0.92400000000000004</v>
      </c>
      <c r="I127" s="13">
        <v>18</v>
      </c>
      <c r="J127" s="13">
        <v>0</v>
      </c>
      <c r="K127" s="13">
        <v>0</v>
      </c>
      <c r="L127" s="13">
        <v>0</v>
      </c>
      <c r="M127" s="13">
        <v>0</v>
      </c>
      <c r="N127" s="13">
        <v>0.46200000000000002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2">
        <v>373</v>
      </c>
      <c r="V127" s="2">
        <v>5</v>
      </c>
      <c r="W127" s="2">
        <v>0</v>
      </c>
      <c r="X127" s="2">
        <v>0</v>
      </c>
      <c r="Y127" s="2">
        <v>0</v>
      </c>
      <c r="Z127" s="2">
        <v>0</v>
      </c>
      <c r="AA127" s="2">
        <v>523</v>
      </c>
      <c r="AD127" s="6">
        <f>0.8/0.2</f>
        <v>4</v>
      </c>
      <c r="AE127" s="6" t="s">
        <v>89</v>
      </c>
      <c r="AF127" s="6" t="s">
        <v>90</v>
      </c>
      <c r="AG127" s="2">
        <v>35</v>
      </c>
      <c r="AH127" s="6" t="s">
        <v>91</v>
      </c>
    </row>
    <row r="128" spans="1:34" x14ac:dyDescent="0.3">
      <c r="A128" s="13">
        <v>0</v>
      </c>
      <c r="B128" s="13">
        <v>0.1</v>
      </c>
      <c r="C128" s="13">
        <v>0</v>
      </c>
      <c r="D128" s="13">
        <v>0</v>
      </c>
      <c r="E128" s="13">
        <v>0</v>
      </c>
      <c r="F128" s="13">
        <v>0</v>
      </c>
      <c r="G128" s="13">
        <f>1/64</f>
        <v>1.5625E-2</v>
      </c>
      <c r="H128" s="13">
        <f t="shared" si="21"/>
        <v>0.92400000000000004</v>
      </c>
      <c r="I128" s="13">
        <v>18</v>
      </c>
      <c r="J128" s="13">
        <v>0</v>
      </c>
      <c r="K128" s="13">
        <v>0</v>
      </c>
      <c r="L128" s="13">
        <v>0</v>
      </c>
      <c r="M128" s="13">
        <v>0</v>
      </c>
      <c r="N128" s="13">
        <v>0.46200000000000002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2">
        <v>373</v>
      </c>
      <c r="V128" s="2">
        <v>5</v>
      </c>
      <c r="W128" s="2">
        <v>0</v>
      </c>
      <c r="X128" s="2">
        <v>0</v>
      </c>
      <c r="Y128" s="2">
        <v>0</v>
      </c>
      <c r="Z128" s="2">
        <v>0</v>
      </c>
      <c r="AA128" s="2">
        <v>573</v>
      </c>
      <c r="AD128" s="6">
        <f>0.98/0.02</f>
        <v>49</v>
      </c>
      <c r="AE128" s="6" t="s">
        <v>89</v>
      </c>
      <c r="AF128" s="6" t="s">
        <v>90</v>
      </c>
      <c r="AG128" s="2">
        <v>35</v>
      </c>
      <c r="AH128" s="6" t="s">
        <v>91</v>
      </c>
    </row>
    <row r="129" spans="1:34" x14ac:dyDescent="0.3">
      <c r="A129" s="13">
        <v>0</v>
      </c>
      <c r="B129" s="13">
        <v>0.1</v>
      </c>
      <c r="C129" s="13">
        <v>0</v>
      </c>
      <c r="D129" s="13">
        <v>0</v>
      </c>
      <c r="E129" s="13">
        <v>0</v>
      </c>
      <c r="F129" s="13">
        <v>0</v>
      </c>
      <c r="G129" s="13">
        <f>1/32</f>
        <v>3.125E-2</v>
      </c>
      <c r="H129" s="13">
        <f t="shared" si="21"/>
        <v>0.92400000000000004</v>
      </c>
      <c r="I129" s="13">
        <v>18</v>
      </c>
      <c r="J129" s="13">
        <v>0</v>
      </c>
      <c r="K129" s="13">
        <v>0</v>
      </c>
      <c r="L129" s="13">
        <v>0</v>
      </c>
      <c r="M129" s="13">
        <v>0</v>
      </c>
      <c r="N129" s="13">
        <v>0.46200000000000002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2">
        <v>373</v>
      </c>
      <c r="V129" s="2">
        <v>5</v>
      </c>
      <c r="W129" s="2">
        <v>0</v>
      </c>
      <c r="X129" s="2">
        <v>0</v>
      </c>
      <c r="Y129" s="2">
        <v>0</v>
      </c>
      <c r="Z129" s="2">
        <v>0</v>
      </c>
      <c r="AA129" s="2">
        <v>423</v>
      </c>
      <c r="AD129" s="6">
        <v>0</v>
      </c>
      <c r="AE129" s="6" t="s">
        <v>89</v>
      </c>
      <c r="AF129" s="6" t="s">
        <v>90</v>
      </c>
      <c r="AG129" s="2">
        <v>35</v>
      </c>
      <c r="AH129" s="6" t="s">
        <v>91</v>
      </c>
    </row>
    <row r="130" spans="1:34" x14ac:dyDescent="0.3">
      <c r="A130" s="13">
        <v>0</v>
      </c>
      <c r="B130" s="13">
        <v>0.1</v>
      </c>
      <c r="C130" s="13">
        <v>0</v>
      </c>
      <c r="D130" s="13">
        <v>0</v>
      </c>
      <c r="E130" s="13">
        <v>0</v>
      </c>
      <c r="F130" s="13">
        <v>0</v>
      </c>
      <c r="G130" s="13">
        <f>1/32</f>
        <v>3.125E-2</v>
      </c>
      <c r="H130" s="13">
        <f t="shared" si="21"/>
        <v>0.92400000000000004</v>
      </c>
      <c r="I130" s="13">
        <v>18</v>
      </c>
      <c r="J130" s="13">
        <v>0</v>
      </c>
      <c r="K130" s="13">
        <v>0</v>
      </c>
      <c r="L130" s="13">
        <v>0</v>
      </c>
      <c r="M130" s="13">
        <v>0</v>
      </c>
      <c r="N130" s="13">
        <v>0.46200000000000002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2">
        <v>373</v>
      </c>
      <c r="V130" s="2">
        <v>5</v>
      </c>
      <c r="W130" s="2">
        <v>0</v>
      </c>
      <c r="X130" s="2">
        <v>0</v>
      </c>
      <c r="Y130" s="2">
        <v>0</v>
      </c>
      <c r="Z130" s="2">
        <v>0</v>
      </c>
      <c r="AA130" s="2">
        <v>473</v>
      </c>
      <c r="AD130" s="6">
        <f>0.52/0.48</f>
        <v>1.0833333333333335</v>
      </c>
      <c r="AE130" s="6" t="s">
        <v>89</v>
      </c>
      <c r="AF130" s="6" t="s">
        <v>90</v>
      </c>
      <c r="AG130" s="2">
        <v>35</v>
      </c>
      <c r="AH130" s="6" t="s">
        <v>91</v>
      </c>
    </row>
    <row r="131" spans="1:34" x14ac:dyDescent="0.3">
      <c r="A131" s="13">
        <v>0</v>
      </c>
      <c r="B131" s="13">
        <v>0.1</v>
      </c>
      <c r="C131" s="13">
        <v>0</v>
      </c>
      <c r="D131" s="13">
        <v>0</v>
      </c>
      <c r="E131" s="13">
        <v>0</v>
      </c>
      <c r="F131" s="13">
        <v>0</v>
      </c>
      <c r="G131" s="13">
        <f>1/32</f>
        <v>3.125E-2</v>
      </c>
      <c r="H131" s="13">
        <f t="shared" si="21"/>
        <v>0.92400000000000004</v>
      </c>
      <c r="I131" s="13">
        <v>18</v>
      </c>
      <c r="J131" s="13">
        <v>0</v>
      </c>
      <c r="K131" s="13">
        <v>0</v>
      </c>
      <c r="L131" s="13">
        <v>0</v>
      </c>
      <c r="M131" s="13">
        <v>0</v>
      </c>
      <c r="N131" s="13">
        <v>0.46200000000000002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2">
        <v>373</v>
      </c>
      <c r="V131" s="2">
        <v>5</v>
      </c>
      <c r="W131" s="2">
        <v>0</v>
      </c>
      <c r="X131" s="2">
        <v>0</v>
      </c>
      <c r="Y131" s="2">
        <v>0</v>
      </c>
      <c r="Z131" s="2">
        <v>0</v>
      </c>
      <c r="AA131" s="2">
        <v>523</v>
      </c>
      <c r="AD131" s="6">
        <f>0.89/0.11</f>
        <v>8.0909090909090917</v>
      </c>
      <c r="AE131" s="6" t="s">
        <v>89</v>
      </c>
      <c r="AF131" s="6" t="s">
        <v>90</v>
      </c>
      <c r="AG131" s="2">
        <v>35</v>
      </c>
      <c r="AH131" s="6" t="s">
        <v>91</v>
      </c>
    </row>
    <row r="132" spans="1:34" x14ac:dyDescent="0.3">
      <c r="A132" s="13">
        <v>0</v>
      </c>
      <c r="B132" s="13">
        <v>0.1</v>
      </c>
      <c r="C132" s="13">
        <v>0</v>
      </c>
      <c r="D132" s="13">
        <v>0</v>
      </c>
      <c r="E132" s="13">
        <v>0</v>
      </c>
      <c r="F132" s="13">
        <v>0</v>
      </c>
      <c r="G132" s="13">
        <f>1/32</f>
        <v>3.125E-2</v>
      </c>
      <c r="H132" s="13">
        <f t="shared" si="21"/>
        <v>0.92400000000000004</v>
      </c>
      <c r="I132" s="13">
        <v>18</v>
      </c>
      <c r="J132" s="13">
        <v>0</v>
      </c>
      <c r="K132" s="13">
        <v>0</v>
      </c>
      <c r="L132" s="13">
        <v>0</v>
      </c>
      <c r="M132" s="13">
        <v>0</v>
      </c>
      <c r="N132" s="13">
        <v>0.46200000000000002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2">
        <v>373</v>
      </c>
      <c r="V132" s="2">
        <v>5</v>
      </c>
      <c r="W132" s="2">
        <v>0</v>
      </c>
      <c r="X132" s="2">
        <v>0</v>
      </c>
      <c r="Y132" s="2">
        <v>0</v>
      </c>
      <c r="Z132" s="2">
        <v>0</v>
      </c>
      <c r="AA132" s="2">
        <v>573</v>
      </c>
      <c r="AD132" s="6">
        <f>0.98/0.02</f>
        <v>49</v>
      </c>
      <c r="AE132" s="6" t="s">
        <v>89</v>
      </c>
      <c r="AF132" s="6" t="s">
        <v>90</v>
      </c>
      <c r="AG132" s="2">
        <v>35</v>
      </c>
      <c r="AH132" s="6" t="s">
        <v>91</v>
      </c>
    </row>
    <row r="133" spans="1:34" x14ac:dyDescent="0.3">
      <c r="A133" s="13">
        <v>0</v>
      </c>
      <c r="B133" s="13">
        <v>1.7000000000000001E-2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f t="shared" si="21"/>
        <v>0.1</v>
      </c>
      <c r="I133" s="13">
        <v>20</v>
      </c>
      <c r="J133" s="13">
        <v>0</v>
      </c>
      <c r="K133" s="13">
        <v>0.8</v>
      </c>
      <c r="L133" s="13">
        <v>0</v>
      </c>
      <c r="M133" s="13">
        <v>0</v>
      </c>
      <c r="N133" s="13">
        <v>0.05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2">
        <v>416</v>
      </c>
      <c r="V133" s="2">
        <v>72</v>
      </c>
      <c r="W133" s="2">
        <v>0</v>
      </c>
      <c r="X133" s="2">
        <v>100</v>
      </c>
      <c r="Y133" s="2">
        <v>0</v>
      </c>
      <c r="Z133" s="2">
        <v>60</v>
      </c>
      <c r="AA133" s="2">
        <v>473</v>
      </c>
      <c r="AB133" s="6">
        <v>0.38</v>
      </c>
      <c r="AC133" s="6">
        <v>0.24</v>
      </c>
      <c r="AD133" s="6">
        <f>AB133/AC133</f>
        <v>1.5833333333333335</v>
      </c>
      <c r="AE133" s="6" t="s">
        <v>33</v>
      </c>
      <c r="AF133" s="6" t="s">
        <v>52</v>
      </c>
      <c r="AG133" s="2">
        <v>36</v>
      </c>
      <c r="AH133" s="6" t="s">
        <v>92</v>
      </c>
    </row>
    <row r="134" spans="1:34" x14ac:dyDescent="0.3">
      <c r="A134" s="13">
        <v>0</v>
      </c>
      <c r="B134" s="13">
        <v>1.7000000000000001E-2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f t="shared" si="21"/>
        <v>0.1</v>
      </c>
      <c r="I134" s="13">
        <v>20</v>
      </c>
      <c r="J134" s="13">
        <v>0</v>
      </c>
      <c r="K134" s="13">
        <v>0.8</v>
      </c>
      <c r="L134" s="13">
        <v>0</v>
      </c>
      <c r="M134" s="13">
        <v>3.4000000000000002E-2</v>
      </c>
      <c r="N134" s="13">
        <v>0.05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2">
        <v>416</v>
      </c>
      <c r="V134" s="2">
        <v>72</v>
      </c>
      <c r="W134" s="2">
        <v>0</v>
      </c>
      <c r="X134" s="2">
        <v>100</v>
      </c>
      <c r="Y134" s="2">
        <v>0</v>
      </c>
      <c r="Z134" s="2">
        <v>60</v>
      </c>
      <c r="AA134" s="2">
        <v>473</v>
      </c>
      <c r="AB134" s="6">
        <v>0.4</v>
      </c>
      <c r="AC134" s="6">
        <v>0.25</v>
      </c>
      <c r="AD134" s="6">
        <f>AB134/AC134</f>
        <v>1.6</v>
      </c>
      <c r="AE134" s="6" t="s">
        <v>33</v>
      </c>
      <c r="AF134" s="6" t="s">
        <v>52</v>
      </c>
      <c r="AG134" s="2">
        <v>36</v>
      </c>
      <c r="AH134" s="6" t="s">
        <v>92</v>
      </c>
    </row>
    <row r="135" spans="1:34" x14ac:dyDescent="0.3">
      <c r="A135" s="13">
        <v>0</v>
      </c>
      <c r="B135" s="13">
        <v>1.7000000000000001E-2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f t="shared" si="21"/>
        <v>0.1</v>
      </c>
      <c r="I135" s="13">
        <v>20</v>
      </c>
      <c r="J135" s="13">
        <v>0</v>
      </c>
      <c r="K135" s="13">
        <v>0.8</v>
      </c>
      <c r="L135" s="13">
        <v>0</v>
      </c>
      <c r="M135" s="13">
        <f>0.034*4</f>
        <v>0.13600000000000001</v>
      </c>
      <c r="N135" s="13">
        <v>0.05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2">
        <v>416</v>
      </c>
      <c r="V135" s="2">
        <v>72</v>
      </c>
      <c r="W135" s="2">
        <v>0</v>
      </c>
      <c r="X135" s="2">
        <v>100</v>
      </c>
      <c r="Y135" s="2">
        <v>0</v>
      </c>
      <c r="Z135" s="2">
        <v>60</v>
      </c>
      <c r="AA135" s="2">
        <v>473</v>
      </c>
      <c r="AB135" s="6">
        <v>0.37</v>
      </c>
      <c r="AC135" s="6">
        <v>0.22</v>
      </c>
      <c r="AD135" s="6">
        <f>AB135/AC135</f>
        <v>1.6818181818181819</v>
      </c>
      <c r="AE135" s="6" t="s">
        <v>33</v>
      </c>
      <c r="AF135" s="6" t="s">
        <v>52</v>
      </c>
      <c r="AG135" s="2">
        <v>36</v>
      </c>
      <c r="AH135" s="6" t="s">
        <v>92</v>
      </c>
    </row>
    <row r="136" spans="1:34" x14ac:dyDescent="0.3">
      <c r="A136" s="13">
        <v>0</v>
      </c>
      <c r="B136" s="13">
        <v>1.7000000000000001E-2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f t="shared" si="21"/>
        <v>0.1</v>
      </c>
      <c r="I136" s="13">
        <v>20</v>
      </c>
      <c r="J136" s="13">
        <v>0</v>
      </c>
      <c r="K136" s="13">
        <v>0.8</v>
      </c>
      <c r="L136" s="13">
        <v>0</v>
      </c>
      <c r="M136" s="13">
        <f>0.034*16</f>
        <v>0.54400000000000004</v>
      </c>
      <c r="N136" s="13">
        <v>0.05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2">
        <v>416</v>
      </c>
      <c r="V136" s="2">
        <v>72</v>
      </c>
      <c r="W136" s="2">
        <v>0</v>
      </c>
      <c r="X136" s="2">
        <v>100</v>
      </c>
      <c r="Y136" s="2">
        <v>0</v>
      </c>
      <c r="Z136" s="2">
        <v>60</v>
      </c>
      <c r="AA136" s="2">
        <v>473</v>
      </c>
      <c r="AB136" s="6">
        <v>0.39</v>
      </c>
      <c r="AC136" s="6">
        <v>0.23</v>
      </c>
      <c r="AD136" s="6">
        <f>AB136/AC136</f>
        <v>1.6956521739130435</v>
      </c>
      <c r="AE136" s="6" t="s">
        <v>33</v>
      </c>
      <c r="AF136" s="6" t="s">
        <v>52</v>
      </c>
      <c r="AG136" s="2">
        <v>36</v>
      </c>
      <c r="AH136" s="6" t="s">
        <v>92</v>
      </c>
    </row>
    <row r="137" spans="1:34" x14ac:dyDescent="0.3">
      <c r="A137" s="13">
        <v>0</v>
      </c>
      <c r="B137" s="13">
        <f>0.016/1.89</f>
        <v>8.4656084656084662E-3</v>
      </c>
      <c r="C137" s="13">
        <v>0</v>
      </c>
      <c r="D137" s="13">
        <f>0/1.89</f>
        <v>0</v>
      </c>
      <c r="E137" s="13">
        <v>0</v>
      </c>
      <c r="F137" s="13">
        <v>0</v>
      </c>
      <c r="G137" s="13">
        <v>0</v>
      </c>
      <c r="H137" s="13">
        <v>0.3</v>
      </c>
      <c r="I137" s="13">
        <f>226.13/1.8</f>
        <v>125.62777777777777</v>
      </c>
      <c r="J137" s="13">
        <v>0</v>
      </c>
      <c r="K137" s="13">
        <f>1/1.89</f>
        <v>0.52910052910052918</v>
      </c>
      <c r="L137" s="13">
        <v>0</v>
      </c>
      <c r="M137" s="13">
        <v>0</v>
      </c>
      <c r="N137" s="13">
        <v>0.15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2">
        <v>433</v>
      </c>
      <c r="V137" s="2">
        <f>24*7</f>
        <v>168</v>
      </c>
      <c r="W137" s="2">
        <v>0</v>
      </c>
      <c r="X137" s="2">
        <v>147</v>
      </c>
      <c r="Y137" s="2">
        <v>0</v>
      </c>
      <c r="Z137" s="2">
        <v>0</v>
      </c>
      <c r="AA137" s="2">
        <v>423</v>
      </c>
      <c r="AD137" s="6">
        <v>81</v>
      </c>
      <c r="AE137" s="6" t="s">
        <v>66</v>
      </c>
      <c r="AF137" s="6" t="s">
        <v>10</v>
      </c>
      <c r="AG137" s="2">
        <v>39</v>
      </c>
      <c r="AH137" s="6" t="s">
        <v>93</v>
      </c>
    </row>
    <row r="138" spans="1:34" x14ac:dyDescent="0.3">
      <c r="A138" s="13">
        <v>0</v>
      </c>
      <c r="B138" s="18">
        <v>0</v>
      </c>
      <c r="C138" s="13">
        <v>0</v>
      </c>
      <c r="D138" s="18">
        <f>0.03/2.39</f>
        <v>1.2552301255230124E-2</v>
      </c>
      <c r="E138" s="13">
        <v>0</v>
      </c>
      <c r="F138" s="13">
        <v>0</v>
      </c>
      <c r="G138" s="13">
        <v>0</v>
      </c>
      <c r="H138" s="13">
        <v>0.3</v>
      </c>
      <c r="I138" s="13">
        <f>122.1/2.39</f>
        <v>51.087866108786606</v>
      </c>
      <c r="J138" s="13">
        <v>0</v>
      </c>
      <c r="K138" s="18">
        <f>1/2.39</f>
        <v>0.41841004184100417</v>
      </c>
      <c r="L138" s="13">
        <v>0</v>
      </c>
      <c r="M138" s="13">
        <v>0</v>
      </c>
      <c r="N138" s="13">
        <v>0.15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2">
        <v>433</v>
      </c>
      <c r="V138" s="2">
        <f t="shared" ref="V138:V143" si="22">24*5</f>
        <v>120</v>
      </c>
      <c r="W138" s="2">
        <v>0</v>
      </c>
      <c r="X138" s="2">
        <v>147</v>
      </c>
      <c r="Y138" s="2">
        <v>0</v>
      </c>
      <c r="Z138" s="2">
        <v>0</v>
      </c>
      <c r="AA138" s="2">
        <v>423</v>
      </c>
      <c r="AD138" s="6">
        <v>1.9</v>
      </c>
      <c r="AE138" s="6" t="s">
        <v>66</v>
      </c>
      <c r="AF138" s="6" t="s">
        <v>10</v>
      </c>
      <c r="AG138" s="2">
        <v>39</v>
      </c>
      <c r="AH138" s="6" t="s">
        <v>93</v>
      </c>
    </row>
    <row r="139" spans="1:34" x14ac:dyDescent="0.3">
      <c r="A139" s="13">
        <v>0</v>
      </c>
      <c r="B139" s="18">
        <v>0</v>
      </c>
      <c r="C139" s="13">
        <v>0</v>
      </c>
      <c r="D139" s="18">
        <f>0.024/2.39</f>
        <v>1.00418410041841E-2</v>
      </c>
      <c r="E139" s="13">
        <v>0</v>
      </c>
      <c r="F139" s="13">
        <v>0</v>
      </c>
      <c r="G139" s="13">
        <v>0</v>
      </c>
      <c r="H139" s="13">
        <v>0.3</v>
      </c>
      <c r="I139" s="13">
        <f>122.1/2.39</f>
        <v>51.087866108786606</v>
      </c>
      <c r="J139" s="13">
        <v>0</v>
      </c>
      <c r="K139" s="18">
        <f>1/2.39</f>
        <v>0.41841004184100417</v>
      </c>
      <c r="L139" s="13">
        <v>0</v>
      </c>
      <c r="M139" s="13">
        <v>0</v>
      </c>
      <c r="N139" s="13">
        <v>0.15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2">
        <v>433</v>
      </c>
      <c r="V139" s="2">
        <f t="shared" si="22"/>
        <v>120</v>
      </c>
      <c r="W139" s="2">
        <v>0</v>
      </c>
      <c r="X139" s="2">
        <v>147</v>
      </c>
      <c r="Y139" s="2">
        <v>0</v>
      </c>
      <c r="Z139" s="2">
        <v>0</v>
      </c>
      <c r="AA139" s="2">
        <v>423</v>
      </c>
      <c r="AD139" s="6">
        <v>3.2</v>
      </c>
      <c r="AE139" s="6" t="s">
        <v>66</v>
      </c>
      <c r="AF139" s="6" t="s">
        <v>10</v>
      </c>
      <c r="AG139" s="2">
        <v>39</v>
      </c>
      <c r="AH139" s="6" t="s">
        <v>93</v>
      </c>
    </row>
    <row r="140" spans="1:34" x14ac:dyDescent="0.3">
      <c r="A140" s="13">
        <v>0</v>
      </c>
      <c r="B140" s="18">
        <v>0</v>
      </c>
      <c r="C140" s="13">
        <v>0</v>
      </c>
      <c r="D140" s="18">
        <f>0.017/2.39</f>
        <v>7.1129707112970713E-3</v>
      </c>
      <c r="E140" s="13">
        <v>0</v>
      </c>
      <c r="F140" s="13">
        <v>0</v>
      </c>
      <c r="G140" s="13">
        <v>0</v>
      </c>
      <c r="H140" s="13">
        <v>0.3</v>
      </c>
      <c r="I140" s="13">
        <f>122.1/2.39</f>
        <v>51.087866108786606</v>
      </c>
      <c r="J140" s="13">
        <v>0</v>
      </c>
      <c r="K140" s="18">
        <f>1/2.39</f>
        <v>0.41841004184100417</v>
      </c>
      <c r="L140" s="13">
        <v>0</v>
      </c>
      <c r="M140" s="13">
        <v>0</v>
      </c>
      <c r="N140" s="13">
        <v>0.15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2">
        <v>433</v>
      </c>
      <c r="V140" s="2">
        <f t="shared" si="22"/>
        <v>120</v>
      </c>
      <c r="W140" s="2">
        <v>0</v>
      </c>
      <c r="X140" s="2">
        <v>147</v>
      </c>
      <c r="Y140" s="2">
        <v>0</v>
      </c>
      <c r="Z140" s="2">
        <v>0</v>
      </c>
      <c r="AA140" s="2">
        <v>423</v>
      </c>
      <c r="AD140" s="6">
        <v>5.7</v>
      </c>
      <c r="AE140" s="6" t="s">
        <v>66</v>
      </c>
      <c r="AF140" s="6" t="s">
        <v>10</v>
      </c>
      <c r="AG140" s="2">
        <v>39</v>
      </c>
      <c r="AH140" s="6" t="s">
        <v>93</v>
      </c>
    </row>
    <row r="141" spans="1:34" x14ac:dyDescent="0.3">
      <c r="A141" s="13">
        <v>0</v>
      </c>
      <c r="B141" s="18">
        <f>0.014/2.39</f>
        <v>5.8577405857740588E-3</v>
      </c>
      <c r="C141" s="13">
        <v>0</v>
      </c>
      <c r="D141" s="18">
        <f>0.014/2.39</f>
        <v>5.8577405857740588E-3</v>
      </c>
      <c r="E141" s="13">
        <v>0</v>
      </c>
      <c r="F141" s="13">
        <v>0</v>
      </c>
      <c r="G141" s="13">
        <v>0</v>
      </c>
      <c r="H141" s="13">
        <v>0.3</v>
      </c>
      <c r="I141" s="13">
        <f>122.1/2.39</f>
        <v>51.087866108786606</v>
      </c>
      <c r="J141" s="13">
        <v>0</v>
      </c>
      <c r="K141" s="18">
        <f>1/2.39</f>
        <v>0.41841004184100417</v>
      </c>
      <c r="L141" s="13">
        <v>0</v>
      </c>
      <c r="M141" s="13">
        <v>0</v>
      </c>
      <c r="N141" s="13">
        <v>0.15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2">
        <v>433</v>
      </c>
      <c r="V141" s="2">
        <f t="shared" si="22"/>
        <v>120</v>
      </c>
      <c r="W141" s="2">
        <v>0</v>
      </c>
      <c r="X141" s="2">
        <v>147</v>
      </c>
      <c r="Y141" s="2">
        <v>0</v>
      </c>
      <c r="Z141" s="2">
        <v>0</v>
      </c>
      <c r="AA141" s="2">
        <v>423</v>
      </c>
      <c r="AD141" s="6">
        <v>2.9</v>
      </c>
      <c r="AE141" s="6" t="s">
        <v>66</v>
      </c>
      <c r="AF141" s="6" t="s">
        <v>10</v>
      </c>
      <c r="AG141" s="2">
        <v>39</v>
      </c>
      <c r="AH141" s="6" t="s">
        <v>93</v>
      </c>
    </row>
    <row r="142" spans="1:34" x14ac:dyDescent="0.3">
      <c r="A142" s="13">
        <v>0</v>
      </c>
      <c r="B142" s="18">
        <f>0.01/2.39</f>
        <v>4.1841004184100415E-3</v>
      </c>
      <c r="C142" s="13">
        <v>0</v>
      </c>
      <c r="D142" s="18">
        <f>0.01/2.39</f>
        <v>4.1841004184100415E-3</v>
      </c>
      <c r="E142" s="13">
        <v>0</v>
      </c>
      <c r="F142" s="13">
        <v>0</v>
      </c>
      <c r="G142" s="13">
        <v>0</v>
      </c>
      <c r="H142" s="13">
        <v>0.3</v>
      </c>
      <c r="I142" s="13">
        <f>122.1/2.39</f>
        <v>51.087866108786606</v>
      </c>
      <c r="J142" s="13">
        <v>0</v>
      </c>
      <c r="K142" s="18">
        <f>1/2.39</f>
        <v>0.41841004184100417</v>
      </c>
      <c r="L142" s="13">
        <v>0</v>
      </c>
      <c r="M142" s="13">
        <v>0</v>
      </c>
      <c r="N142" s="13">
        <v>0.15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2">
        <v>433</v>
      </c>
      <c r="V142" s="2">
        <f t="shared" si="22"/>
        <v>120</v>
      </c>
      <c r="W142" s="2">
        <v>0</v>
      </c>
      <c r="X142" s="2">
        <v>147</v>
      </c>
      <c r="Y142" s="2">
        <v>0</v>
      </c>
      <c r="Z142" s="2">
        <v>0</v>
      </c>
      <c r="AA142" s="2">
        <v>423</v>
      </c>
      <c r="AD142" s="6">
        <v>5</v>
      </c>
      <c r="AE142" s="6" t="s">
        <v>66</v>
      </c>
      <c r="AF142" s="6" t="s">
        <v>10</v>
      </c>
      <c r="AG142" s="2">
        <v>39</v>
      </c>
      <c r="AH142" s="6" t="s">
        <v>93</v>
      </c>
    </row>
    <row r="143" spans="1:34" x14ac:dyDescent="0.3">
      <c r="A143" s="13">
        <v>0</v>
      </c>
      <c r="B143" s="13">
        <f>1/36</f>
        <v>2.7777777777777776E-2</v>
      </c>
      <c r="C143" s="13">
        <v>0</v>
      </c>
      <c r="D143" s="13">
        <f>1/152</f>
        <v>6.5789473684210523E-3</v>
      </c>
      <c r="E143" s="13">
        <v>0</v>
      </c>
      <c r="F143" s="13">
        <v>0</v>
      </c>
      <c r="G143" s="13">
        <v>0</v>
      </c>
      <c r="H143" s="13">
        <f>0.2+K143</f>
        <v>0.30000000000000004</v>
      </c>
      <c r="I143" s="13">
        <v>45</v>
      </c>
      <c r="J143" s="13">
        <v>0</v>
      </c>
      <c r="K143" s="13">
        <v>0.1</v>
      </c>
      <c r="L143" s="13">
        <v>0</v>
      </c>
      <c r="M143" s="13">
        <v>0</v>
      </c>
      <c r="N143" s="13">
        <v>0.11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2">
        <v>448</v>
      </c>
      <c r="V143" s="2">
        <f t="shared" si="22"/>
        <v>120</v>
      </c>
      <c r="W143" s="2">
        <v>0</v>
      </c>
      <c r="X143" s="2">
        <v>233</v>
      </c>
      <c r="Y143" s="2">
        <v>0</v>
      </c>
      <c r="Z143" s="2">
        <v>0</v>
      </c>
      <c r="AA143" s="2">
        <v>523</v>
      </c>
      <c r="AB143" s="6">
        <v>5.3</v>
      </c>
      <c r="AC143" s="6">
        <v>1.2</v>
      </c>
      <c r="AD143" s="6">
        <f t="shared" ref="AD143:AD184" si="23">AB143/AC143</f>
        <v>4.416666666666667</v>
      </c>
      <c r="AE143" s="6" t="s">
        <v>49</v>
      </c>
      <c r="AF143" s="6" t="s">
        <v>5</v>
      </c>
      <c r="AG143" s="2">
        <v>40</v>
      </c>
      <c r="AH143" s="6" t="s">
        <v>58</v>
      </c>
    </row>
    <row r="144" spans="1:34" x14ac:dyDescent="0.3">
      <c r="A144" s="13">
        <v>0</v>
      </c>
      <c r="B144" s="13">
        <f>1/36</f>
        <v>2.7777777777777776E-2</v>
      </c>
      <c r="C144" s="13">
        <v>0</v>
      </c>
      <c r="D144" s="13">
        <f>1/152</f>
        <v>6.5789473684210523E-3</v>
      </c>
      <c r="E144" s="13">
        <v>0</v>
      </c>
      <c r="F144" s="13">
        <v>0</v>
      </c>
      <c r="G144" s="13">
        <v>0</v>
      </c>
      <c r="H144" s="18">
        <f>K144</f>
        <v>0.6</v>
      </c>
      <c r="I144" s="13">
        <v>7.5</v>
      </c>
      <c r="J144" s="13">
        <v>0.5</v>
      </c>
      <c r="K144" s="13">
        <v>0.6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2">
        <v>423</v>
      </c>
      <c r="V144" s="2">
        <v>240</v>
      </c>
      <c r="W144" s="2">
        <v>0</v>
      </c>
      <c r="X144" s="2">
        <v>160</v>
      </c>
      <c r="Y144" s="2">
        <v>0</v>
      </c>
      <c r="Z144" s="2">
        <v>0</v>
      </c>
      <c r="AA144" s="2">
        <v>523</v>
      </c>
      <c r="AB144" s="6">
        <v>4</v>
      </c>
      <c r="AC144" s="6">
        <v>4.5</v>
      </c>
      <c r="AD144" s="6">
        <f t="shared" si="23"/>
        <v>0.88888888888888884</v>
      </c>
      <c r="AE144" s="6" t="s">
        <v>14</v>
      </c>
      <c r="AF144" s="6" t="s">
        <v>14</v>
      </c>
      <c r="AG144" s="2">
        <v>40</v>
      </c>
      <c r="AH144" s="7" t="s">
        <v>58</v>
      </c>
    </row>
    <row r="145" spans="1:34" x14ac:dyDescent="0.3">
      <c r="A145" s="13">
        <v>0</v>
      </c>
      <c r="B145" s="13">
        <v>1.0999999999999999E-2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f>K145</f>
        <v>0.52200000000000002</v>
      </c>
      <c r="I145" s="18">
        <v>15</v>
      </c>
      <c r="J145" s="13">
        <v>0.5</v>
      </c>
      <c r="K145" s="13">
        <f>(0.5+B145*2)</f>
        <v>0.52200000000000002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2">
        <v>423</v>
      </c>
      <c r="V145" s="2">
        <f>24*9</f>
        <v>216</v>
      </c>
      <c r="W145" s="2">
        <v>1</v>
      </c>
      <c r="X145" s="2">
        <v>210</v>
      </c>
      <c r="Y145" s="2">
        <v>0</v>
      </c>
      <c r="Z145" s="2">
        <v>60</v>
      </c>
      <c r="AA145" s="2">
        <v>523</v>
      </c>
      <c r="AB145" s="6">
        <v>3.57</v>
      </c>
      <c r="AC145" s="6">
        <v>0.5</v>
      </c>
      <c r="AD145" s="6">
        <f t="shared" si="23"/>
        <v>7.14</v>
      </c>
      <c r="AE145" s="6" t="s">
        <v>94</v>
      </c>
      <c r="AF145" s="6" t="s">
        <v>22</v>
      </c>
      <c r="AG145" s="2">
        <v>41</v>
      </c>
      <c r="AH145" s="6" t="s">
        <v>95</v>
      </c>
    </row>
    <row r="146" spans="1:34" x14ac:dyDescent="0.3">
      <c r="A146" s="13">
        <v>0</v>
      </c>
      <c r="B146" s="13">
        <v>1.0999999999999999E-2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f>K146</f>
        <v>0.52200000000000002</v>
      </c>
      <c r="I146" s="18">
        <v>15</v>
      </c>
      <c r="J146" s="13">
        <v>0.5</v>
      </c>
      <c r="K146" s="13">
        <f>(0.5+B146*2)</f>
        <v>0.52200000000000002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2">
        <v>423</v>
      </c>
      <c r="V146" s="2">
        <f>24*9</f>
        <v>216</v>
      </c>
      <c r="W146" s="2">
        <v>1</v>
      </c>
      <c r="X146" s="2">
        <v>210</v>
      </c>
      <c r="Y146" s="2">
        <v>0</v>
      </c>
      <c r="Z146" s="2">
        <v>60</v>
      </c>
      <c r="AA146" s="2">
        <v>673</v>
      </c>
      <c r="AB146" s="6">
        <v>1.18</v>
      </c>
      <c r="AC146" s="6">
        <v>0.3</v>
      </c>
      <c r="AD146" s="6">
        <f t="shared" si="23"/>
        <v>3.9333333333333331</v>
      </c>
      <c r="AE146" s="6" t="s">
        <v>94</v>
      </c>
      <c r="AF146" s="6" t="s">
        <v>22</v>
      </c>
      <c r="AG146" s="2">
        <v>41</v>
      </c>
      <c r="AH146" s="6" t="s">
        <v>95</v>
      </c>
    </row>
    <row r="147" spans="1:34" x14ac:dyDescent="0.3">
      <c r="A147" s="13">
        <v>0</v>
      </c>
      <c r="B147" s="13">
        <v>2.1000000000000001E-2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f>K147</f>
        <v>0.54200000000000004</v>
      </c>
      <c r="I147" s="18">
        <v>15</v>
      </c>
      <c r="J147" s="13">
        <v>0.5</v>
      </c>
      <c r="K147" s="13">
        <f>(0.5+B147*2)</f>
        <v>0.54200000000000004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2">
        <v>423</v>
      </c>
      <c r="V147" s="2">
        <f>24*9</f>
        <v>216</v>
      </c>
      <c r="W147" s="2">
        <v>1</v>
      </c>
      <c r="X147" s="2">
        <v>210</v>
      </c>
      <c r="Y147" s="2">
        <v>0</v>
      </c>
      <c r="Z147" s="2">
        <v>60</v>
      </c>
      <c r="AA147" s="2">
        <v>523</v>
      </c>
      <c r="AB147" s="6">
        <v>5.0999999999999996</v>
      </c>
      <c r="AC147" s="6">
        <v>0.67</v>
      </c>
      <c r="AD147" s="6">
        <f t="shared" si="23"/>
        <v>7.611940298507462</v>
      </c>
      <c r="AE147" s="6" t="s">
        <v>94</v>
      </c>
      <c r="AF147" s="6" t="s">
        <v>22</v>
      </c>
      <c r="AG147" s="2">
        <v>41</v>
      </c>
      <c r="AH147" s="6" t="s">
        <v>95</v>
      </c>
    </row>
    <row r="148" spans="1:34" x14ac:dyDescent="0.3">
      <c r="A148" s="13">
        <v>0</v>
      </c>
      <c r="B148" s="13">
        <v>2.1000000000000001E-2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f>K148</f>
        <v>0.54200000000000004</v>
      </c>
      <c r="I148" s="18">
        <v>15</v>
      </c>
      <c r="J148" s="13">
        <v>0.5</v>
      </c>
      <c r="K148" s="13">
        <f>(0.5+B148*2)</f>
        <v>0.54200000000000004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2">
        <v>423</v>
      </c>
      <c r="V148" s="2">
        <f>24*9</f>
        <v>216</v>
      </c>
      <c r="W148" s="2">
        <v>1</v>
      </c>
      <c r="X148" s="2">
        <v>210</v>
      </c>
      <c r="Y148" s="2">
        <v>0</v>
      </c>
      <c r="Z148" s="2">
        <v>60</v>
      </c>
      <c r="AA148" s="2">
        <v>673</v>
      </c>
      <c r="AB148" s="6">
        <v>2.44</v>
      </c>
      <c r="AC148" s="6">
        <v>1.01</v>
      </c>
      <c r="AD148" s="6">
        <f t="shared" si="23"/>
        <v>2.4158415841584158</v>
      </c>
      <c r="AE148" s="6" t="s">
        <v>94</v>
      </c>
      <c r="AF148" s="6" t="s">
        <v>22</v>
      </c>
      <c r="AG148" s="2">
        <v>41</v>
      </c>
      <c r="AH148" s="6" t="s">
        <v>95</v>
      </c>
    </row>
    <row r="149" spans="1:34" x14ac:dyDescent="0.3">
      <c r="A149" s="13">
        <v>0</v>
      </c>
      <c r="B149" s="13">
        <v>0</v>
      </c>
      <c r="C149" s="13">
        <f>1/60</f>
        <v>1.6666666666666666E-2</v>
      </c>
      <c r="D149" s="13">
        <v>0</v>
      </c>
      <c r="E149" s="13">
        <v>0</v>
      </c>
      <c r="F149" s="13">
        <v>0</v>
      </c>
      <c r="G149" s="13">
        <v>0</v>
      </c>
      <c r="H149" s="13">
        <f>K149+N149*2</f>
        <v>0.43333333333333335</v>
      </c>
      <c r="I149" s="13">
        <f>1285/28</f>
        <v>45.892857142857146</v>
      </c>
      <c r="J149" s="13">
        <v>0</v>
      </c>
      <c r="K149" s="13">
        <f>24/60</f>
        <v>0.4</v>
      </c>
      <c r="L149" s="13">
        <v>0</v>
      </c>
      <c r="M149" s="13">
        <v>0</v>
      </c>
      <c r="N149" s="13">
        <f>1/60</f>
        <v>1.6666666666666666E-2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2">
        <f>273+130</f>
        <v>403</v>
      </c>
      <c r="V149" s="2">
        <v>240</v>
      </c>
      <c r="W149" s="2">
        <v>0</v>
      </c>
      <c r="X149" s="2">
        <v>160</v>
      </c>
      <c r="Y149" s="2">
        <v>0</v>
      </c>
      <c r="Z149" s="2">
        <v>0</v>
      </c>
      <c r="AA149" s="2">
        <v>473</v>
      </c>
      <c r="AB149" s="6">
        <v>0.26</v>
      </c>
      <c r="AC149" s="6">
        <v>0.35</v>
      </c>
      <c r="AD149" s="6">
        <f t="shared" si="23"/>
        <v>0.74285714285714288</v>
      </c>
      <c r="AE149" s="6" t="s">
        <v>14</v>
      </c>
      <c r="AF149" s="6" t="s">
        <v>14</v>
      </c>
      <c r="AG149" s="2">
        <v>42</v>
      </c>
      <c r="AH149" s="6" t="s">
        <v>96</v>
      </c>
    </row>
    <row r="150" spans="1:34" x14ac:dyDescent="0.3">
      <c r="A150" s="13">
        <v>0</v>
      </c>
      <c r="B150" s="13">
        <v>0</v>
      </c>
      <c r="C150" s="13">
        <f>1/60</f>
        <v>1.6666666666666666E-2</v>
      </c>
      <c r="D150" s="13">
        <v>0</v>
      </c>
      <c r="E150" s="13">
        <v>0</v>
      </c>
      <c r="F150" s="13">
        <v>0</v>
      </c>
      <c r="G150" s="13">
        <v>0</v>
      </c>
      <c r="H150" s="13">
        <f>K150+N150*2</f>
        <v>0.43333333333333335</v>
      </c>
      <c r="I150" s="13">
        <f>1285/28</f>
        <v>45.892857142857146</v>
      </c>
      <c r="J150" s="13">
        <v>0</v>
      </c>
      <c r="K150" s="13">
        <f>24/60</f>
        <v>0.4</v>
      </c>
      <c r="L150" s="13">
        <v>0</v>
      </c>
      <c r="M150" s="13">
        <v>0</v>
      </c>
      <c r="N150" s="13">
        <f>1/60</f>
        <v>1.6666666666666666E-2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2">
        <f>273+130</f>
        <v>403</v>
      </c>
      <c r="V150" s="2">
        <v>240</v>
      </c>
      <c r="W150" s="2">
        <v>0</v>
      </c>
      <c r="X150" s="2">
        <v>160</v>
      </c>
      <c r="Y150" s="2">
        <v>0</v>
      </c>
      <c r="Z150" s="2">
        <v>0</v>
      </c>
      <c r="AA150" s="2">
        <v>573</v>
      </c>
      <c r="AB150" s="6">
        <v>0.17</v>
      </c>
      <c r="AC150" s="6">
        <v>0.31</v>
      </c>
      <c r="AD150" s="6">
        <f t="shared" si="23"/>
        <v>0.54838709677419362</v>
      </c>
      <c r="AE150" s="6" t="s">
        <v>14</v>
      </c>
      <c r="AF150" s="6" t="s">
        <v>14</v>
      </c>
      <c r="AG150" s="2">
        <v>42</v>
      </c>
      <c r="AH150" s="6" t="s">
        <v>96</v>
      </c>
    </row>
    <row r="151" spans="1:34" x14ac:dyDescent="0.3">
      <c r="A151" s="13">
        <v>0</v>
      </c>
      <c r="B151" s="13">
        <v>0</v>
      </c>
      <c r="C151" s="13">
        <f>1/60</f>
        <v>1.6666666666666666E-2</v>
      </c>
      <c r="D151" s="13">
        <v>0</v>
      </c>
      <c r="E151" s="13">
        <v>0</v>
      </c>
      <c r="F151" s="13">
        <v>0</v>
      </c>
      <c r="G151" s="13">
        <v>0</v>
      </c>
      <c r="H151" s="13">
        <f>K151+N151*2</f>
        <v>0.43333333333333335</v>
      </c>
      <c r="I151" s="13">
        <f>1285/28</f>
        <v>45.892857142857146</v>
      </c>
      <c r="J151" s="13">
        <v>0</v>
      </c>
      <c r="K151" s="13">
        <f>24/60</f>
        <v>0.4</v>
      </c>
      <c r="L151" s="13">
        <v>0</v>
      </c>
      <c r="M151" s="13">
        <v>0</v>
      </c>
      <c r="N151" s="13">
        <f>1/60</f>
        <v>1.6666666666666666E-2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2">
        <f>273+130</f>
        <v>403</v>
      </c>
      <c r="V151" s="2">
        <v>240</v>
      </c>
      <c r="W151" s="2">
        <v>0</v>
      </c>
      <c r="X151" s="2">
        <v>160</v>
      </c>
      <c r="Y151" s="2">
        <v>0</v>
      </c>
      <c r="Z151" s="2">
        <v>0</v>
      </c>
      <c r="AA151" s="2">
        <v>673</v>
      </c>
      <c r="AB151" s="6">
        <v>0.05</v>
      </c>
      <c r="AC151" s="6">
        <v>0.26</v>
      </c>
      <c r="AD151" s="6">
        <f t="shared" si="23"/>
        <v>0.19230769230769232</v>
      </c>
      <c r="AE151" s="6" t="s">
        <v>14</v>
      </c>
      <c r="AF151" s="6" t="s">
        <v>14</v>
      </c>
      <c r="AG151" s="2">
        <v>42</v>
      </c>
      <c r="AH151" s="6" t="s">
        <v>96</v>
      </c>
    </row>
    <row r="152" spans="1:34" x14ac:dyDescent="0.3">
      <c r="A152" s="13">
        <v>0</v>
      </c>
      <c r="B152" s="13">
        <v>0</v>
      </c>
      <c r="C152" s="13">
        <f>1/60</f>
        <v>1.6666666666666666E-2</v>
      </c>
      <c r="D152" s="13">
        <v>0</v>
      </c>
      <c r="E152" s="13">
        <v>0</v>
      </c>
      <c r="F152" s="13">
        <v>0</v>
      </c>
      <c r="G152" s="13">
        <v>0</v>
      </c>
      <c r="H152" s="13">
        <f>K152+N152*2</f>
        <v>0.43333333333333335</v>
      </c>
      <c r="I152" s="13">
        <f>1285/28</f>
        <v>45.892857142857146</v>
      </c>
      <c r="J152" s="13">
        <v>0</v>
      </c>
      <c r="K152" s="13">
        <f>24/60</f>
        <v>0.4</v>
      </c>
      <c r="L152" s="13">
        <v>0</v>
      </c>
      <c r="M152" s="13">
        <v>0</v>
      </c>
      <c r="N152" s="13">
        <f>1/60</f>
        <v>1.6666666666666666E-2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2">
        <f>273+130</f>
        <v>403</v>
      </c>
      <c r="V152" s="2">
        <v>240</v>
      </c>
      <c r="W152" s="2">
        <v>0</v>
      </c>
      <c r="X152" s="2">
        <v>160</v>
      </c>
      <c r="Y152" s="2">
        <v>0</v>
      </c>
      <c r="Z152" s="2">
        <v>0</v>
      </c>
      <c r="AA152" s="2">
        <v>773</v>
      </c>
      <c r="AB152" s="6">
        <v>0</v>
      </c>
      <c r="AC152" s="6">
        <v>0.13</v>
      </c>
      <c r="AD152" s="6">
        <f t="shared" si="23"/>
        <v>0</v>
      </c>
      <c r="AE152" s="6" t="s">
        <v>14</v>
      </c>
      <c r="AF152" s="6" t="s">
        <v>14</v>
      </c>
      <c r="AG152" s="2">
        <v>42</v>
      </c>
      <c r="AH152" s="6" t="s">
        <v>96</v>
      </c>
    </row>
    <row r="153" spans="1:34" x14ac:dyDescent="0.3">
      <c r="A153" s="13">
        <v>0</v>
      </c>
      <c r="B153" s="13">
        <f>1/90</f>
        <v>1.1111111111111112E-2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f>O153*2</f>
        <v>6.6666666666666666E-2</v>
      </c>
      <c r="I153" s="13">
        <f>3588/90</f>
        <v>39.866666666666667</v>
      </c>
      <c r="J153" s="13">
        <v>0</v>
      </c>
      <c r="K153" s="13">
        <f>27.3/90</f>
        <v>0.30333333333333334</v>
      </c>
      <c r="L153" s="13">
        <v>0</v>
      </c>
      <c r="M153" s="13">
        <v>0</v>
      </c>
      <c r="N153" s="13">
        <v>0</v>
      </c>
      <c r="O153" s="13">
        <f>3/90</f>
        <v>3.3333333333333333E-2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2">
        <f>273+160</f>
        <v>433</v>
      </c>
      <c r="V153" s="2">
        <v>72</v>
      </c>
      <c r="W153" s="2">
        <v>0</v>
      </c>
      <c r="X153" s="2">
        <v>202</v>
      </c>
      <c r="Y153" s="2">
        <v>0</v>
      </c>
      <c r="Z153" s="2">
        <v>37</v>
      </c>
      <c r="AA153" s="2">
        <v>473</v>
      </c>
      <c r="AB153" s="6">
        <v>240</v>
      </c>
      <c r="AC153" s="6">
        <v>30</v>
      </c>
      <c r="AD153" s="6">
        <f t="shared" si="23"/>
        <v>8</v>
      </c>
      <c r="AE153" s="6" t="s">
        <v>98</v>
      </c>
      <c r="AF153" s="6" t="s">
        <v>15</v>
      </c>
      <c r="AG153" s="2">
        <v>44</v>
      </c>
      <c r="AH153" s="6" t="s">
        <v>99</v>
      </c>
    </row>
    <row r="154" spans="1:34" x14ac:dyDescent="0.3">
      <c r="A154" s="13">
        <v>0</v>
      </c>
      <c r="B154" s="13">
        <f>0.75/60</f>
        <v>1.2500000000000001E-2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f t="shared" ref="H154:H164" si="24">N154*2</f>
        <v>0.13166666666666668</v>
      </c>
      <c r="I154" s="18">
        <f>1200/60</f>
        <v>20</v>
      </c>
      <c r="J154" s="13">
        <v>0</v>
      </c>
      <c r="K154" s="13">
        <f>1.2/60</f>
        <v>0.02</v>
      </c>
      <c r="L154" s="13">
        <v>0</v>
      </c>
      <c r="M154" s="13">
        <v>0</v>
      </c>
      <c r="N154" s="13">
        <f>3.95/60</f>
        <v>6.5833333333333341E-2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2">
        <f>273+180</f>
        <v>453</v>
      </c>
      <c r="V154" s="2">
        <v>24</v>
      </c>
      <c r="W154" s="2">
        <v>0</v>
      </c>
      <c r="X154" s="2">
        <v>258</v>
      </c>
      <c r="Y154" s="2">
        <v>0</v>
      </c>
      <c r="Z154" s="2">
        <v>0</v>
      </c>
      <c r="AA154" s="2">
        <f>273+150</f>
        <v>423</v>
      </c>
      <c r="AB154" s="6">
        <v>206</v>
      </c>
      <c r="AC154" s="6">
        <v>32</v>
      </c>
      <c r="AD154" s="6">
        <f t="shared" si="23"/>
        <v>6.4375</v>
      </c>
      <c r="AE154" s="6" t="s">
        <v>18</v>
      </c>
      <c r="AF154" s="6" t="s">
        <v>18</v>
      </c>
      <c r="AG154" s="2">
        <v>47</v>
      </c>
      <c r="AH154" s="6" t="s">
        <v>101</v>
      </c>
    </row>
    <row r="155" spans="1:34" x14ac:dyDescent="0.3">
      <c r="A155" s="13">
        <v>0</v>
      </c>
      <c r="B155" s="13">
        <f>0.75/60</f>
        <v>1.2500000000000001E-2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f t="shared" si="24"/>
        <v>0.13166666666666668</v>
      </c>
      <c r="I155" s="18">
        <f>1200/60</f>
        <v>20</v>
      </c>
      <c r="J155" s="13">
        <v>0</v>
      </c>
      <c r="K155" s="13">
        <f>1.2/60</f>
        <v>0.02</v>
      </c>
      <c r="L155" s="13">
        <v>0</v>
      </c>
      <c r="M155" s="13">
        <v>0</v>
      </c>
      <c r="N155" s="13">
        <f>3.95/60</f>
        <v>6.5833333333333341E-2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2">
        <f>273+180</f>
        <v>453</v>
      </c>
      <c r="V155" s="2">
        <v>24</v>
      </c>
      <c r="W155" s="2">
        <v>0</v>
      </c>
      <c r="X155" s="2">
        <v>258</v>
      </c>
      <c r="Y155" s="2">
        <v>0</v>
      </c>
      <c r="Z155" s="2">
        <v>0</v>
      </c>
      <c r="AA155" s="2">
        <f>273+300</f>
        <v>573</v>
      </c>
      <c r="AB155" s="6">
        <v>197</v>
      </c>
      <c r="AC155" s="6">
        <v>19</v>
      </c>
      <c r="AD155" s="6">
        <f t="shared" si="23"/>
        <v>10.368421052631579</v>
      </c>
      <c r="AE155" s="6" t="s">
        <v>18</v>
      </c>
      <c r="AF155" s="6" t="s">
        <v>18</v>
      </c>
      <c r="AG155" s="2">
        <v>47</v>
      </c>
      <c r="AH155" s="6" t="s">
        <v>101</v>
      </c>
    </row>
    <row r="156" spans="1:34" x14ac:dyDescent="0.3">
      <c r="A156" s="13">
        <v>0</v>
      </c>
      <c r="B156" s="13">
        <f>0.75/60</f>
        <v>1.2500000000000001E-2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f t="shared" si="24"/>
        <v>0.13166666666666668</v>
      </c>
      <c r="I156" s="18">
        <f>1200/60</f>
        <v>20</v>
      </c>
      <c r="J156" s="13">
        <v>0</v>
      </c>
      <c r="K156" s="13">
        <f>1.2/60</f>
        <v>0.02</v>
      </c>
      <c r="L156" s="13">
        <v>0</v>
      </c>
      <c r="M156" s="13">
        <v>0</v>
      </c>
      <c r="N156" s="13">
        <f>3.95/60</f>
        <v>6.5833333333333341E-2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2">
        <f>273+180</f>
        <v>453</v>
      </c>
      <c r="V156" s="2">
        <v>24</v>
      </c>
      <c r="W156" s="2">
        <v>0</v>
      </c>
      <c r="X156" s="2">
        <v>258</v>
      </c>
      <c r="Y156" s="2">
        <v>0</v>
      </c>
      <c r="Z156" s="2">
        <v>0</v>
      </c>
      <c r="AA156" s="2">
        <f>273+450</f>
        <v>723</v>
      </c>
      <c r="AB156" s="6">
        <v>163</v>
      </c>
      <c r="AC156" s="6">
        <v>16</v>
      </c>
      <c r="AD156" s="6">
        <f t="shared" si="23"/>
        <v>10.1875</v>
      </c>
      <c r="AE156" s="6" t="s">
        <v>18</v>
      </c>
      <c r="AF156" s="6" t="s">
        <v>18</v>
      </c>
      <c r="AG156" s="2">
        <v>47</v>
      </c>
      <c r="AH156" s="6" t="s">
        <v>101</v>
      </c>
    </row>
    <row r="157" spans="1:34" x14ac:dyDescent="0.3">
      <c r="A157" s="13">
        <v>0</v>
      </c>
      <c r="B157" s="13">
        <v>2.6009227220299882E-3</v>
      </c>
      <c r="C157" s="13">
        <v>0</v>
      </c>
      <c r="D157" s="13">
        <v>5.8823529411764705E-3</v>
      </c>
      <c r="E157" s="13">
        <v>0</v>
      </c>
      <c r="F157" s="13">
        <v>0</v>
      </c>
      <c r="G157" s="13">
        <v>0</v>
      </c>
      <c r="H157" s="13">
        <f t="shared" si="24"/>
        <v>9.631499051233397E-2</v>
      </c>
      <c r="I157" s="18">
        <v>4.9372549019607845</v>
      </c>
      <c r="J157" s="13">
        <v>0</v>
      </c>
      <c r="K157" s="13">
        <v>3.5000000000000003E-2</v>
      </c>
      <c r="L157" s="13">
        <v>0</v>
      </c>
      <c r="M157" s="13">
        <v>0</v>
      </c>
      <c r="N157" s="13">
        <f>0.00615749525616698+0.042</f>
        <v>4.8157495256166985E-2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2">
        <v>453</v>
      </c>
      <c r="V157" s="2">
        <v>17</v>
      </c>
      <c r="W157" s="2">
        <v>0</v>
      </c>
      <c r="X157" s="2">
        <v>258</v>
      </c>
      <c r="Y157" s="2">
        <v>0</v>
      </c>
      <c r="Z157" s="2">
        <v>40</v>
      </c>
      <c r="AA157" s="2">
        <f>273+150</f>
        <v>423</v>
      </c>
      <c r="AB157" s="6">
        <v>32</v>
      </c>
      <c r="AC157" s="6">
        <v>64</v>
      </c>
      <c r="AD157" s="6">
        <f t="shared" si="23"/>
        <v>0.5</v>
      </c>
      <c r="AE157" s="6" t="s">
        <v>18</v>
      </c>
      <c r="AF157" s="6" t="s">
        <v>18</v>
      </c>
      <c r="AG157" s="2">
        <v>51</v>
      </c>
      <c r="AH157" s="6" t="s">
        <v>81</v>
      </c>
    </row>
    <row r="158" spans="1:34" x14ac:dyDescent="0.3">
      <c r="A158" s="13">
        <v>0</v>
      </c>
      <c r="B158" s="13">
        <v>3.7831603229527095E-3</v>
      </c>
      <c r="C158" s="13">
        <v>0</v>
      </c>
      <c r="D158" s="13">
        <v>3.0252100840336134E-3</v>
      </c>
      <c r="E158" s="13">
        <v>0</v>
      </c>
      <c r="F158" s="13">
        <v>0</v>
      </c>
      <c r="G158" s="13">
        <v>0</v>
      </c>
      <c r="H158" s="13">
        <f t="shared" si="24"/>
        <v>0.10191271347248576</v>
      </c>
      <c r="I158" s="13">
        <v>4.9201120448179267</v>
      </c>
      <c r="J158" s="13">
        <v>0</v>
      </c>
      <c r="K158" s="13">
        <v>3.5000000000000003E-2</v>
      </c>
      <c r="L158" s="13">
        <v>0</v>
      </c>
      <c r="M158" s="13">
        <v>0</v>
      </c>
      <c r="N158" s="13">
        <f>0.00895635673624288+0.042</f>
        <v>5.095635673624288E-2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2">
        <v>453</v>
      </c>
      <c r="V158" s="2">
        <v>17</v>
      </c>
      <c r="W158" s="2">
        <v>0</v>
      </c>
      <c r="X158" s="2">
        <v>258</v>
      </c>
      <c r="Y158" s="2">
        <v>0</v>
      </c>
      <c r="Z158" s="2">
        <v>40</v>
      </c>
      <c r="AA158" s="2">
        <f>273+150</f>
        <v>423</v>
      </c>
      <c r="AB158" s="6">
        <v>38</v>
      </c>
      <c r="AC158" s="6">
        <v>54</v>
      </c>
      <c r="AD158" s="6">
        <f t="shared" si="23"/>
        <v>0.70370370370370372</v>
      </c>
      <c r="AE158" s="6" t="s">
        <v>18</v>
      </c>
      <c r="AF158" s="6" t="s">
        <v>18</v>
      </c>
      <c r="AG158" s="2">
        <v>51</v>
      </c>
      <c r="AH158" s="6" t="s">
        <v>81</v>
      </c>
    </row>
    <row r="159" spans="1:34" x14ac:dyDescent="0.3">
      <c r="A159" s="13">
        <v>0</v>
      </c>
      <c r="B159" s="13">
        <v>4.2560553633217979E-3</v>
      </c>
      <c r="C159" s="13">
        <v>0</v>
      </c>
      <c r="D159" s="13">
        <v>2.0168067226890756E-3</v>
      </c>
      <c r="E159" s="13">
        <v>0</v>
      </c>
      <c r="F159" s="13">
        <v>0</v>
      </c>
      <c r="G159" s="13">
        <v>0</v>
      </c>
      <c r="H159" s="13">
        <f t="shared" si="24"/>
        <v>0.1041518026565464</v>
      </c>
      <c r="I159" s="13">
        <v>4.9140616246498601</v>
      </c>
      <c r="J159" s="13">
        <v>0</v>
      </c>
      <c r="K159" s="13">
        <v>3.5000000000000003E-2</v>
      </c>
      <c r="L159" s="13">
        <v>0</v>
      </c>
      <c r="M159" s="13">
        <v>0</v>
      </c>
      <c r="N159" s="13">
        <f>0.0100759013282732+0.042</f>
        <v>5.2075901328273201E-2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2">
        <v>453</v>
      </c>
      <c r="V159" s="2">
        <v>17</v>
      </c>
      <c r="W159" s="2">
        <v>0</v>
      </c>
      <c r="X159" s="2">
        <v>258</v>
      </c>
      <c r="Y159" s="2">
        <v>0</v>
      </c>
      <c r="Z159" s="2">
        <v>40</v>
      </c>
      <c r="AA159" s="2">
        <f>273+150</f>
        <v>423</v>
      </c>
      <c r="AB159" s="6">
        <v>48</v>
      </c>
      <c r="AC159" s="6">
        <v>64</v>
      </c>
      <c r="AD159" s="6">
        <f t="shared" si="23"/>
        <v>0.75</v>
      </c>
      <c r="AE159" s="6" t="s">
        <v>18</v>
      </c>
      <c r="AF159" s="6" t="s">
        <v>18</v>
      </c>
      <c r="AG159" s="2">
        <v>51</v>
      </c>
      <c r="AH159" s="6" t="s">
        <v>81</v>
      </c>
    </row>
    <row r="160" spans="1:34" x14ac:dyDescent="0.3">
      <c r="A160" s="13">
        <v>0</v>
      </c>
      <c r="B160" s="13">
        <v>2.6009227220299882E-3</v>
      </c>
      <c r="C160" s="13">
        <v>0</v>
      </c>
      <c r="D160" s="13">
        <v>5.8823529411764705E-3</v>
      </c>
      <c r="E160" s="13">
        <v>0</v>
      </c>
      <c r="F160" s="13">
        <v>0</v>
      </c>
      <c r="G160" s="13">
        <v>0</v>
      </c>
      <c r="H160" s="13">
        <f t="shared" si="24"/>
        <v>9.631499051233397E-2</v>
      </c>
      <c r="I160" s="18">
        <v>4.9372549019607845</v>
      </c>
      <c r="J160" s="13">
        <v>0</v>
      </c>
      <c r="K160" s="13">
        <v>3.5000000000000003E-2</v>
      </c>
      <c r="L160" s="13">
        <v>0</v>
      </c>
      <c r="M160" s="13">
        <v>0</v>
      </c>
      <c r="N160" s="13">
        <f>0.00615749525616698+0.042</f>
        <v>4.8157495256166985E-2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2">
        <v>453</v>
      </c>
      <c r="V160" s="2">
        <v>17</v>
      </c>
      <c r="W160" s="2">
        <v>0</v>
      </c>
      <c r="X160" s="2">
        <v>258</v>
      </c>
      <c r="Y160" s="2">
        <v>0</v>
      </c>
      <c r="Z160" s="2">
        <v>40</v>
      </c>
      <c r="AA160" s="2">
        <f>273+350</f>
        <v>623</v>
      </c>
      <c r="AB160" s="6">
        <v>29</v>
      </c>
      <c r="AC160" s="6">
        <v>26</v>
      </c>
      <c r="AD160" s="6">
        <f t="shared" si="23"/>
        <v>1.1153846153846154</v>
      </c>
      <c r="AE160" s="6" t="s">
        <v>18</v>
      </c>
      <c r="AF160" s="6" t="s">
        <v>18</v>
      </c>
      <c r="AG160" s="2">
        <v>51</v>
      </c>
      <c r="AH160" s="6" t="s">
        <v>81</v>
      </c>
    </row>
    <row r="161" spans="1:34" x14ac:dyDescent="0.3">
      <c r="A161" s="13">
        <v>0</v>
      </c>
      <c r="B161" s="13">
        <v>3.7831603229527095E-3</v>
      </c>
      <c r="C161" s="13">
        <v>0</v>
      </c>
      <c r="D161" s="13">
        <v>3.0252100840336134E-3</v>
      </c>
      <c r="E161" s="13">
        <v>0</v>
      </c>
      <c r="F161" s="13">
        <v>0</v>
      </c>
      <c r="G161" s="13">
        <v>0</v>
      </c>
      <c r="H161" s="13">
        <f t="shared" si="24"/>
        <v>0.10191271347248576</v>
      </c>
      <c r="I161" s="13">
        <v>4.9201120448179267</v>
      </c>
      <c r="J161" s="13">
        <v>0</v>
      </c>
      <c r="K161" s="13">
        <v>3.5000000000000003E-2</v>
      </c>
      <c r="L161" s="13">
        <v>0</v>
      </c>
      <c r="M161" s="13">
        <v>0</v>
      </c>
      <c r="N161" s="13">
        <f>0.00895635673624288+0.042</f>
        <v>5.095635673624288E-2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2">
        <v>453</v>
      </c>
      <c r="V161" s="2">
        <v>17</v>
      </c>
      <c r="W161" s="2">
        <v>0</v>
      </c>
      <c r="X161" s="2">
        <v>258</v>
      </c>
      <c r="Y161" s="2">
        <v>0</v>
      </c>
      <c r="Z161" s="2">
        <v>40</v>
      </c>
      <c r="AA161" s="2">
        <f>273+350</f>
        <v>623</v>
      </c>
      <c r="AB161" s="6">
        <v>30</v>
      </c>
      <c r="AC161" s="6">
        <v>23</v>
      </c>
      <c r="AD161" s="6">
        <f t="shared" si="23"/>
        <v>1.3043478260869565</v>
      </c>
      <c r="AE161" s="6" t="s">
        <v>18</v>
      </c>
      <c r="AF161" s="6" t="s">
        <v>18</v>
      </c>
      <c r="AG161" s="2">
        <v>51</v>
      </c>
      <c r="AH161" s="6" t="s">
        <v>81</v>
      </c>
    </row>
    <row r="162" spans="1:34" x14ac:dyDescent="0.3">
      <c r="A162" s="13">
        <v>0</v>
      </c>
      <c r="B162" s="13">
        <v>4.2560553633217979E-3</v>
      </c>
      <c r="C162" s="13">
        <v>0</v>
      </c>
      <c r="D162" s="13">
        <v>2.0168067226890799E-3</v>
      </c>
      <c r="E162" s="13">
        <v>0</v>
      </c>
      <c r="F162" s="13">
        <v>0</v>
      </c>
      <c r="G162" s="13">
        <v>0</v>
      </c>
      <c r="H162" s="13">
        <f t="shared" si="24"/>
        <v>0.1041518026565464</v>
      </c>
      <c r="I162" s="13">
        <v>4.9140616246498601</v>
      </c>
      <c r="J162" s="13">
        <v>0</v>
      </c>
      <c r="K162" s="13">
        <v>3.5000000000000003E-2</v>
      </c>
      <c r="L162" s="13">
        <v>0</v>
      </c>
      <c r="M162" s="13">
        <v>0</v>
      </c>
      <c r="N162" s="13">
        <f>0.0100759013282732+0.042</f>
        <v>5.2075901328273201E-2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2">
        <v>453</v>
      </c>
      <c r="V162" s="2">
        <v>17</v>
      </c>
      <c r="W162" s="2">
        <v>0</v>
      </c>
      <c r="X162" s="2">
        <v>258</v>
      </c>
      <c r="Y162" s="2">
        <v>0</v>
      </c>
      <c r="Z162" s="2">
        <v>40</v>
      </c>
      <c r="AA162" s="2">
        <f>273+350</f>
        <v>623</v>
      </c>
      <c r="AB162" s="6">
        <v>46</v>
      </c>
      <c r="AC162" s="6">
        <v>29</v>
      </c>
      <c r="AD162" s="6">
        <f t="shared" si="23"/>
        <v>1.5862068965517242</v>
      </c>
      <c r="AE162" s="6" t="s">
        <v>18</v>
      </c>
      <c r="AF162" s="6" t="s">
        <v>18</v>
      </c>
      <c r="AG162" s="2">
        <v>51</v>
      </c>
      <c r="AH162" s="6" t="s">
        <v>81</v>
      </c>
    </row>
    <row r="163" spans="1:34" x14ac:dyDescent="0.3">
      <c r="A163" s="13">
        <v>0</v>
      </c>
      <c r="B163" s="13">
        <v>0.01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f t="shared" si="24"/>
        <v>0.24</v>
      </c>
      <c r="I163" s="13">
        <f>60</f>
        <v>60</v>
      </c>
      <c r="J163" s="13">
        <v>0</v>
      </c>
      <c r="K163" s="13">
        <v>0.05</v>
      </c>
      <c r="L163" s="13">
        <v>0</v>
      </c>
      <c r="M163" s="13">
        <v>0</v>
      </c>
      <c r="N163" s="13">
        <v>0.12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2">
        <f>273+190</f>
        <v>463</v>
      </c>
      <c r="V163" s="2">
        <v>72</v>
      </c>
      <c r="W163" s="2">
        <v>0</v>
      </c>
      <c r="X163" s="2">
        <v>258</v>
      </c>
      <c r="Y163" s="2">
        <v>0</v>
      </c>
      <c r="Z163" s="2">
        <v>0</v>
      </c>
      <c r="AA163" s="2">
        <v>423</v>
      </c>
      <c r="AB163" s="6">
        <v>54</v>
      </c>
      <c r="AC163" s="6">
        <v>123</v>
      </c>
      <c r="AD163" s="6">
        <f t="shared" si="23"/>
        <v>0.43902439024390244</v>
      </c>
      <c r="AE163" s="6" t="s">
        <v>18</v>
      </c>
      <c r="AF163" s="6" t="s">
        <v>18</v>
      </c>
      <c r="AG163" s="2">
        <v>52</v>
      </c>
      <c r="AH163" s="6" t="s">
        <v>103</v>
      </c>
    </row>
    <row r="164" spans="1:34" x14ac:dyDescent="0.3">
      <c r="A164" s="13">
        <v>0</v>
      </c>
      <c r="B164" s="13">
        <v>0.01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f t="shared" si="24"/>
        <v>0.48</v>
      </c>
      <c r="I164" s="13">
        <f>60</f>
        <v>60</v>
      </c>
      <c r="J164" s="13">
        <v>0</v>
      </c>
      <c r="K164" s="13">
        <v>0.2</v>
      </c>
      <c r="L164" s="13">
        <v>0</v>
      </c>
      <c r="M164" s="13">
        <v>0</v>
      </c>
      <c r="N164" s="13">
        <v>0.24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2">
        <f>273+190</f>
        <v>463</v>
      </c>
      <c r="V164" s="2">
        <v>72</v>
      </c>
      <c r="W164" s="2">
        <v>0</v>
      </c>
      <c r="X164" s="2">
        <v>258</v>
      </c>
      <c r="Y164" s="2">
        <v>0</v>
      </c>
      <c r="Z164" s="2">
        <v>0</v>
      </c>
      <c r="AA164" s="2">
        <v>423</v>
      </c>
      <c r="AB164" s="6">
        <v>50</v>
      </c>
      <c r="AC164" s="6">
        <v>154</v>
      </c>
      <c r="AD164" s="6">
        <f t="shared" si="23"/>
        <v>0.32467532467532467</v>
      </c>
      <c r="AE164" s="6" t="s">
        <v>20</v>
      </c>
      <c r="AF164" s="6" t="s">
        <v>11</v>
      </c>
      <c r="AG164" s="2">
        <v>52</v>
      </c>
      <c r="AH164" s="6" t="s">
        <v>103</v>
      </c>
    </row>
    <row r="165" spans="1:34" x14ac:dyDescent="0.3">
      <c r="A165" s="13">
        <v>0</v>
      </c>
      <c r="B165" s="13">
        <f>1/100</f>
        <v>0.01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f>72/100</f>
        <v>0.72</v>
      </c>
      <c r="I165" s="13">
        <f>5000/100</f>
        <v>50</v>
      </c>
      <c r="J165" s="13">
        <v>0</v>
      </c>
      <c r="K165" s="13">
        <f>67/100</f>
        <v>0.67</v>
      </c>
      <c r="L165" s="13">
        <v>0</v>
      </c>
      <c r="M165" s="13">
        <v>0</v>
      </c>
      <c r="N165" s="13">
        <f>H165/2</f>
        <v>0.36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2">
        <f>273+170</f>
        <v>443</v>
      </c>
      <c r="V165" s="2">
        <v>48</v>
      </c>
      <c r="W165" s="2">
        <v>0</v>
      </c>
      <c r="X165" s="2">
        <v>97</v>
      </c>
      <c r="Y165" s="2">
        <v>0</v>
      </c>
      <c r="Z165" s="2">
        <v>60</v>
      </c>
      <c r="AA165" s="2">
        <v>423</v>
      </c>
      <c r="AB165" s="6">
        <v>52</v>
      </c>
      <c r="AC165" s="6">
        <v>15</v>
      </c>
      <c r="AD165" s="6">
        <f t="shared" si="23"/>
        <v>3.4666666666666668</v>
      </c>
      <c r="AE165" s="6" t="s">
        <v>104</v>
      </c>
      <c r="AF165" s="6" t="s">
        <v>16</v>
      </c>
      <c r="AG165" s="2">
        <v>53</v>
      </c>
      <c r="AH165" s="6" t="s">
        <v>105</v>
      </c>
    </row>
    <row r="166" spans="1:34" x14ac:dyDescent="0.3">
      <c r="A166" s="13">
        <v>0</v>
      </c>
      <c r="B166" s="13">
        <f>1.5/60</f>
        <v>2.5000000000000001E-2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f>34/60</f>
        <v>0.56666666666666665</v>
      </c>
      <c r="I166" s="13">
        <f>2400/60</f>
        <v>40</v>
      </c>
      <c r="J166" s="13">
        <v>0</v>
      </c>
      <c r="K166" s="13">
        <f>10/60</f>
        <v>0.16666666666666666</v>
      </c>
      <c r="L166" s="13">
        <v>0</v>
      </c>
      <c r="M166" s="13">
        <v>0</v>
      </c>
      <c r="N166" s="13">
        <f>17/60+6/60/2</f>
        <v>0.33333333333333331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2">
        <v>448</v>
      </c>
      <c r="V166" s="2">
        <f>240</f>
        <v>240</v>
      </c>
      <c r="W166" s="2">
        <v>0</v>
      </c>
      <c r="X166" s="2">
        <v>277</v>
      </c>
      <c r="Y166" s="2">
        <v>0</v>
      </c>
      <c r="Z166" s="2">
        <v>0</v>
      </c>
      <c r="AA166" s="2">
        <v>473</v>
      </c>
      <c r="AB166" s="6">
        <v>290</v>
      </c>
      <c r="AC166" s="6">
        <v>102</v>
      </c>
      <c r="AD166" s="6">
        <f t="shared" si="23"/>
        <v>2.8431372549019609</v>
      </c>
      <c r="AE166" s="6" t="s">
        <v>106</v>
      </c>
      <c r="AF166" s="6" t="s">
        <v>107</v>
      </c>
      <c r="AG166" s="2">
        <v>54</v>
      </c>
      <c r="AH166" s="6" t="s">
        <v>108</v>
      </c>
    </row>
    <row r="167" spans="1:34" x14ac:dyDescent="0.3">
      <c r="A167" s="13">
        <v>0</v>
      </c>
      <c r="B167" s="13">
        <f>1.5/60</f>
        <v>2.5000000000000001E-2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f>34/60</f>
        <v>0.56666666666666665</v>
      </c>
      <c r="I167" s="13">
        <f>2400/60</f>
        <v>40</v>
      </c>
      <c r="J167" s="13">
        <v>0</v>
      </c>
      <c r="K167" s="13">
        <f>10/60</f>
        <v>0.16666666666666666</v>
      </c>
      <c r="L167" s="13">
        <v>0</v>
      </c>
      <c r="M167" s="13">
        <v>0</v>
      </c>
      <c r="N167" s="13">
        <f>17/60+6/60/2</f>
        <v>0.33333333333333331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2">
        <v>448</v>
      </c>
      <c r="V167" s="2">
        <f>240</f>
        <v>240</v>
      </c>
      <c r="W167" s="2">
        <v>0</v>
      </c>
      <c r="X167" s="2">
        <v>277</v>
      </c>
      <c r="Y167" s="2">
        <v>0</v>
      </c>
      <c r="Z167" s="2">
        <v>0</v>
      </c>
      <c r="AA167" s="2">
        <f>273+350</f>
        <v>623</v>
      </c>
      <c r="AB167" s="6">
        <v>255</v>
      </c>
      <c r="AC167" s="6">
        <v>83</v>
      </c>
      <c r="AD167" s="6">
        <f t="shared" si="23"/>
        <v>3.072289156626506</v>
      </c>
      <c r="AE167" s="6" t="s">
        <v>106</v>
      </c>
      <c r="AF167" s="6" t="s">
        <v>107</v>
      </c>
      <c r="AG167" s="2">
        <v>54</v>
      </c>
      <c r="AH167" s="6" t="s">
        <v>108</v>
      </c>
    </row>
    <row r="168" spans="1:34" x14ac:dyDescent="0.3">
      <c r="A168" s="13">
        <v>0</v>
      </c>
      <c r="B168" s="13">
        <f>1/90</f>
        <v>1.1111111111111112E-2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f>N168*2</f>
        <v>0.14444444444444443</v>
      </c>
      <c r="I168" s="13">
        <f>1065/90</f>
        <v>11.833333333333334</v>
      </c>
      <c r="J168" s="13">
        <v>0</v>
      </c>
      <c r="K168" s="13">
        <f>9/90</f>
        <v>0.1</v>
      </c>
      <c r="L168" s="13">
        <v>0</v>
      </c>
      <c r="M168" s="13">
        <v>0</v>
      </c>
      <c r="N168" s="13">
        <f>6.5/90</f>
        <v>7.2222222222222215E-2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2">
        <v>448</v>
      </c>
      <c r="V168" s="2">
        <v>18</v>
      </c>
      <c r="W168" s="2">
        <v>0</v>
      </c>
      <c r="X168" s="2">
        <v>300</v>
      </c>
      <c r="Y168" s="2">
        <v>0</v>
      </c>
      <c r="Z168" s="2">
        <v>60</v>
      </c>
      <c r="AA168" s="2">
        <v>473</v>
      </c>
      <c r="AB168" s="6">
        <v>147</v>
      </c>
      <c r="AC168" s="6">
        <v>126</v>
      </c>
      <c r="AD168" s="6">
        <f t="shared" si="23"/>
        <v>1.1666666666666667</v>
      </c>
      <c r="AE168" s="6" t="s">
        <v>102</v>
      </c>
      <c r="AF168" s="6" t="s">
        <v>9</v>
      </c>
      <c r="AG168" s="2">
        <v>54</v>
      </c>
      <c r="AH168" s="6" t="s">
        <v>108</v>
      </c>
    </row>
    <row r="169" spans="1:34" x14ac:dyDescent="0.3">
      <c r="A169" s="13">
        <v>0</v>
      </c>
      <c r="B169" s="13">
        <f>1/90</f>
        <v>1.1111111111111112E-2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f>N169*2</f>
        <v>0.14444444444444443</v>
      </c>
      <c r="I169" s="13">
        <f>1065/90</f>
        <v>11.833333333333334</v>
      </c>
      <c r="J169" s="13">
        <v>0</v>
      </c>
      <c r="K169" s="13">
        <f>9/90</f>
        <v>0.1</v>
      </c>
      <c r="L169" s="13">
        <v>0</v>
      </c>
      <c r="M169" s="13">
        <v>0</v>
      </c>
      <c r="N169" s="13">
        <f>6.5/90</f>
        <v>7.2222222222222215E-2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2">
        <v>448</v>
      </c>
      <c r="V169" s="2">
        <v>18</v>
      </c>
      <c r="W169" s="2">
        <v>0</v>
      </c>
      <c r="X169" s="2">
        <v>300</v>
      </c>
      <c r="Y169" s="2">
        <v>0</v>
      </c>
      <c r="Z169" s="2">
        <v>60</v>
      </c>
      <c r="AA169" s="2">
        <v>623</v>
      </c>
      <c r="AB169" s="6">
        <v>101</v>
      </c>
      <c r="AC169" s="6">
        <v>97</v>
      </c>
      <c r="AD169" s="6">
        <f t="shared" si="23"/>
        <v>1.0412371134020619</v>
      </c>
      <c r="AE169" s="6" t="s">
        <v>102</v>
      </c>
      <c r="AF169" s="6" t="s">
        <v>9</v>
      </c>
      <c r="AG169" s="2">
        <v>54</v>
      </c>
      <c r="AH169" s="6" t="s">
        <v>108</v>
      </c>
    </row>
    <row r="170" spans="1:34" x14ac:dyDescent="0.3">
      <c r="A170" s="13">
        <v>0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0.45</v>
      </c>
      <c r="I170" s="13">
        <v>35</v>
      </c>
      <c r="J170" s="13">
        <v>0</v>
      </c>
      <c r="K170" s="13">
        <v>0.45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0.04</v>
      </c>
      <c r="S170" s="13">
        <v>0</v>
      </c>
      <c r="T170" s="13">
        <v>0</v>
      </c>
      <c r="U170" s="2">
        <v>433</v>
      </c>
      <c r="V170" s="2">
        <f>24*5</f>
        <v>120</v>
      </c>
      <c r="W170" s="2">
        <v>0</v>
      </c>
      <c r="X170" s="2">
        <v>300</v>
      </c>
      <c r="Y170" s="2">
        <v>0</v>
      </c>
      <c r="Z170" s="2">
        <v>0</v>
      </c>
      <c r="AA170" s="2">
        <f>273+250</f>
        <v>523</v>
      </c>
      <c r="AB170" s="6">
        <v>0.27</v>
      </c>
      <c r="AC170" s="6">
        <v>5.15</v>
      </c>
      <c r="AD170" s="6">
        <f t="shared" si="23"/>
        <v>5.2427184466019419E-2</v>
      </c>
      <c r="AE170" s="6" t="s">
        <v>102</v>
      </c>
      <c r="AF170" s="6" t="s">
        <v>9</v>
      </c>
      <c r="AG170" s="2">
        <v>56</v>
      </c>
      <c r="AH170" s="7" t="s">
        <v>109</v>
      </c>
    </row>
    <row r="171" spans="1:34" x14ac:dyDescent="0.3">
      <c r="A171" s="13">
        <v>0</v>
      </c>
      <c r="B171" s="13">
        <f>30/120</f>
        <v>0.25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f t="shared" ref="H171:I178" si="25">31/120</f>
        <v>0.25833333333333336</v>
      </c>
      <c r="I171" s="13">
        <f t="shared" si="25"/>
        <v>0.25833333333333336</v>
      </c>
      <c r="J171" s="13">
        <v>0</v>
      </c>
      <c r="K171" s="13">
        <f t="shared" ref="K171:K178" si="26">23/120</f>
        <v>0.19166666666666668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0.04</v>
      </c>
      <c r="S171" s="13">
        <v>0</v>
      </c>
      <c r="T171" s="13">
        <v>0</v>
      </c>
      <c r="U171" s="2">
        <v>453</v>
      </c>
      <c r="V171" s="2">
        <v>48</v>
      </c>
      <c r="W171" s="2">
        <v>1</v>
      </c>
      <c r="X171" s="2">
        <v>141</v>
      </c>
      <c r="Y171" s="2">
        <v>0</v>
      </c>
      <c r="Z171" s="2">
        <v>46</v>
      </c>
      <c r="AA171" s="2">
        <v>473</v>
      </c>
      <c r="AB171" s="6">
        <v>1.1000000000000001</v>
      </c>
      <c r="AC171" s="6">
        <v>0.08</v>
      </c>
      <c r="AD171" s="6">
        <f t="shared" si="23"/>
        <v>13.75</v>
      </c>
      <c r="AE171" s="6" t="s">
        <v>98</v>
      </c>
      <c r="AF171" s="6" t="s">
        <v>15</v>
      </c>
      <c r="AG171" s="2">
        <v>58</v>
      </c>
      <c r="AH171" s="6" t="s">
        <v>110</v>
      </c>
    </row>
    <row r="172" spans="1:34" x14ac:dyDescent="0.3">
      <c r="A172" s="13">
        <v>0</v>
      </c>
      <c r="B172" s="13">
        <f>60/120</f>
        <v>0.5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f t="shared" si="25"/>
        <v>0.25833333333333336</v>
      </c>
      <c r="I172" s="13">
        <f t="shared" si="25"/>
        <v>0.25833333333333336</v>
      </c>
      <c r="J172" s="13">
        <v>0</v>
      </c>
      <c r="K172" s="13">
        <f t="shared" si="26"/>
        <v>0.19166666666666668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0.04</v>
      </c>
      <c r="S172" s="13">
        <v>0</v>
      </c>
      <c r="T172" s="13">
        <v>0</v>
      </c>
      <c r="U172" s="2">
        <v>453</v>
      </c>
      <c r="V172" s="2">
        <v>48</v>
      </c>
      <c r="W172" s="2">
        <v>1</v>
      </c>
      <c r="X172" s="2">
        <v>141</v>
      </c>
      <c r="Y172" s="2">
        <v>0</v>
      </c>
      <c r="Z172" s="2">
        <v>46</v>
      </c>
      <c r="AA172" s="2">
        <v>473</v>
      </c>
      <c r="AB172" s="6">
        <v>0.59</v>
      </c>
      <c r="AC172" s="6">
        <v>0.14000000000000001</v>
      </c>
      <c r="AD172" s="6">
        <f t="shared" si="23"/>
        <v>4.2142857142857135</v>
      </c>
      <c r="AE172" s="6" t="s">
        <v>98</v>
      </c>
      <c r="AF172" s="6" t="s">
        <v>15</v>
      </c>
      <c r="AG172" s="2">
        <v>58</v>
      </c>
      <c r="AH172" s="6" t="s">
        <v>110</v>
      </c>
    </row>
    <row r="173" spans="1:34" x14ac:dyDescent="0.3">
      <c r="A173" s="13">
        <v>0</v>
      </c>
      <c r="B173" s="13">
        <f>90/120</f>
        <v>0.75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f t="shared" si="25"/>
        <v>0.25833333333333336</v>
      </c>
      <c r="I173" s="13">
        <f t="shared" si="25"/>
        <v>0.25833333333333336</v>
      </c>
      <c r="J173" s="13">
        <v>0</v>
      </c>
      <c r="K173" s="13">
        <f t="shared" si="26"/>
        <v>0.19166666666666668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0.04</v>
      </c>
      <c r="S173" s="13">
        <v>0</v>
      </c>
      <c r="T173" s="13">
        <v>0</v>
      </c>
      <c r="U173" s="2">
        <v>453</v>
      </c>
      <c r="V173" s="2">
        <v>48</v>
      </c>
      <c r="W173" s="2">
        <v>1</v>
      </c>
      <c r="X173" s="2">
        <v>141</v>
      </c>
      <c r="Y173" s="2">
        <v>0</v>
      </c>
      <c r="Z173" s="2">
        <v>46</v>
      </c>
      <c r="AA173" s="2">
        <v>473</v>
      </c>
      <c r="AB173" s="6">
        <v>0.26</v>
      </c>
      <c r="AC173" s="6">
        <v>0.13</v>
      </c>
      <c r="AD173" s="6">
        <f t="shared" si="23"/>
        <v>2</v>
      </c>
      <c r="AE173" s="6" t="s">
        <v>98</v>
      </c>
      <c r="AF173" s="6" t="s">
        <v>15</v>
      </c>
      <c r="AG173" s="2">
        <v>58</v>
      </c>
      <c r="AH173" s="6" t="s">
        <v>110</v>
      </c>
    </row>
    <row r="174" spans="1:34" x14ac:dyDescent="0.3">
      <c r="A174" s="13">
        <v>0</v>
      </c>
      <c r="B174" s="13">
        <f>120/120</f>
        <v>1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f t="shared" si="25"/>
        <v>0.25833333333333336</v>
      </c>
      <c r="I174" s="13">
        <f t="shared" si="25"/>
        <v>0.25833333333333336</v>
      </c>
      <c r="J174" s="13">
        <v>0</v>
      </c>
      <c r="K174" s="13">
        <f t="shared" si="26"/>
        <v>0.19166666666666668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0.04</v>
      </c>
      <c r="S174" s="13">
        <v>0</v>
      </c>
      <c r="T174" s="13">
        <v>0</v>
      </c>
      <c r="U174" s="2">
        <v>453</v>
      </c>
      <c r="V174" s="2">
        <v>48</v>
      </c>
      <c r="W174" s="2">
        <v>1</v>
      </c>
      <c r="X174" s="2">
        <v>141</v>
      </c>
      <c r="Y174" s="2">
        <v>0</v>
      </c>
      <c r="Z174" s="2">
        <v>46</v>
      </c>
      <c r="AA174" s="2">
        <v>473</v>
      </c>
      <c r="AB174" s="6">
        <v>0.21</v>
      </c>
      <c r="AC174" s="6">
        <v>0.13</v>
      </c>
      <c r="AD174" s="6">
        <f t="shared" si="23"/>
        <v>1.6153846153846152</v>
      </c>
      <c r="AE174" s="6" t="s">
        <v>98</v>
      </c>
      <c r="AF174" s="6" t="s">
        <v>15</v>
      </c>
      <c r="AG174" s="2">
        <v>58</v>
      </c>
      <c r="AH174" s="6" t="s">
        <v>110</v>
      </c>
    </row>
    <row r="175" spans="1:34" x14ac:dyDescent="0.3">
      <c r="A175" s="13">
        <v>0</v>
      </c>
      <c r="B175" s="13">
        <f>30/120</f>
        <v>0.25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f t="shared" si="25"/>
        <v>0.25833333333333336</v>
      </c>
      <c r="I175" s="13">
        <f t="shared" si="25"/>
        <v>0.25833333333333336</v>
      </c>
      <c r="J175" s="13">
        <v>0</v>
      </c>
      <c r="K175" s="13">
        <f t="shared" si="26"/>
        <v>0.19166666666666668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0.04</v>
      </c>
      <c r="S175" s="13">
        <v>0</v>
      </c>
      <c r="T175" s="13">
        <v>0</v>
      </c>
      <c r="U175" s="2">
        <v>453</v>
      </c>
      <c r="V175" s="2">
        <v>48</v>
      </c>
      <c r="W175" s="2">
        <v>1</v>
      </c>
      <c r="X175" s="2">
        <v>178</v>
      </c>
      <c r="Y175" s="2">
        <v>0</v>
      </c>
      <c r="Z175" s="2">
        <v>46</v>
      </c>
      <c r="AA175" s="2">
        <v>473</v>
      </c>
      <c r="AB175" s="6">
        <v>0.84</v>
      </c>
      <c r="AC175" s="6">
        <v>0.24</v>
      </c>
      <c r="AD175" s="6">
        <f t="shared" si="23"/>
        <v>3.5</v>
      </c>
      <c r="AE175" s="6" t="s">
        <v>49</v>
      </c>
      <c r="AF175" s="6" t="s">
        <v>5</v>
      </c>
      <c r="AG175" s="2">
        <v>58</v>
      </c>
      <c r="AH175" s="6" t="s">
        <v>110</v>
      </c>
    </row>
    <row r="176" spans="1:34" x14ac:dyDescent="0.3">
      <c r="A176" s="13">
        <v>0</v>
      </c>
      <c r="B176" s="13">
        <f>60/120</f>
        <v>0.5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f t="shared" si="25"/>
        <v>0.25833333333333336</v>
      </c>
      <c r="I176" s="13">
        <f t="shared" si="25"/>
        <v>0.25833333333333336</v>
      </c>
      <c r="J176" s="13">
        <v>0</v>
      </c>
      <c r="K176" s="13">
        <f t="shared" si="26"/>
        <v>0.19166666666666668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0.04</v>
      </c>
      <c r="S176" s="13">
        <v>0</v>
      </c>
      <c r="T176" s="13">
        <v>0</v>
      </c>
      <c r="U176" s="2">
        <v>453</v>
      </c>
      <c r="V176" s="2">
        <v>48</v>
      </c>
      <c r="W176" s="2">
        <v>1</v>
      </c>
      <c r="X176" s="2">
        <v>178</v>
      </c>
      <c r="Y176" s="2">
        <v>0</v>
      </c>
      <c r="Z176" s="2">
        <v>46</v>
      </c>
      <c r="AA176" s="2">
        <v>473</v>
      </c>
      <c r="AB176" s="6">
        <v>0.35</v>
      </c>
      <c r="AC176" s="6">
        <v>0.11</v>
      </c>
      <c r="AD176" s="6">
        <f t="shared" si="23"/>
        <v>3.1818181818181817</v>
      </c>
      <c r="AE176" s="6" t="s">
        <v>49</v>
      </c>
      <c r="AF176" s="6" t="s">
        <v>5</v>
      </c>
      <c r="AG176" s="2">
        <v>58</v>
      </c>
      <c r="AH176" s="6" t="s">
        <v>110</v>
      </c>
    </row>
    <row r="177" spans="1:35" x14ac:dyDescent="0.3">
      <c r="A177" s="13">
        <v>0</v>
      </c>
      <c r="B177" s="13">
        <f>90/120</f>
        <v>0.75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f t="shared" si="25"/>
        <v>0.25833333333333336</v>
      </c>
      <c r="I177" s="13">
        <f t="shared" si="25"/>
        <v>0.25833333333333336</v>
      </c>
      <c r="J177" s="13">
        <v>0</v>
      </c>
      <c r="K177" s="13">
        <f t="shared" si="26"/>
        <v>0.19166666666666668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0.04</v>
      </c>
      <c r="S177" s="13">
        <v>0</v>
      </c>
      <c r="T177" s="13">
        <v>0</v>
      </c>
      <c r="U177" s="2">
        <v>453</v>
      </c>
      <c r="V177" s="2">
        <v>48</v>
      </c>
      <c r="W177" s="2">
        <v>1</v>
      </c>
      <c r="X177" s="2">
        <v>178</v>
      </c>
      <c r="Y177" s="2">
        <v>0</v>
      </c>
      <c r="Z177" s="2">
        <v>46</v>
      </c>
      <c r="AA177" s="2">
        <v>473</v>
      </c>
      <c r="AB177" s="6">
        <v>0.28000000000000003</v>
      </c>
      <c r="AC177" s="6">
        <v>0.13</v>
      </c>
      <c r="AD177" s="6">
        <f t="shared" si="23"/>
        <v>2.1538461538461542</v>
      </c>
      <c r="AE177" s="6" t="s">
        <v>49</v>
      </c>
      <c r="AF177" s="6" t="s">
        <v>5</v>
      </c>
      <c r="AG177" s="2">
        <v>58</v>
      </c>
      <c r="AH177" s="6" t="s">
        <v>110</v>
      </c>
    </row>
    <row r="178" spans="1:35" x14ac:dyDescent="0.3">
      <c r="A178" s="13">
        <v>0</v>
      </c>
      <c r="B178" s="13">
        <f>120/120</f>
        <v>1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f t="shared" si="25"/>
        <v>0.25833333333333336</v>
      </c>
      <c r="I178" s="13">
        <f t="shared" si="25"/>
        <v>0.25833333333333336</v>
      </c>
      <c r="J178" s="13">
        <v>0</v>
      </c>
      <c r="K178" s="13">
        <f t="shared" si="26"/>
        <v>0.19166666666666668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0.04</v>
      </c>
      <c r="S178" s="13">
        <v>0</v>
      </c>
      <c r="T178" s="13">
        <v>0</v>
      </c>
      <c r="U178" s="2">
        <v>453</v>
      </c>
      <c r="V178" s="2">
        <v>48</v>
      </c>
      <c r="W178" s="2">
        <v>1</v>
      </c>
      <c r="X178" s="2">
        <v>178</v>
      </c>
      <c r="Y178" s="2">
        <v>0</v>
      </c>
      <c r="Z178" s="2">
        <v>46</v>
      </c>
      <c r="AA178" s="2">
        <v>473</v>
      </c>
      <c r="AB178" s="6">
        <v>0.26</v>
      </c>
      <c r="AC178" s="6">
        <v>0.12</v>
      </c>
      <c r="AD178" s="6">
        <f t="shared" si="23"/>
        <v>2.166666666666667</v>
      </c>
      <c r="AE178" s="6" t="s">
        <v>49</v>
      </c>
      <c r="AF178" s="6" t="s">
        <v>5</v>
      </c>
      <c r="AG178" s="2">
        <v>58</v>
      </c>
      <c r="AH178" s="6" t="s">
        <v>110</v>
      </c>
    </row>
    <row r="179" spans="1:35" x14ac:dyDescent="0.3">
      <c r="A179" s="13">
        <v>0</v>
      </c>
      <c r="B179" s="13">
        <v>4.4999999999999998E-2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f>0.2+0.2</f>
        <v>0.4</v>
      </c>
      <c r="I179" s="13">
        <v>15</v>
      </c>
      <c r="J179" s="13">
        <v>0</v>
      </c>
      <c r="K179" s="13">
        <v>0.2</v>
      </c>
      <c r="L179" s="13">
        <v>0</v>
      </c>
      <c r="M179" s="13">
        <v>0</v>
      </c>
      <c r="N179" s="13">
        <v>0.1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2">
        <f>273+135</f>
        <v>408</v>
      </c>
      <c r="V179" s="2">
        <f>24*7</f>
        <v>168</v>
      </c>
      <c r="W179" s="2">
        <v>0</v>
      </c>
      <c r="X179" s="2">
        <v>174</v>
      </c>
      <c r="Y179" s="2">
        <v>0</v>
      </c>
      <c r="Z179" s="2">
        <v>0</v>
      </c>
      <c r="AA179" s="2">
        <f>273+150</f>
        <v>423</v>
      </c>
      <c r="AB179" s="6">
        <v>1.9E-2</v>
      </c>
      <c r="AC179" s="6">
        <v>0.6</v>
      </c>
      <c r="AD179" s="6">
        <f t="shared" si="23"/>
        <v>3.1666666666666669E-2</v>
      </c>
      <c r="AE179" s="6" t="s">
        <v>4</v>
      </c>
      <c r="AF179" s="6" t="s">
        <v>111</v>
      </c>
      <c r="AG179" s="2">
        <v>59</v>
      </c>
      <c r="AH179" s="6" t="s">
        <v>112</v>
      </c>
    </row>
    <row r="180" spans="1:35" x14ac:dyDescent="0.3">
      <c r="A180" s="13">
        <v>0</v>
      </c>
      <c r="B180" s="13">
        <v>4.4999999999999998E-2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f>0.2+0.2</f>
        <v>0.4</v>
      </c>
      <c r="I180" s="13">
        <v>15</v>
      </c>
      <c r="J180" s="13">
        <v>0</v>
      </c>
      <c r="K180" s="13">
        <v>0.2</v>
      </c>
      <c r="L180" s="13">
        <v>0</v>
      </c>
      <c r="M180" s="13">
        <v>0</v>
      </c>
      <c r="N180" s="13">
        <v>0.1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2">
        <f>273+135</f>
        <v>408</v>
      </c>
      <c r="V180" s="2">
        <f>24*7</f>
        <v>168</v>
      </c>
      <c r="W180" s="2">
        <v>0</v>
      </c>
      <c r="X180" s="2">
        <v>174</v>
      </c>
      <c r="Y180" s="2">
        <v>0</v>
      </c>
      <c r="Z180" s="2">
        <v>0</v>
      </c>
      <c r="AA180" s="2">
        <f>273+200</f>
        <v>473</v>
      </c>
      <c r="AB180" s="6">
        <v>8.9999999999999993E-3</v>
      </c>
      <c r="AC180" s="6">
        <v>0.26800000000000002</v>
      </c>
      <c r="AD180" s="6">
        <f t="shared" si="23"/>
        <v>3.3582089552238799E-2</v>
      </c>
      <c r="AE180" s="6" t="s">
        <v>4</v>
      </c>
      <c r="AF180" s="6" t="s">
        <v>111</v>
      </c>
      <c r="AG180" s="2">
        <v>59</v>
      </c>
      <c r="AH180" s="6" t="s">
        <v>112</v>
      </c>
    </row>
    <row r="181" spans="1:35" x14ac:dyDescent="0.3">
      <c r="A181" s="13">
        <v>0</v>
      </c>
      <c r="B181" s="13">
        <v>4.4999999999999998E-2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f>0.2+0.2</f>
        <v>0.4</v>
      </c>
      <c r="I181" s="13">
        <v>15</v>
      </c>
      <c r="J181" s="13">
        <v>0</v>
      </c>
      <c r="K181" s="13">
        <v>0.2</v>
      </c>
      <c r="L181" s="13">
        <v>0</v>
      </c>
      <c r="M181" s="13">
        <v>0</v>
      </c>
      <c r="N181" s="13">
        <v>0.1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2">
        <f>273+135</f>
        <v>408</v>
      </c>
      <c r="V181" s="2">
        <f>24*7</f>
        <v>168</v>
      </c>
      <c r="W181" s="2">
        <v>0</v>
      </c>
      <c r="X181" s="2">
        <v>174</v>
      </c>
      <c r="Y181" s="2">
        <v>0</v>
      </c>
      <c r="Z181" s="2">
        <v>0</v>
      </c>
      <c r="AA181" s="2">
        <f>273+350</f>
        <v>623</v>
      </c>
      <c r="AB181" s="6">
        <v>2E-3</v>
      </c>
      <c r="AC181" s="6">
        <v>0.11799999999999999</v>
      </c>
      <c r="AD181" s="6">
        <f t="shared" si="23"/>
        <v>1.6949152542372881E-2</v>
      </c>
      <c r="AE181" s="6" t="s">
        <v>4</v>
      </c>
      <c r="AF181" s="6" t="s">
        <v>111</v>
      </c>
      <c r="AG181" s="2">
        <v>59</v>
      </c>
      <c r="AH181" s="6" t="s">
        <v>112</v>
      </c>
    </row>
    <row r="182" spans="1:35" ht="14.25" customHeight="1" x14ac:dyDescent="0.3">
      <c r="A182" s="13">
        <v>0</v>
      </c>
      <c r="B182" s="13">
        <f>1/30</f>
        <v>3.3333333333333333E-2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10</v>
      </c>
      <c r="J182" s="13">
        <v>2</v>
      </c>
      <c r="K182" s="13">
        <v>1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2">
        <f>273+135</f>
        <v>408</v>
      </c>
      <c r="V182" s="2">
        <v>72</v>
      </c>
      <c r="W182" s="2">
        <v>0</v>
      </c>
      <c r="X182" s="2">
        <v>143</v>
      </c>
      <c r="Y182" s="2">
        <v>0</v>
      </c>
      <c r="Z182" s="2">
        <v>0</v>
      </c>
      <c r="AA182" s="2">
        <v>373</v>
      </c>
      <c r="AB182" s="6">
        <v>233</v>
      </c>
      <c r="AC182" s="6">
        <v>43</v>
      </c>
      <c r="AD182" s="6">
        <f t="shared" si="23"/>
        <v>5.4186046511627906</v>
      </c>
      <c r="AE182" s="6" t="s">
        <v>56</v>
      </c>
      <c r="AF182" s="6" t="s">
        <v>56</v>
      </c>
      <c r="AG182" s="2">
        <v>61</v>
      </c>
      <c r="AH182" s="7" t="s">
        <v>114</v>
      </c>
      <c r="AI182" s="6" t="s">
        <v>113</v>
      </c>
    </row>
    <row r="183" spans="1:35" x14ac:dyDescent="0.3">
      <c r="A183" s="13">
        <f>0.33/0.67</f>
        <v>0.4925373134328358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f>0.5/0.67</f>
        <v>0.74626865671641784</v>
      </c>
      <c r="I183" s="13">
        <f>15/0.67</f>
        <v>22.388059701492537</v>
      </c>
      <c r="J183" s="13">
        <v>0</v>
      </c>
      <c r="K183" s="13">
        <f>0.25/0.67</f>
        <v>0.37313432835820892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2">
        <f>273+175</f>
        <v>448</v>
      </c>
      <c r="V183" s="2">
        <f>24*7</f>
        <v>168</v>
      </c>
      <c r="W183" s="2">
        <v>0</v>
      </c>
      <c r="X183" s="2">
        <v>280</v>
      </c>
      <c r="Y183" s="2">
        <v>0</v>
      </c>
      <c r="Z183" s="2">
        <v>0</v>
      </c>
      <c r="AA183" s="2">
        <f>298</f>
        <v>298</v>
      </c>
      <c r="AB183" s="6">
        <v>0</v>
      </c>
      <c r="AC183" s="6">
        <v>100</v>
      </c>
      <c r="AD183" s="6">
        <f t="shared" si="23"/>
        <v>0</v>
      </c>
      <c r="AE183" s="6" t="s">
        <v>23</v>
      </c>
      <c r="AF183" s="6" t="s">
        <v>23</v>
      </c>
      <c r="AG183" s="2">
        <v>62</v>
      </c>
      <c r="AH183" s="6" t="s">
        <v>115</v>
      </c>
    </row>
    <row r="184" spans="1:35" x14ac:dyDescent="0.3">
      <c r="A184" s="13">
        <f>0.33/0.67</f>
        <v>0.4925373134328358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f>0.5/0.67</f>
        <v>0.74626865671641784</v>
      </c>
      <c r="I184" s="13">
        <f>15/0.67</f>
        <v>22.388059701492537</v>
      </c>
      <c r="J184" s="13">
        <v>0</v>
      </c>
      <c r="K184" s="13">
        <f>0.25/0.67</f>
        <v>0.37313432835820892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2">
        <f>273+175</f>
        <v>448</v>
      </c>
      <c r="V184" s="2">
        <f>24*7</f>
        <v>168</v>
      </c>
      <c r="W184" s="2">
        <v>0</v>
      </c>
      <c r="X184" s="2">
        <v>280</v>
      </c>
      <c r="Y184" s="2">
        <v>0</v>
      </c>
      <c r="Z184" s="2">
        <v>0</v>
      </c>
      <c r="AA184" s="2">
        <f>273+50</f>
        <v>323</v>
      </c>
      <c r="AB184" s="6">
        <v>0</v>
      </c>
      <c r="AC184" s="6">
        <v>100</v>
      </c>
      <c r="AD184" s="6">
        <f t="shared" si="23"/>
        <v>0</v>
      </c>
      <c r="AE184" s="6" t="s">
        <v>23</v>
      </c>
      <c r="AF184" s="6" t="s">
        <v>23</v>
      </c>
      <c r="AG184" s="2">
        <v>62</v>
      </c>
      <c r="AH184" s="6" t="s">
        <v>115</v>
      </c>
    </row>
    <row r="185" spans="1:35" x14ac:dyDescent="0.3">
      <c r="A185" s="13">
        <v>0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f>0.54</f>
        <v>0.54</v>
      </c>
      <c r="I185" s="13">
        <v>7.5</v>
      </c>
      <c r="J185" s="13">
        <v>0.54</v>
      </c>
      <c r="K185" s="13">
        <v>0.54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0.01</v>
      </c>
      <c r="T185" s="13">
        <v>0</v>
      </c>
      <c r="U185" s="2">
        <f>273+140</f>
        <v>413</v>
      </c>
      <c r="V185" s="2">
        <f>24*7</f>
        <v>168</v>
      </c>
      <c r="W185" s="2">
        <v>0</v>
      </c>
      <c r="X185" s="2">
        <v>160</v>
      </c>
      <c r="Y185" s="2">
        <v>0</v>
      </c>
      <c r="Z185" s="2">
        <v>0</v>
      </c>
      <c r="AA185" s="2">
        <f>273+150</f>
        <v>423</v>
      </c>
      <c r="AB185" s="6">
        <v>86</v>
      </c>
      <c r="AC185" s="6">
        <v>264</v>
      </c>
      <c r="AD185" s="6">
        <f t="shared" ref="AD185:AD191" si="27">AB185/AC185</f>
        <v>0.32575757575757575</v>
      </c>
      <c r="AE185" s="6" t="s">
        <v>17</v>
      </c>
      <c r="AF185" s="6" t="s">
        <v>17</v>
      </c>
      <c r="AG185" s="2">
        <v>63</v>
      </c>
      <c r="AH185" s="7" t="s">
        <v>118</v>
      </c>
    </row>
    <row r="186" spans="1:35" x14ac:dyDescent="0.3">
      <c r="A186" s="13">
        <v>0</v>
      </c>
      <c r="B186" s="13">
        <v>0</v>
      </c>
      <c r="C186" s="13">
        <v>3.7999999999999999E-2</v>
      </c>
      <c r="D186" s="13">
        <v>0</v>
      </c>
      <c r="E186" s="13">
        <v>0</v>
      </c>
      <c r="F186" s="13">
        <v>0</v>
      </c>
      <c r="G186" s="13">
        <v>0</v>
      </c>
      <c r="H186" s="13">
        <v>0.32</v>
      </c>
      <c r="I186" s="13">
        <v>45.4</v>
      </c>
      <c r="J186" s="13">
        <v>0</v>
      </c>
      <c r="K186" s="13">
        <v>0.32</v>
      </c>
      <c r="L186" s="13">
        <v>0.02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2">
        <v>423</v>
      </c>
      <c r="V186" s="2">
        <v>96</v>
      </c>
      <c r="W186" s="2">
        <v>0</v>
      </c>
      <c r="X186" s="2">
        <v>232</v>
      </c>
      <c r="Y186" s="2">
        <v>192</v>
      </c>
      <c r="Z186" s="2">
        <v>0</v>
      </c>
      <c r="AA186" s="2">
        <v>423</v>
      </c>
      <c r="AB186" s="6">
        <v>59</v>
      </c>
      <c r="AC186" s="6">
        <v>47</v>
      </c>
      <c r="AD186" s="6">
        <f t="shared" si="27"/>
        <v>1.2553191489361701</v>
      </c>
      <c r="AE186" s="6" t="s">
        <v>49</v>
      </c>
      <c r="AF186" s="6" t="s">
        <v>5</v>
      </c>
      <c r="AG186" s="2">
        <v>66</v>
      </c>
      <c r="AH186" s="6" t="s">
        <v>119</v>
      </c>
    </row>
    <row r="187" spans="1:35" x14ac:dyDescent="0.3">
      <c r="A187" s="13">
        <v>0</v>
      </c>
      <c r="B187" s="13">
        <v>0</v>
      </c>
      <c r="C187" s="13">
        <v>3.7999999999999999E-2</v>
      </c>
      <c r="D187" s="13">
        <v>0</v>
      </c>
      <c r="E187" s="13">
        <v>0</v>
      </c>
      <c r="F187" s="13">
        <v>0</v>
      </c>
      <c r="G187" s="13">
        <v>0</v>
      </c>
      <c r="H187" s="13">
        <v>0.32</v>
      </c>
      <c r="I187" s="13">
        <v>45.4</v>
      </c>
      <c r="J187" s="13">
        <v>0</v>
      </c>
      <c r="K187" s="13">
        <v>0.32</v>
      </c>
      <c r="L187" s="13">
        <v>0.04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2">
        <v>423</v>
      </c>
      <c r="V187" s="2">
        <v>96</v>
      </c>
      <c r="W187" s="2">
        <v>0</v>
      </c>
      <c r="X187" s="2">
        <v>232</v>
      </c>
      <c r="Y187" s="2">
        <v>192</v>
      </c>
      <c r="Z187" s="2">
        <v>0</v>
      </c>
      <c r="AA187" s="2">
        <v>423</v>
      </c>
      <c r="AB187" s="6">
        <v>46</v>
      </c>
      <c r="AC187" s="6">
        <v>47</v>
      </c>
      <c r="AD187" s="6">
        <f t="shared" si="27"/>
        <v>0.97872340425531912</v>
      </c>
      <c r="AE187" s="6" t="s">
        <v>49</v>
      </c>
      <c r="AF187" s="6" t="s">
        <v>5</v>
      </c>
      <c r="AG187" s="2">
        <v>66</v>
      </c>
      <c r="AH187" s="6" t="s">
        <v>119</v>
      </c>
    </row>
    <row r="188" spans="1:35" x14ac:dyDescent="0.3">
      <c r="A188" s="13">
        <v>0</v>
      </c>
      <c r="B188" s="13">
        <v>0</v>
      </c>
      <c r="C188" s="13">
        <v>3.7999999999999999E-2</v>
      </c>
      <c r="D188" s="13">
        <v>0</v>
      </c>
      <c r="E188" s="13">
        <v>0</v>
      </c>
      <c r="F188" s="13">
        <v>0</v>
      </c>
      <c r="G188" s="13">
        <v>0</v>
      </c>
      <c r="H188" s="13">
        <v>0.32</v>
      </c>
      <c r="I188" s="13">
        <v>45.4</v>
      </c>
      <c r="J188" s="13">
        <v>0</v>
      </c>
      <c r="K188" s="13">
        <v>0.32</v>
      </c>
      <c r="L188" s="13">
        <v>0.06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2">
        <v>423</v>
      </c>
      <c r="V188" s="2">
        <v>96</v>
      </c>
      <c r="W188" s="2">
        <v>0</v>
      </c>
      <c r="X188" s="2">
        <v>232</v>
      </c>
      <c r="Y188" s="2">
        <v>192</v>
      </c>
      <c r="Z188" s="19">
        <v>0</v>
      </c>
      <c r="AA188" s="2">
        <v>423</v>
      </c>
      <c r="AB188" s="6">
        <v>41</v>
      </c>
      <c r="AC188" s="6">
        <v>57</v>
      </c>
      <c r="AD188" s="6">
        <f t="shared" si="27"/>
        <v>0.7192982456140351</v>
      </c>
      <c r="AE188" s="6" t="s">
        <v>49</v>
      </c>
      <c r="AF188" s="6" t="s">
        <v>5</v>
      </c>
      <c r="AG188" s="2">
        <v>66</v>
      </c>
      <c r="AH188" s="6" t="s">
        <v>119</v>
      </c>
      <c r="AI188" s="6" t="s">
        <v>120</v>
      </c>
    </row>
    <row r="189" spans="1:35" x14ac:dyDescent="0.3">
      <c r="A189" s="13">
        <v>0</v>
      </c>
      <c r="B189" s="13">
        <f>3/60</f>
        <v>0.05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f>17*2/60</f>
        <v>0.56666666666666665</v>
      </c>
      <c r="I189" s="13">
        <f>2400/60</f>
        <v>40</v>
      </c>
      <c r="J189" s="13">
        <v>0</v>
      </c>
      <c r="K189" s="13">
        <f>10/60</f>
        <v>0.16666666666666666</v>
      </c>
      <c r="L189" s="13">
        <v>0</v>
      </c>
      <c r="M189" s="13">
        <v>0</v>
      </c>
      <c r="N189" s="13">
        <f>20/60</f>
        <v>0.33333333333333331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2">
        <v>448</v>
      </c>
      <c r="V189" s="2">
        <v>240</v>
      </c>
      <c r="W189" s="2">
        <v>0</v>
      </c>
      <c r="X189" s="2">
        <v>277</v>
      </c>
      <c r="Y189" s="2">
        <v>0</v>
      </c>
      <c r="Z189" s="2">
        <v>0</v>
      </c>
      <c r="AA189" s="2">
        <v>523</v>
      </c>
      <c r="AB189" s="6">
        <v>100</v>
      </c>
      <c r="AC189" s="6">
        <v>5</v>
      </c>
      <c r="AD189" s="6">
        <f t="shared" si="27"/>
        <v>20</v>
      </c>
      <c r="AE189" s="6" t="s">
        <v>106</v>
      </c>
      <c r="AF189" s="6" t="s">
        <v>107</v>
      </c>
      <c r="AG189" s="2" t="s">
        <v>121</v>
      </c>
      <c r="AH189" s="6" t="s">
        <v>122</v>
      </c>
    </row>
    <row r="190" spans="1:35" x14ac:dyDescent="0.3">
      <c r="A190" s="13">
        <v>0</v>
      </c>
      <c r="B190" s="13">
        <f t="shared" ref="B190:B191" si="28">3/60</f>
        <v>0.05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f t="shared" ref="H190:H191" si="29">17*2/60</f>
        <v>0.56666666666666665</v>
      </c>
      <c r="I190" s="13">
        <f t="shared" ref="I190:I191" si="30">2400/60</f>
        <v>40</v>
      </c>
      <c r="J190" s="13">
        <v>0</v>
      </c>
      <c r="K190" s="13">
        <f t="shared" ref="K190:K191" si="31">10/60</f>
        <v>0.16666666666666666</v>
      </c>
      <c r="L190" s="13">
        <v>0</v>
      </c>
      <c r="M190" s="13">
        <v>0</v>
      </c>
      <c r="N190" s="13">
        <f t="shared" ref="N190:N191" si="32">20/60</f>
        <v>0.33333333333333331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2">
        <v>448</v>
      </c>
      <c r="V190" s="2">
        <v>240</v>
      </c>
      <c r="W190" s="2">
        <v>0</v>
      </c>
      <c r="X190" s="2">
        <v>277</v>
      </c>
      <c r="Y190" s="2">
        <v>0</v>
      </c>
      <c r="Z190" s="2">
        <v>0</v>
      </c>
      <c r="AA190" s="2">
        <v>623</v>
      </c>
      <c r="AB190" s="6">
        <v>76</v>
      </c>
      <c r="AC190" s="6">
        <v>4</v>
      </c>
      <c r="AD190" s="6">
        <f t="shared" si="27"/>
        <v>19</v>
      </c>
      <c r="AE190" s="6" t="s">
        <v>106</v>
      </c>
      <c r="AF190" s="6" t="s">
        <v>107</v>
      </c>
      <c r="AG190" s="2" t="s">
        <v>121</v>
      </c>
      <c r="AH190" s="6" t="s">
        <v>122</v>
      </c>
    </row>
    <row r="191" spans="1:35" x14ac:dyDescent="0.3">
      <c r="A191" s="13">
        <v>0</v>
      </c>
      <c r="B191" s="13">
        <f t="shared" si="28"/>
        <v>0.05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f t="shared" si="29"/>
        <v>0.56666666666666665</v>
      </c>
      <c r="I191" s="13">
        <f t="shared" si="30"/>
        <v>40</v>
      </c>
      <c r="J191" s="13">
        <v>0</v>
      </c>
      <c r="K191" s="13">
        <f t="shared" si="31"/>
        <v>0.16666666666666666</v>
      </c>
      <c r="L191" s="13">
        <v>0</v>
      </c>
      <c r="M191" s="13">
        <v>0</v>
      </c>
      <c r="N191" s="13">
        <f t="shared" si="32"/>
        <v>0.33333333333333331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2">
        <v>448</v>
      </c>
      <c r="V191" s="2">
        <v>240</v>
      </c>
      <c r="W191" s="2">
        <v>0</v>
      </c>
      <c r="X191" s="2">
        <v>277</v>
      </c>
      <c r="Y191" s="2">
        <v>0</v>
      </c>
      <c r="Z191" s="2">
        <v>0</v>
      </c>
      <c r="AA191" s="2">
        <v>673</v>
      </c>
      <c r="AB191" s="6">
        <v>39</v>
      </c>
      <c r="AC191" s="6">
        <v>3</v>
      </c>
      <c r="AD191" s="6">
        <f t="shared" si="27"/>
        <v>13</v>
      </c>
      <c r="AE191" s="6" t="s">
        <v>106</v>
      </c>
      <c r="AF191" s="6" t="s">
        <v>107</v>
      </c>
      <c r="AG191" s="2" t="s">
        <v>121</v>
      </c>
      <c r="AH191" s="6" t="s">
        <v>122</v>
      </c>
    </row>
    <row r="192" spans="1:35" x14ac:dyDescent="0.3">
      <c r="A192" s="13">
        <v>0</v>
      </c>
      <c r="B192" s="13">
        <f>2/100</f>
        <v>0.02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f>0.5/100*2+36/100</f>
        <v>0.37</v>
      </c>
      <c r="I192" s="13">
        <f>4000/100</f>
        <v>40</v>
      </c>
      <c r="J192" s="13">
        <v>0</v>
      </c>
      <c r="K192" s="13">
        <f>36/100</f>
        <v>0.36</v>
      </c>
      <c r="L192" s="13">
        <f>1/36*K192</f>
        <v>9.9999999999999985E-3</v>
      </c>
      <c r="M192" s="13">
        <v>0</v>
      </c>
      <c r="N192" s="13">
        <f>0.5/100</f>
        <v>5.0000000000000001E-3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2">
        <v>423</v>
      </c>
      <c r="V192" s="2">
        <v>120</v>
      </c>
      <c r="W192" s="2">
        <v>0</v>
      </c>
      <c r="X192" s="2">
        <v>232</v>
      </c>
      <c r="Y192" s="2">
        <v>714</v>
      </c>
      <c r="Z192" s="2">
        <v>30</v>
      </c>
      <c r="AA192" s="3">
        <v>393</v>
      </c>
      <c r="AD192" s="6">
        <v>5.22</v>
      </c>
      <c r="AE192" s="6" t="s">
        <v>49</v>
      </c>
      <c r="AF192" s="6" t="s">
        <v>5</v>
      </c>
      <c r="AG192" s="2">
        <v>69</v>
      </c>
      <c r="AH192" s="6" t="s">
        <v>123</v>
      </c>
    </row>
    <row r="193" spans="1:35" x14ac:dyDescent="0.3">
      <c r="A193" s="13">
        <v>0</v>
      </c>
      <c r="B193" s="13">
        <f t="shared" ref="B193" si="33">2/100</f>
        <v>0.02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f t="shared" ref="H193:H194" si="34">0.5/100*2+36/100</f>
        <v>0.37</v>
      </c>
      <c r="I193" s="13">
        <f t="shared" ref="I193:I194" si="35">4000/100</f>
        <v>40</v>
      </c>
      <c r="J193" s="13">
        <v>0</v>
      </c>
      <c r="K193" s="13">
        <f t="shared" ref="K193" si="36">36/100</f>
        <v>0.36</v>
      </c>
      <c r="L193" s="13">
        <f>3/36*K193</f>
        <v>0.03</v>
      </c>
      <c r="M193" s="13">
        <v>0</v>
      </c>
      <c r="N193" s="13">
        <f t="shared" ref="N193:N194" si="37">0.5/100</f>
        <v>5.0000000000000001E-3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2">
        <v>423</v>
      </c>
      <c r="V193" s="2">
        <v>120</v>
      </c>
      <c r="W193" s="2">
        <v>0</v>
      </c>
      <c r="X193" s="2">
        <v>232</v>
      </c>
      <c r="Y193" s="2">
        <v>714</v>
      </c>
      <c r="Z193" s="2">
        <v>30</v>
      </c>
      <c r="AA193" s="3">
        <v>393</v>
      </c>
      <c r="AD193" s="6">
        <v>4.88</v>
      </c>
      <c r="AE193" s="6" t="s">
        <v>49</v>
      </c>
      <c r="AF193" s="6" t="s">
        <v>5</v>
      </c>
      <c r="AG193" s="2">
        <v>69</v>
      </c>
      <c r="AH193" s="6" t="s">
        <v>123</v>
      </c>
    </row>
    <row r="194" spans="1:35" x14ac:dyDescent="0.3">
      <c r="A194" s="13">
        <v>0</v>
      </c>
      <c r="B194" s="13">
        <f>2/100</f>
        <v>0.02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f t="shared" si="34"/>
        <v>0.37</v>
      </c>
      <c r="I194" s="13">
        <f t="shared" si="35"/>
        <v>40</v>
      </c>
      <c r="J194" s="13">
        <v>0</v>
      </c>
      <c r="K194" s="13">
        <f>36/100</f>
        <v>0.36</v>
      </c>
      <c r="L194" s="13">
        <f>5/36*K194</f>
        <v>0.05</v>
      </c>
      <c r="M194" s="13">
        <v>0</v>
      </c>
      <c r="N194" s="13">
        <f t="shared" si="37"/>
        <v>5.0000000000000001E-3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2">
        <v>423</v>
      </c>
      <c r="V194" s="2">
        <v>120</v>
      </c>
      <c r="W194" s="2">
        <v>0</v>
      </c>
      <c r="X194" s="2">
        <v>232</v>
      </c>
      <c r="Y194" s="2">
        <v>714</v>
      </c>
      <c r="Z194" s="2">
        <v>30</v>
      </c>
      <c r="AA194" s="3">
        <v>393</v>
      </c>
      <c r="AD194" s="6">
        <v>3.58</v>
      </c>
      <c r="AE194" s="6" t="s">
        <v>49</v>
      </c>
      <c r="AF194" s="6" t="s">
        <v>5</v>
      </c>
      <c r="AG194" s="2">
        <v>69</v>
      </c>
      <c r="AH194" s="6" t="s">
        <v>123</v>
      </c>
    </row>
    <row r="195" spans="1:35" x14ac:dyDescent="0.3">
      <c r="A195" s="13">
        <v>0</v>
      </c>
      <c r="B195" s="13">
        <f>1/25</f>
        <v>0.04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f>N195*2+K195</f>
        <v>0.41799999999999998</v>
      </c>
      <c r="I195" s="13">
        <v>11.6</v>
      </c>
      <c r="J195" s="13">
        <v>0</v>
      </c>
      <c r="K195" s="13">
        <v>0.35</v>
      </c>
      <c r="L195" s="13">
        <v>0</v>
      </c>
      <c r="M195" s="13">
        <v>0</v>
      </c>
      <c r="N195" s="13">
        <f>0.034</f>
        <v>3.4000000000000002E-2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2">
        <f>273+150</f>
        <v>423</v>
      </c>
      <c r="V195" s="2">
        <v>72</v>
      </c>
      <c r="W195" s="2">
        <v>0</v>
      </c>
      <c r="X195" s="2">
        <v>160</v>
      </c>
      <c r="Y195" s="2">
        <v>0</v>
      </c>
      <c r="Z195" s="2">
        <v>0</v>
      </c>
      <c r="AA195" s="2">
        <v>423</v>
      </c>
      <c r="AB195" s="6">
        <v>0.27300000000000002</v>
      </c>
      <c r="AC195" s="6">
        <f>0.013</f>
        <v>1.2999999999999999E-2</v>
      </c>
      <c r="AD195" s="6">
        <f>AB195/AC195</f>
        <v>21.000000000000004</v>
      </c>
      <c r="AE195" s="6" t="s">
        <v>14</v>
      </c>
      <c r="AF195" s="6" t="s">
        <v>14</v>
      </c>
      <c r="AG195" s="2">
        <v>71</v>
      </c>
      <c r="AH195" s="7" t="s">
        <v>124</v>
      </c>
    </row>
    <row r="196" spans="1:35" x14ac:dyDescent="0.3">
      <c r="A196" s="13">
        <v>0</v>
      </c>
      <c r="B196" s="13">
        <f>1/250</f>
        <v>4.0000000000000001E-3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f>N196*2+K196</f>
        <v>0.24299999999999999</v>
      </c>
      <c r="I196" s="13">
        <v>11.6</v>
      </c>
      <c r="J196" s="13">
        <v>0</v>
      </c>
      <c r="K196" s="13">
        <f>0.175</f>
        <v>0.17499999999999999</v>
      </c>
      <c r="L196" s="13">
        <v>0</v>
      </c>
      <c r="M196" s="13">
        <f>1/6</f>
        <v>0.16666666666666666</v>
      </c>
      <c r="N196" s="13">
        <f t="shared" ref="N196:N198" si="38">0.034</f>
        <v>3.4000000000000002E-2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2">
        <f t="shared" ref="U196:U198" si="39">273+150</f>
        <v>423</v>
      </c>
      <c r="V196" s="2">
        <v>72</v>
      </c>
      <c r="W196" s="2">
        <v>0</v>
      </c>
      <c r="X196" s="2">
        <v>160</v>
      </c>
      <c r="Y196" s="2">
        <v>0</v>
      </c>
      <c r="Z196" s="2">
        <v>0</v>
      </c>
      <c r="AA196" s="2">
        <v>423</v>
      </c>
      <c r="AB196" s="6">
        <v>0.13100000000000001</v>
      </c>
      <c r="AC196" s="6">
        <v>0.41199999999999998</v>
      </c>
      <c r="AD196" s="6">
        <f t="shared" ref="AD196:AD216" si="40">AB196/AC196</f>
        <v>0.31796116504854371</v>
      </c>
      <c r="AE196" s="6" t="s">
        <v>14</v>
      </c>
      <c r="AF196" s="6" t="s">
        <v>14</v>
      </c>
      <c r="AG196" s="2">
        <v>71</v>
      </c>
      <c r="AH196" s="7" t="s">
        <v>124</v>
      </c>
    </row>
    <row r="197" spans="1:35" x14ac:dyDescent="0.3">
      <c r="A197" s="13">
        <v>0</v>
      </c>
      <c r="B197" s="13">
        <f t="shared" ref="B197:B198" si="41">1/250</f>
        <v>4.0000000000000001E-3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f t="shared" ref="H197" si="42">N197*2+K197</f>
        <v>0.24299999999999999</v>
      </c>
      <c r="I197" s="13">
        <v>11.6</v>
      </c>
      <c r="J197" s="13">
        <v>0</v>
      </c>
      <c r="K197" s="13">
        <f>0.175</f>
        <v>0.17499999999999999</v>
      </c>
      <c r="L197" s="13">
        <v>0</v>
      </c>
      <c r="M197" s="13">
        <f>1/25</f>
        <v>0.04</v>
      </c>
      <c r="N197" s="13">
        <f t="shared" si="38"/>
        <v>3.4000000000000002E-2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2">
        <f t="shared" si="39"/>
        <v>423</v>
      </c>
      <c r="V197" s="2">
        <v>72</v>
      </c>
      <c r="W197" s="2">
        <v>0</v>
      </c>
      <c r="X197" s="2">
        <v>160</v>
      </c>
      <c r="Y197" s="2">
        <v>0</v>
      </c>
      <c r="Z197" s="2">
        <v>0</v>
      </c>
      <c r="AA197" s="2">
        <v>423</v>
      </c>
      <c r="AB197" s="6">
        <v>9.2999999999999999E-2</v>
      </c>
      <c r="AC197" s="6">
        <v>0.60399999999999998</v>
      </c>
      <c r="AD197" s="6">
        <f t="shared" si="40"/>
        <v>0.15397350993377484</v>
      </c>
      <c r="AE197" s="6" t="s">
        <v>14</v>
      </c>
      <c r="AF197" s="6" t="s">
        <v>14</v>
      </c>
      <c r="AG197" s="2">
        <v>71</v>
      </c>
      <c r="AH197" s="7" t="s">
        <v>124</v>
      </c>
    </row>
    <row r="198" spans="1:35" x14ac:dyDescent="0.3">
      <c r="A198" s="13">
        <v>0</v>
      </c>
      <c r="B198" s="13">
        <f t="shared" si="41"/>
        <v>4.0000000000000001E-3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f t="shared" ref="H198" si="43">N198*2+K198</f>
        <v>0.24299999999999999</v>
      </c>
      <c r="I198" s="13">
        <v>11.6</v>
      </c>
      <c r="J198" s="13">
        <v>0</v>
      </c>
      <c r="K198" s="13">
        <f>0.175</f>
        <v>0.17499999999999999</v>
      </c>
      <c r="L198" s="13">
        <v>0</v>
      </c>
      <c r="M198" s="13">
        <f>1/50</f>
        <v>0.02</v>
      </c>
      <c r="N198" s="13">
        <f t="shared" si="38"/>
        <v>3.4000000000000002E-2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2">
        <f t="shared" si="39"/>
        <v>423</v>
      </c>
      <c r="V198" s="2">
        <v>72</v>
      </c>
      <c r="W198" s="2">
        <v>0</v>
      </c>
      <c r="X198" s="2">
        <v>160</v>
      </c>
      <c r="Y198" s="2">
        <v>0</v>
      </c>
      <c r="Z198" s="2">
        <v>0</v>
      </c>
      <c r="AA198" s="2">
        <v>423</v>
      </c>
      <c r="AB198" s="6">
        <v>5.0000000000000001E-3</v>
      </c>
      <c r="AC198" s="6">
        <v>0.85099999999999998</v>
      </c>
      <c r="AD198" s="6">
        <f t="shared" si="40"/>
        <v>5.8754406580493537E-3</v>
      </c>
      <c r="AE198" s="6" t="s">
        <v>14</v>
      </c>
      <c r="AF198" s="6" t="s">
        <v>14</v>
      </c>
      <c r="AG198" s="2">
        <v>71</v>
      </c>
      <c r="AH198" s="7" t="s">
        <v>124</v>
      </c>
    </row>
    <row r="199" spans="1:35" x14ac:dyDescent="0.3">
      <c r="A199" s="13">
        <v>0</v>
      </c>
      <c r="B199" s="13">
        <f>1/60*2</f>
        <v>3.3333333333333333E-2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f>5/60*2+15/60*1</f>
        <v>0.41666666666666663</v>
      </c>
      <c r="I199" s="13">
        <f>500/60</f>
        <v>8.3333333333333339</v>
      </c>
      <c r="J199" s="13">
        <v>0</v>
      </c>
      <c r="K199" s="13">
        <f>15/60</f>
        <v>0.25</v>
      </c>
      <c r="L199" s="13">
        <v>0</v>
      </c>
      <c r="M199" s="13">
        <v>0</v>
      </c>
      <c r="N199" s="13">
        <f>5/60</f>
        <v>8.3333333333333329E-2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2">
        <f>273+170</f>
        <v>443</v>
      </c>
      <c r="V199" s="2">
        <v>24</v>
      </c>
      <c r="W199" s="2">
        <v>0</v>
      </c>
      <c r="X199" s="2">
        <v>232</v>
      </c>
      <c r="Y199" s="2">
        <v>0</v>
      </c>
      <c r="Z199" s="2">
        <v>0</v>
      </c>
      <c r="AA199" s="2">
        <v>473</v>
      </c>
      <c r="AB199" s="6">
        <v>0.18</v>
      </c>
      <c r="AC199" s="6">
        <v>0.08</v>
      </c>
      <c r="AD199" s="6">
        <f t="shared" si="40"/>
        <v>2.25</v>
      </c>
      <c r="AE199" s="6" t="s">
        <v>5</v>
      </c>
      <c r="AF199" s="6" t="s">
        <v>5</v>
      </c>
      <c r="AG199" s="2">
        <v>72</v>
      </c>
      <c r="AH199" s="6" t="s">
        <v>125</v>
      </c>
    </row>
    <row r="200" spans="1:35" x14ac:dyDescent="0.3">
      <c r="A200" s="13">
        <v>0</v>
      </c>
      <c r="B200" s="13">
        <v>0.01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f>0.12*2</f>
        <v>0.24</v>
      </c>
      <c r="I200" s="13">
        <v>60</v>
      </c>
      <c r="J200" s="13">
        <v>0</v>
      </c>
      <c r="K200" s="13">
        <v>0.05</v>
      </c>
      <c r="L200" s="13">
        <v>0</v>
      </c>
      <c r="M200" s="13">
        <v>0</v>
      </c>
      <c r="N200" s="13">
        <v>1.2E-2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2">
        <f>273+190</f>
        <v>463</v>
      </c>
      <c r="V200" s="2">
        <v>72</v>
      </c>
      <c r="W200" s="2">
        <v>0</v>
      </c>
      <c r="X200" s="2">
        <v>258</v>
      </c>
      <c r="Y200" s="2">
        <v>0</v>
      </c>
      <c r="Z200" s="2">
        <v>0</v>
      </c>
      <c r="AA200" s="2">
        <v>423</v>
      </c>
      <c r="AB200" s="6">
        <v>54.6</v>
      </c>
      <c r="AC200" s="6">
        <v>123</v>
      </c>
      <c r="AD200" s="6">
        <f t="shared" si="40"/>
        <v>0.44390243902439025</v>
      </c>
      <c r="AE200" s="6" t="s">
        <v>18</v>
      </c>
      <c r="AF200" s="6" t="s">
        <v>18</v>
      </c>
      <c r="AG200" s="2">
        <v>74</v>
      </c>
      <c r="AH200" s="6" t="s">
        <v>103</v>
      </c>
    </row>
    <row r="201" spans="1:35" x14ac:dyDescent="0.3">
      <c r="A201" s="13">
        <v>0</v>
      </c>
      <c r="B201" s="13">
        <v>0.01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f>0.24*2</f>
        <v>0.48</v>
      </c>
      <c r="I201" s="13">
        <v>60</v>
      </c>
      <c r="J201" s="13">
        <v>0</v>
      </c>
      <c r="K201" s="13">
        <v>0.2</v>
      </c>
      <c r="L201" s="13">
        <v>0</v>
      </c>
      <c r="M201" s="13">
        <v>0</v>
      </c>
      <c r="N201" s="13">
        <v>0.24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2">
        <f>273+190</f>
        <v>463</v>
      </c>
      <c r="V201" s="2">
        <v>72</v>
      </c>
      <c r="W201" s="2">
        <v>0</v>
      </c>
      <c r="X201" s="2">
        <v>258</v>
      </c>
      <c r="Y201" s="2">
        <v>0</v>
      </c>
      <c r="Z201" s="2">
        <v>0</v>
      </c>
      <c r="AA201" s="2">
        <v>423</v>
      </c>
      <c r="AB201" s="6">
        <v>49.9</v>
      </c>
      <c r="AC201" s="6">
        <v>153.69999999999999</v>
      </c>
      <c r="AD201" s="6">
        <f t="shared" si="40"/>
        <v>0.32465842550422902</v>
      </c>
      <c r="AE201" s="6" t="s">
        <v>20</v>
      </c>
      <c r="AF201" s="6" t="s">
        <v>11</v>
      </c>
      <c r="AG201" s="2">
        <v>74</v>
      </c>
      <c r="AH201" s="6" t="s">
        <v>103</v>
      </c>
    </row>
    <row r="202" spans="1:35" x14ac:dyDescent="0.3">
      <c r="A202" s="13">
        <v>0</v>
      </c>
      <c r="B202" s="13">
        <f>1/10</f>
        <v>0.1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f>(N202+P202)*2</f>
        <v>0.48</v>
      </c>
      <c r="I202" s="13">
        <v>10</v>
      </c>
      <c r="J202" s="13">
        <v>0</v>
      </c>
      <c r="K202" s="13">
        <f>0.5/10</f>
        <v>0.05</v>
      </c>
      <c r="L202" s="13">
        <v>0</v>
      </c>
      <c r="M202" s="13">
        <v>0</v>
      </c>
      <c r="N202" s="13">
        <f>1.8/10</f>
        <v>0.18</v>
      </c>
      <c r="O202" s="13">
        <v>0</v>
      </c>
      <c r="P202" s="13">
        <v>0.06</v>
      </c>
      <c r="Q202" s="13">
        <v>0</v>
      </c>
      <c r="R202" s="13">
        <v>0</v>
      </c>
      <c r="S202" s="13">
        <v>0</v>
      </c>
      <c r="T202" s="13">
        <v>0</v>
      </c>
      <c r="U202" s="2">
        <f>273+110</f>
        <v>383</v>
      </c>
      <c r="V202" s="2">
        <f>24*8</f>
        <v>192</v>
      </c>
      <c r="W202" s="2">
        <v>0</v>
      </c>
      <c r="X202" s="2">
        <v>292</v>
      </c>
      <c r="Y202" s="2">
        <v>0</v>
      </c>
      <c r="Z202" s="2">
        <v>0</v>
      </c>
      <c r="AA202" s="2">
        <f>273+150</f>
        <v>423</v>
      </c>
      <c r="AB202" s="6">
        <v>0.37</v>
      </c>
      <c r="AC202" s="6">
        <v>0.1</v>
      </c>
      <c r="AD202" s="6">
        <f t="shared" si="40"/>
        <v>3.6999999999999997</v>
      </c>
      <c r="AE202" s="6" t="s">
        <v>127</v>
      </c>
      <c r="AF202" s="6" t="s">
        <v>127</v>
      </c>
      <c r="AG202" s="2">
        <v>75</v>
      </c>
      <c r="AH202" s="6" t="s">
        <v>129</v>
      </c>
      <c r="AI202" s="6" t="s">
        <v>113</v>
      </c>
    </row>
    <row r="203" spans="1:35" ht="18" customHeight="1" x14ac:dyDescent="0.3">
      <c r="A203" s="13">
        <v>0</v>
      </c>
      <c r="B203" s="13">
        <f>2/15</f>
        <v>0.13333333333333333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f>(N203+O203)*2</f>
        <v>4.04</v>
      </c>
      <c r="I203" s="13">
        <v>26.7</v>
      </c>
      <c r="J203" s="13">
        <v>0</v>
      </c>
      <c r="K203" s="13">
        <f>1/15</f>
        <v>6.6666666666666666E-2</v>
      </c>
      <c r="L203" s="13">
        <v>0</v>
      </c>
      <c r="M203" s="13">
        <v>0</v>
      </c>
      <c r="N203" s="13">
        <f>3.54/2</f>
        <v>1.77</v>
      </c>
      <c r="O203" s="13">
        <f>0.5/2</f>
        <v>0.25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2">
        <f>273+120</f>
        <v>393</v>
      </c>
      <c r="V203" s="2">
        <f>24*14</f>
        <v>336</v>
      </c>
      <c r="W203" s="2">
        <v>0</v>
      </c>
      <c r="X203" s="2">
        <v>163</v>
      </c>
      <c r="Y203" s="2">
        <v>0</v>
      </c>
      <c r="Z203" s="2">
        <v>0</v>
      </c>
      <c r="AA203" s="2">
        <f>273+150</f>
        <v>423</v>
      </c>
      <c r="AB203" s="6">
        <v>0.46</v>
      </c>
      <c r="AC203" s="6">
        <v>0.11</v>
      </c>
      <c r="AD203" s="6">
        <f t="shared" si="40"/>
        <v>4.1818181818181817</v>
      </c>
      <c r="AE203" s="6" t="s">
        <v>128</v>
      </c>
      <c r="AF203" s="6" t="s">
        <v>128</v>
      </c>
      <c r="AG203" s="2">
        <v>75</v>
      </c>
      <c r="AH203" s="6" t="s">
        <v>129</v>
      </c>
    </row>
    <row r="204" spans="1:35" x14ac:dyDescent="0.3">
      <c r="A204" s="13">
        <v>0</v>
      </c>
      <c r="B204" s="13">
        <f>1/6.2</f>
        <v>0.16129032258064516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f>0.4+K204*2</f>
        <v>0.85000000000000009</v>
      </c>
      <c r="I204" s="13">
        <v>15</v>
      </c>
      <c r="J204" s="13">
        <v>0</v>
      </c>
      <c r="K204" s="13">
        <v>0.22500000000000001</v>
      </c>
      <c r="L204" s="13">
        <v>0</v>
      </c>
      <c r="M204" s="13">
        <v>0</v>
      </c>
      <c r="N204" s="13">
        <v>0.2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2">
        <f>273+150</f>
        <v>423</v>
      </c>
      <c r="V204" s="2">
        <v>120</v>
      </c>
      <c r="W204" s="2">
        <v>1</v>
      </c>
      <c r="X204" s="2">
        <v>317</v>
      </c>
      <c r="Y204" s="2">
        <v>0</v>
      </c>
      <c r="Z204" s="2">
        <v>50</v>
      </c>
      <c r="AA204" s="2">
        <f>273+150</f>
        <v>423</v>
      </c>
      <c r="AB204" s="6">
        <v>3148</v>
      </c>
      <c r="AC204" s="6">
        <v>123</v>
      </c>
      <c r="AD204" s="6">
        <f t="shared" si="40"/>
        <v>25.59349593495935</v>
      </c>
      <c r="AE204" s="6" t="s">
        <v>116</v>
      </c>
      <c r="AF204" s="6" t="s">
        <v>116</v>
      </c>
      <c r="AG204" s="2">
        <v>76</v>
      </c>
    </row>
    <row r="205" spans="1:35" x14ac:dyDescent="0.3">
      <c r="A205" s="13">
        <v>0</v>
      </c>
      <c r="B205" s="13">
        <f>1/6.2</f>
        <v>0.16129032258064516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f>0.4+K205*2</f>
        <v>0.85000000000000009</v>
      </c>
      <c r="I205" s="13">
        <v>15</v>
      </c>
      <c r="J205" s="13">
        <v>0</v>
      </c>
      <c r="K205" s="13">
        <v>0.22500000000000001</v>
      </c>
      <c r="L205" s="13">
        <v>0</v>
      </c>
      <c r="M205" s="13">
        <v>0</v>
      </c>
      <c r="N205" s="13">
        <v>0.2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2">
        <f>273+150</f>
        <v>423</v>
      </c>
      <c r="V205" s="2">
        <v>120</v>
      </c>
      <c r="W205" s="2">
        <v>1</v>
      </c>
      <c r="X205" s="2">
        <v>317</v>
      </c>
      <c r="Y205" s="2">
        <v>0</v>
      </c>
      <c r="Z205" s="2">
        <v>50</v>
      </c>
      <c r="AA205" s="2">
        <f>273+300</f>
        <v>573</v>
      </c>
      <c r="AB205" s="6">
        <v>2274</v>
      </c>
      <c r="AC205" s="6">
        <v>92</v>
      </c>
      <c r="AD205" s="6">
        <f t="shared" si="40"/>
        <v>24.717391304347824</v>
      </c>
      <c r="AE205" s="6" t="s">
        <v>116</v>
      </c>
      <c r="AF205" s="6" t="s">
        <v>116</v>
      </c>
      <c r="AG205" s="2">
        <v>76</v>
      </c>
    </row>
    <row r="206" spans="1:35" x14ac:dyDescent="0.3">
      <c r="A206" s="13">
        <v>0</v>
      </c>
      <c r="B206" s="13">
        <f>1/7.8</f>
        <v>0.12820512820512822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f>0.4+K206*2</f>
        <v>0.85000000000000009</v>
      </c>
      <c r="I206" s="13">
        <v>15</v>
      </c>
      <c r="J206" s="13">
        <v>0</v>
      </c>
      <c r="K206" s="13">
        <v>0.22500000000000001</v>
      </c>
      <c r="L206" s="13">
        <v>0</v>
      </c>
      <c r="M206" s="13">
        <v>0</v>
      </c>
      <c r="N206" s="13">
        <v>0.2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2">
        <f>273+150</f>
        <v>423</v>
      </c>
      <c r="V206" s="2">
        <v>120</v>
      </c>
      <c r="W206" s="2">
        <v>1</v>
      </c>
      <c r="X206" s="2">
        <v>317</v>
      </c>
      <c r="Y206" s="2">
        <v>0</v>
      </c>
      <c r="Z206" s="2">
        <v>50</v>
      </c>
      <c r="AA206" s="2">
        <f>273+150</f>
        <v>423</v>
      </c>
      <c r="AB206" s="6">
        <v>2488</v>
      </c>
      <c r="AC206" s="6">
        <v>191</v>
      </c>
      <c r="AD206" s="6">
        <f t="shared" si="40"/>
        <v>13.026178010471204</v>
      </c>
      <c r="AE206" s="6" t="s">
        <v>116</v>
      </c>
      <c r="AF206" s="6" t="s">
        <v>116</v>
      </c>
      <c r="AG206" s="2">
        <v>76</v>
      </c>
    </row>
    <row r="207" spans="1:35" x14ac:dyDescent="0.3">
      <c r="A207" s="13">
        <v>0</v>
      </c>
      <c r="B207" s="13">
        <f>1/7.8</f>
        <v>0.12820512820512822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f>0.4+K207*2</f>
        <v>0.85000000000000009</v>
      </c>
      <c r="I207" s="13">
        <v>15</v>
      </c>
      <c r="J207" s="13">
        <v>0</v>
      </c>
      <c r="K207" s="13">
        <v>0.22500000000000001</v>
      </c>
      <c r="L207" s="13">
        <v>0</v>
      </c>
      <c r="M207" s="13">
        <v>0</v>
      </c>
      <c r="N207" s="13">
        <v>0.2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2">
        <f>273+150</f>
        <v>423</v>
      </c>
      <c r="V207" s="2">
        <v>120</v>
      </c>
      <c r="W207" s="2">
        <v>1</v>
      </c>
      <c r="X207" s="2">
        <v>317</v>
      </c>
      <c r="Y207" s="2">
        <v>0</v>
      </c>
      <c r="Z207" s="2">
        <v>50</v>
      </c>
      <c r="AA207" s="2">
        <f>273+300</f>
        <v>573</v>
      </c>
      <c r="AB207" s="6">
        <v>1223</v>
      </c>
      <c r="AC207" s="6">
        <v>102</v>
      </c>
      <c r="AD207" s="6">
        <f t="shared" si="40"/>
        <v>11.990196078431373</v>
      </c>
      <c r="AE207" s="6" t="s">
        <v>116</v>
      </c>
      <c r="AF207" s="6" t="s">
        <v>116</v>
      </c>
      <c r="AG207" s="2">
        <v>76</v>
      </c>
    </row>
    <row r="208" spans="1:35" x14ac:dyDescent="0.3">
      <c r="A208" s="13">
        <v>0</v>
      </c>
      <c r="B208" s="13">
        <f>1/4.2</f>
        <v>0.23809523809523808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f t="shared" ref="H208" si="44">0.4+K208*2</f>
        <v>0.85000000000000009</v>
      </c>
      <c r="I208" s="13">
        <v>15</v>
      </c>
      <c r="J208" s="13">
        <v>0</v>
      </c>
      <c r="K208" s="13">
        <v>0.22500000000000001</v>
      </c>
      <c r="L208" s="13">
        <v>0</v>
      </c>
      <c r="M208" s="13">
        <v>0</v>
      </c>
      <c r="N208" s="13">
        <v>0.2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2">
        <f t="shared" ref="U208:U209" si="45">273+150</f>
        <v>423</v>
      </c>
      <c r="V208" s="2">
        <v>120</v>
      </c>
      <c r="W208" s="2">
        <v>0</v>
      </c>
      <c r="X208" s="2">
        <v>285</v>
      </c>
      <c r="Y208" s="2">
        <v>0</v>
      </c>
      <c r="Z208" s="2">
        <v>50</v>
      </c>
      <c r="AA208" s="2">
        <f>273+150</f>
        <v>423</v>
      </c>
      <c r="AB208" s="6">
        <v>3565</v>
      </c>
      <c r="AC208" s="6">
        <v>191</v>
      </c>
      <c r="AD208" s="6">
        <f t="shared" si="40"/>
        <v>18.664921465968586</v>
      </c>
      <c r="AE208" s="6" t="s">
        <v>116</v>
      </c>
      <c r="AF208" s="6" t="s">
        <v>116</v>
      </c>
      <c r="AG208" s="2">
        <v>76</v>
      </c>
    </row>
    <row r="209" spans="1:34" x14ac:dyDescent="0.3">
      <c r="A209" s="13">
        <v>0</v>
      </c>
      <c r="B209" s="13">
        <f>1/4.2</f>
        <v>0.23809523809523808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f t="shared" ref="H209" si="46">0.4+K209*2</f>
        <v>0.85000000000000009</v>
      </c>
      <c r="I209" s="13">
        <v>15</v>
      </c>
      <c r="J209" s="13">
        <v>0</v>
      </c>
      <c r="K209" s="13">
        <v>0.22500000000000001</v>
      </c>
      <c r="L209" s="13">
        <v>0</v>
      </c>
      <c r="M209" s="13">
        <v>0</v>
      </c>
      <c r="N209" s="13">
        <v>0.2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2">
        <f t="shared" si="45"/>
        <v>423</v>
      </c>
      <c r="V209" s="2">
        <v>120</v>
      </c>
      <c r="W209" s="2">
        <v>0</v>
      </c>
      <c r="X209" s="2">
        <v>285</v>
      </c>
      <c r="Y209" s="2">
        <v>0</v>
      </c>
      <c r="Z209" s="2">
        <v>50</v>
      </c>
      <c r="AA209" s="2">
        <v>573</v>
      </c>
      <c r="AB209" s="6">
        <v>2440</v>
      </c>
      <c r="AC209" s="6">
        <v>140</v>
      </c>
      <c r="AD209" s="6">
        <f t="shared" si="40"/>
        <v>17.428571428571427</v>
      </c>
      <c r="AE209" s="6" t="s">
        <v>116</v>
      </c>
      <c r="AF209" s="6" t="s">
        <v>116</v>
      </c>
      <c r="AG209" s="2">
        <v>76</v>
      </c>
    </row>
    <row r="210" spans="1:34" x14ac:dyDescent="0.3">
      <c r="A210" s="13">
        <v>0</v>
      </c>
      <c r="B210" s="13">
        <v>1.7000000000000001E-2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f>N210*2</f>
        <v>0.74</v>
      </c>
      <c r="I210" s="13">
        <v>40</v>
      </c>
      <c r="J210" s="13">
        <v>0</v>
      </c>
      <c r="K210" s="13">
        <v>0.45</v>
      </c>
      <c r="L210" s="13">
        <v>0.15</v>
      </c>
      <c r="M210" s="13">
        <v>0</v>
      </c>
      <c r="N210" s="13">
        <v>0.37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2">
        <v>433</v>
      </c>
      <c r="V210" s="2">
        <v>240</v>
      </c>
      <c r="W210" s="2">
        <v>0</v>
      </c>
      <c r="X210" s="2">
        <v>113</v>
      </c>
      <c r="Y210" s="2">
        <v>143</v>
      </c>
      <c r="Z210" s="2">
        <v>100</v>
      </c>
      <c r="AA210" s="2">
        <f>273+170</f>
        <v>443</v>
      </c>
      <c r="AB210" s="6">
        <v>850</v>
      </c>
      <c r="AC210" s="6">
        <v>50</v>
      </c>
      <c r="AD210" s="6">
        <f t="shared" si="40"/>
        <v>17</v>
      </c>
      <c r="AE210" s="6" t="s">
        <v>131</v>
      </c>
      <c r="AF210" s="6" t="s">
        <v>131</v>
      </c>
      <c r="AG210" s="2">
        <v>77</v>
      </c>
      <c r="AH210" s="6" t="s">
        <v>130</v>
      </c>
    </row>
    <row r="211" spans="1:34" x14ac:dyDescent="0.3">
      <c r="A211" s="13">
        <v>0</v>
      </c>
      <c r="B211" s="13">
        <f>0.044/0.64</f>
        <v>6.8749999999999992E-2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f>0.044/0.64</f>
        <v>6.8749999999999992E-2</v>
      </c>
      <c r="I211" s="13">
        <f>1.17/0.64</f>
        <v>1.8281249999999998</v>
      </c>
      <c r="J211" s="13">
        <v>0</v>
      </c>
      <c r="K211" s="13">
        <f>0.017/0.64</f>
        <v>2.6562500000000003E-2</v>
      </c>
      <c r="L211" s="13">
        <v>0</v>
      </c>
      <c r="M211" s="13">
        <v>0</v>
      </c>
      <c r="N211" s="13">
        <f>H211/2</f>
        <v>3.4374999999999996E-2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2">
        <f>273+110</f>
        <v>383</v>
      </c>
      <c r="V211" s="2">
        <v>24</v>
      </c>
      <c r="W211" s="2">
        <v>0</v>
      </c>
      <c r="X211" s="2">
        <v>292</v>
      </c>
      <c r="Y211" s="2">
        <v>0</v>
      </c>
      <c r="Z211" s="2">
        <v>0</v>
      </c>
      <c r="AA211" s="2">
        <f>273+150</f>
        <v>423</v>
      </c>
      <c r="AB211" s="6">
        <v>0.47</v>
      </c>
      <c r="AC211" s="6">
        <v>0.44</v>
      </c>
      <c r="AD211" s="6">
        <f t="shared" si="40"/>
        <v>1.0681818181818181</v>
      </c>
      <c r="AE211" s="6" t="s">
        <v>132</v>
      </c>
      <c r="AF211" s="6" t="s">
        <v>132</v>
      </c>
      <c r="AG211" s="2">
        <v>78</v>
      </c>
      <c r="AH211" s="6" t="s">
        <v>133</v>
      </c>
    </row>
    <row r="212" spans="1:34" x14ac:dyDescent="0.3">
      <c r="A212" s="13">
        <v>0</v>
      </c>
      <c r="B212" s="13">
        <f t="shared" ref="B212:B214" si="47">0.044/0.64</f>
        <v>6.8749999999999992E-2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f t="shared" ref="H212:H214" si="48">0.044/0.64</f>
        <v>6.8749999999999992E-2</v>
      </c>
      <c r="I212" s="13">
        <f t="shared" ref="I212:I214" si="49">1.17/0.64</f>
        <v>1.8281249999999998</v>
      </c>
      <c r="J212" s="13">
        <v>0</v>
      </c>
      <c r="K212" s="13">
        <f t="shared" ref="K212:K214" si="50">0.017/0.64</f>
        <v>2.6562500000000003E-2</v>
      </c>
      <c r="L212" s="13">
        <v>0</v>
      </c>
      <c r="M212" s="13">
        <v>0</v>
      </c>
      <c r="N212" s="13">
        <f t="shared" ref="N212:N214" si="51">H212/2</f>
        <v>3.4374999999999996E-2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2">
        <f t="shared" ref="U212:U214" si="52">273+110</f>
        <v>383</v>
      </c>
      <c r="V212" s="2">
        <v>24</v>
      </c>
      <c r="W212" s="2">
        <v>0</v>
      </c>
      <c r="X212" s="2">
        <v>292</v>
      </c>
      <c r="Y212" s="2">
        <v>0</v>
      </c>
      <c r="Z212" s="2">
        <v>0</v>
      </c>
      <c r="AA212" s="2">
        <f>273+250</f>
        <v>523</v>
      </c>
      <c r="AB212" s="6">
        <v>0.47</v>
      </c>
      <c r="AC212" s="6">
        <v>0.2</v>
      </c>
      <c r="AD212" s="6">
        <f t="shared" si="40"/>
        <v>2.3499999999999996</v>
      </c>
      <c r="AE212" s="6" t="s">
        <v>132</v>
      </c>
      <c r="AF212" s="6" t="s">
        <v>132</v>
      </c>
      <c r="AG212" s="2">
        <v>78</v>
      </c>
      <c r="AH212" s="6" t="s">
        <v>133</v>
      </c>
    </row>
    <row r="213" spans="1:34" x14ac:dyDescent="0.3">
      <c r="A213" s="13">
        <v>0</v>
      </c>
      <c r="B213" s="13">
        <f t="shared" si="47"/>
        <v>6.8749999999999992E-2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f t="shared" si="48"/>
        <v>6.8749999999999992E-2</v>
      </c>
      <c r="I213" s="13">
        <f t="shared" si="49"/>
        <v>1.8281249999999998</v>
      </c>
      <c r="J213" s="13">
        <v>0</v>
      </c>
      <c r="K213" s="13">
        <f t="shared" si="50"/>
        <v>2.6562500000000003E-2</v>
      </c>
      <c r="L213" s="13">
        <v>0</v>
      </c>
      <c r="M213" s="13">
        <v>0</v>
      </c>
      <c r="N213" s="13">
        <f t="shared" si="51"/>
        <v>3.4374999999999996E-2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2">
        <f t="shared" si="52"/>
        <v>383</v>
      </c>
      <c r="V213" s="2">
        <v>24</v>
      </c>
      <c r="W213" s="2">
        <v>0</v>
      </c>
      <c r="X213" s="2">
        <v>292</v>
      </c>
      <c r="Y213" s="2">
        <v>0</v>
      </c>
      <c r="Z213" s="2">
        <v>0</v>
      </c>
      <c r="AA213" s="2">
        <f>273+350</f>
        <v>623</v>
      </c>
      <c r="AB213" s="6">
        <v>0.4</v>
      </c>
      <c r="AC213" s="6">
        <v>0.11</v>
      </c>
      <c r="AD213" s="6">
        <f t="shared" si="40"/>
        <v>3.6363636363636367</v>
      </c>
      <c r="AE213" s="6" t="s">
        <v>132</v>
      </c>
      <c r="AF213" s="6" t="s">
        <v>132</v>
      </c>
      <c r="AG213" s="2">
        <v>78</v>
      </c>
      <c r="AH213" s="6" t="s">
        <v>133</v>
      </c>
    </row>
    <row r="214" spans="1:34" x14ac:dyDescent="0.3">
      <c r="A214" s="13">
        <v>0</v>
      </c>
      <c r="B214" s="13">
        <f t="shared" si="47"/>
        <v>6.8749999999999992E-2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f t="shared" si="48"/>
        <v>6.8749999999999992E-2</v>
      </c>
      <c r="I214" s="13">
        <f t="shared" si="49"/>
        <v>1.8281249999999998</v>
      </c>
      <c r="J214" s="13">
        <v>0</v>
      </c>
      <c r="K214" s="13">
        <f t="shared" si="50"/>
        <v>2.6562500000000003E-2</v>
      </c>
      <c r="L214" s="13">
        <v>0</v>
      </c>
      <c r="M214" s="13">
        <v>0</v>
      </c>
      <c r="N214" s="13">
        <f t="shared" si="51"/>
        <v>3.4374999999999996E-2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2">
        <f t="shared" si="52"/>
        <v>383</v>
      </c>
      <c r="V214" s="2">
        <v>24</v>
      </c>
      <c r="W214" s="2">
        <v>0</v>
      </c>
      <c r="X214" s="2">
        <v>292</v>
      </c>
      <c r="Y214" s="2">
        <v>0</v>
      </c>
      <c r="Z214" s="2">
        <v>0</v>
      </c>
      <c r="AA214" s="2">
        <f>273+450</f>
        <v>723</v>
      </c>
      <c r="AB214" s="6">
        <v>0.24</v>
      </c>
      <c r="AC214" s="6">
        <v>7.0000000000000007E-2</v>
      </c>
      <c r="AD214" s="6">
        <f t="shared" si="40"/>
        <v>3.4285714285714279</v>
      </c>
      <c r="AE214" s="6" t="s">
        <v>132</v>
      </c>
      <c r="AF214" s="6" t="s">
        <v>132</v>
      </c>
      <c r="AG214" s="2">
        <v>78</v>
      </c>
      <c r="AH214" s="6" t="s">
        <v>133</v>
      </c>
    </row>
    <row r="215" spans="1:34" x14ac:dyDescent="0.3">
      <c r="A215" s="13">
        <v>0</v>
      </c>
      <c r="B215" s="13">
        <f>1/280</f>
        <v>3.5714285714285713E-3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f>N215*2</f>
        <v>0.14878571428571427</v>
      </c>
      <c r="I215" s="13">
        <f>3501.6/280</f>
        <v>12.505714285714285</v>
      </c>
      <c r="J215" s="13">
        <v>0</v>
      </c>
      <c r="K215" s="13">
        <f>35.3/280</f>
        <v>0.12607142857142856</v>
      </c>
      <c r="L215" s="13">
        <v>0</v>
      </c>
      <c r="M215" s="13">
        <v>0</v>
      </c>
      <c r="N215" s="13">
        <f>20.83/280</f>
        <v>7.4392857142857136E-2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2">
        <f>273+155</f>
        <v>428</v>
      </c>
      <c r="V215" s="2">
        <v>120</v>
      </c>
      <c r="W215" s="2">
        <v>0</v>
      </c>
      <c r="X215" s="2">
        <v>147</v>
      </c>
      <c r="Y215" s="2">
        <v>0</v>
      </c>
      <c r="Z215" s="2">
        <v>0</v>
      </c>
      <c r="AA215" s="2">
        <f>273+150</f>
        <v>423</v>
      </c>
      <c r="AB215" s="6">
        <v>40</v>
      </c>
      <c r="AC215" s="6">
        <v>5</v>
      </c>
      <c r="AD215" s="6">
        <f t="shared" si="40"/>
        <v>8</v>
      </c>
      <c r="AE215" s="6" t="s">
        <v>66</v>
      </c>
      <c r="AF215" s="6" t="s">
        <v>10</v>
      </c>
      <c r="AG215" s="2">
        <v>79</v>
      </c>
      <c r="AH215" s="7" t="s">
        <v>135</v>
      </c>
    </row>
    <row r="216" spans="1:34" x14ac:dyDescent="0.3">
      <c r="A216" s="13">
        <v>0</v>
      </c>
      <c r="B216" s="13">
        <f>1/280</f>
        <v>3.5714285714285713E-3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f>N216*2</f>
        <v>0.14878571428571427</v>
      </c>
      <c r="I216" s="13">
        <f>3501.6/280</f>
        <v>12.505714285714285</v>
      </c>
      <c r="J216" s="13">
        <v>0</v>
      </c>
      <c r="K216" s="13">
        <f>35.3/280</f>
        <v>0.12607142857142856</v>
      </c>
      <c r="L216" s="13">
        <v>0</v>
      </c>
      <c r="M216" s="13">
        <v>0</v>
      </c>
      <c r="N216" s="13">
        <f>20.83/280</f>
        <v>7.4392857142857136E-2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f>1/280</f>
        <v>3.5714285714285713E-3</v>
      </c>
      <c r="U216" s="2">
        <f>273+155</f>
        <v>428</v>
      </c>
      <c r="V216" s="2">
        <v>120</v>
      </c>
      <c r="W216" s="2">
        <v>0</v>
      </c>
      <c r="X216" s="2">
        <v>147</v>
      </c>
      <c r="Y216" s="2">
        <v>0</v>
      </c>
      <c r="Z216" s="2">
        <v>0</v>
      </c>
      <c r="AA216" s="2">
        <f>273+150</f>
        <v>423</v>
      </c>
      <c r="AB216" s="6">
        <v>15</v>
      </c>
      <c r="AC216" s="6">
        <v>38</v>
      </c>
      <c r="AD216" s="6">
        <f t="shared" si="40"/>
        <v>0.39473684210526316</v>
      </c>
      <c r="AE216" s="6" t="s">
        <v>66</v>
      </c>
      <c r="AF216" s="6" t="s">
        <v>10</v>
      </c>
      <c r="AG216" s="2">
        <v>79</v>
      </c>
      <c r="AH216" s="7" t="s">
        <v>135</v>
      </c>
    </row>
    <row r="217" spans="1:34" x14ac:dyDescent="0.3">
      <c r="A217" s="13">
        <v>0</v>
      </c>
      <c r="B217" s="13">
        <f>1/280</f>
        <v>3.5714285714285713E-3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f>N217*2</f>
        <v>0.14878571428571427</v>
      </c>
      <c r="I217" s="13">
        <f>3501.6/280</f>
        <v>12.505714285714285</v>
      </c>
      <c r="J217" s="13">
        <v>0</v>
      </c>
      <c r="K217" s="13">
        <f>35.3/280</f>
        <v>0.12607142857142856</v>
      </c>
      <c r="L217" s="13">
        <v>0</v>
      </c>
      <c r="M217" s="13">
        <f>1/280</f>
        <v>3.5714285714285713E-3</v>
      </c>
      <c r="N217" s="13">
        <f>20.83/280</f>
        <v>7.4392857142857136E-2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2">
        <f>273+155</f>
        <v>428</v>
      </c>
      <c r="V217" s="2">
        <v>120</v>
      </c>
      <c r="W217" s="2">
        <v>0</v>
      </c>
      <c r="X217" s="2">
        <v>147</v>
      </c>
      <c r="Y217" s="2">
        <v>0</v>
      </c>
      <c r="Z217" s="2">
        <v>0</v>
      </c>
      <c r="AA217" s="2">
        <f>273+150</f>
        <v>423</v>
      </c>
      <c r="AB217" s="6">
        <v>29</v>
      </c>
      <c r="AC217" s="6">
        <v>6</v>
      </c>
      <c r="AD217" s="6">
        <f t="shared" ref="AD217" si="53">AB217/AC217</f>
        <v>4.833333333333333</v>
      </c>
      <c r="AE217" s="6" t="s">
        <v>66</v>
      </c>
      <c r="AF217" s="6" t="s">
        <v>10</v>
      </c>
      <c r="AG217" s="2">
        <v>80</v>
      </c>
      <c r="AH217" s="7" t="s">
        <v>136</v>
      </c>
    </row>
  </sheetData>
  <phoneticPr fontId="4" type="noConversion"/>
  <hyperlinks>
    <hyperlink ref="AH11" r:id="rId1" xr:uid="{417931E8-714A-4280-AE93-FF30615169F7}"/>
    <hyperlink ref="AH13" r:id="rId2" xr:uid="{76BA2980-8A40-4F43-8CA0-894804F7D64B}"/>
    <hyperlink ref="AH14" r:id="rId3" xr:uid="{1F6715C5-08A0-4B9F-84FD-524070EC69D2}"/>
    <hyperlink ref="AH15" r:id="rId4" xr:uid="{D17FD26F-3ADB-40EE-BC86-B210322BDB9F}"/>
    <hyperlink ref="AH16" r:id="rId5" xr:uid="{B9556104-5BF1-4BDD-BCAD-4D4FC0CE61E1}"/>
    <hyperlink ref="AH21" r:id="rId6" xr:uid="{7F91B8EF-800E-4DF8-9829-7814C55CE25A}"/>
    <hyperlink ref="AH22" r:id="rId7" xr:uid="{16905C17-ABDB-415E-86FB-25E4BB1FA6AA}"/>
    <hyperlink ref="AH23" r:id="rId8" xr:uid="{9615FB38-D95F-4507-9E8D-7E1CFDD78153}"/>
    <hyperlink ref="AH24" r:id="rId9" xr:uid="{A8172EAB-8D18-46CE-941E-DC15DA734637}"/>
    <hyperlink ref="AH25" r:id="rId10" xr:uid="{0239D476-FD48-4817-AA22-BF34D0854DC4}"/>
    <hyperlink ref="AH43" r:id="rId11" xr:uid="{6F337FE7-AC95-4314-8293-73386BC48281}"/>
    <hyperlink ref="AH48" r:id="rId12" xr:uid="{2FB4D22E-FEF2-417B-8811-815B92C340CF}"/>
    <hyperlink ref="AH49" r:id="rId13" xr:uid="{3013565F-055A-426A-B576-24333630E535}"/>
    <hyperlink ref="AH50" r:id="rId14" xr:uid="{B515D1CE-CB79-4761-99D8-CF344D7AC886}"/>
    <hyperlink ref="AH52" r:id="rId15" xr:uid="{2B7FE527-9DBA-465C-BF81-0387D9B7E269}"/>
    <hyperlink ref="AH54" r:id="rId16" xr:uid="{4632275D-E54A-46DA-8A9F-5BA47380F6F3}"/>
    <hyperlink ref="AH56" r:id="rId17" xr:uid="{7B9BAD16-1F4E-45E4-821C-F005C1F89E22}"/>
    <hyperlink ref="AH51" r:id="rId18" xr:uid="{5B884890-D1E1-4FB2-A4FF-9A72A3F1649B}"/>
    <hyperlink ref="AH53" r:id="rId19" xr:uid="{3DD8FE19-2BEB-45AA-9739-D396926AC2B7}"/>
    <hyperlink ref="AH55" r:id="rId20" xr:uid="{B21DA9C2-BF98-4448-BA55-CFC9E99C308E}"/>
    <hyperlink ref="AH57" r:id="rId21" xr:uid="{CDEAC669-FA85-4560-9D35-224AF3FCF389}"/>
    <hyperlink ref="AH59" r:id="rId22" xr:uid="{640C8F61-50F5-4225-BE1D-868DC4E3A692}"/>
    <hyperlink ref="AH61" r:id="rId23" xr:uid="{84AC4E2E-1233-4F45-9C0F-72E3FAE0709B}"/>
    <hyperlink ref="AH62" r:id="rId24" xr:uid="{F4D786C8-9818-45F8-A003-C9F45B03EB5C}"/>
    <hyperlink ref="AH63" r:id="rId25" xr:uid="{EEFD3B3C-D0AF-48D4-917A-82A9DCBCF59C}"/>
    <hyperlink ref="AH64" r:id="rId26" xr:uid="{F26E9602-F0E1-4041-84A8-58E6F013A8CA}"/>
    <hyperlink ref="AH65" r:id="rId27" xr:uid="{1C42B524-4978-4B87-85E0-0F915BE82DDE}"/>
    <hyperlink ref="AH66" r:id="rId28" xr:uid="{6F9D2464-D63F-49C3-828F-623E5F4D48A1}"/>
    <hyperlink ref="AH67" r:id="rId29" xr:uid="{F49F5D47-8F94-4A2E-9D8A-BECE60A54EF4}"/>
    <hyperlink ref="AH69" r:id="rId30" xr:uid="{E4936F52-5F7B-49AF-872E-1CE5AD68162C}"/>
    <hyperlink ref="AH68" r:id="rId31" xr:uid="{18BD212C-667A-4352-A7BA-45E0AE1E9720}"/>
    <hyperlink ref="AH70" r:id="rId32" xr:uid="{56D882D5-CDF1-463D-BF0B-10900F1E8DBF}"/>
    <hyperlink ref="AH73" r:id="rId33" xr:uid="{7BA703D0-E38A-443B-AB3A-BC5BC6C06643}"/>
    <hyperlink ref="AH98" r:id="rId34" xr:uid="{03A730C3-C748-4469-9F7D-F59A2EF57559}"/>
    <hyperlink ref="AH144" r:id="rId35" xr:uid="{8A8D149C-7902-434C-A2AF-42E9FDFFE628}"/>
    <hyperlink ref="AH170" r:id="rId36" xr:uid="{E4699930-3CCF-4435-9F8D-54550F03765B}"/>
    <hyperlink ref="AH182" r:id="rId37" xr:uid="{DA39CDFE-555A-4C9B-B0D8-5062AC4734AB}"/>
    <hyperlink ref="AH185" r:id="rId38" xr:uid="{416CD484-E0E4-4009-8477-58C24367153D}"/>
    <hyperlink ref="AH195" r:id="rId39" xr:uid="{87B375A6-FA5B-44F1-80AB-D51B2067F4E1}"/>
    <hyperlink ref="AH196" r:id="rId40" xr:uid="{DAB12905-15B2-4F5F-9CE7-97DB238C4C24}"/>
    <hyperlink ref="AH197" r:id="rId41" xr:uid="{05B05A67-E9BB-4AA1-BB89-DA5FB3D84FDA}"/>
    <hyperlink ref="AH198" r:id="rId42" xr:uid="{D6C2266F-4CB2-4485-8D4F-E307219F8E1D}"/>
    <hyperlink ref="AH215" r:id="rId43" xr:uid="{2CBB5B11-5CE6-4840-8496-029595CE59EC}"/>
    <hyperlink ref="AH216" r:id="rId44" xr:uid="{BC198E56-AF74-4827-BF23-4857D23E6EFC}"/>
    <hyperlink ref="AH217" r:id="rId45" xr:uid="{24A0DE58-0653-4DDB-B5DB-6F89E343EBB8}"/>
  </hyperlinks>
  <pageMargins left="0.7" right="0.7" top="0.75" bottom="0.75" header="0.3" footer="0.3"/>
  <pageSetup paperSize="9" orientation="portrait" r:id="rId4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13B8-39BD-4F31-9427-402F8AFFC2D8}">
  <dimension ref="A1:B21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30</v>
      </c>
    </row>
    <row r="2" spans="1:2" x14ac:dyDescent="0.3">
      <c r="A2">
        <v>0.86</v>
      </c>
      <c r="B2">
        <v>0</v>
      </c>
    </row>
    <row r="3" spans="1:2" x14ac:dyDescent="0.3">
      <c r="A3">
        <v>0.89</v>
      </c>
      <c r="B3">
        <v>0</v>
      </c>
    </row>
    <row r="4" spans="1:2" x14ac:dyDescent="0.3">
      <c r="A4">
        <v>0.33</v>
      </c>
      <c r="B4">
        <v>0</v>
      </c>
    </row>
    <row r="5" spans="1:2" x14ac:dyDescent="0.3">
      <c r="A5">
        <v>0.17</v>
      </c>
      <c r="B5">
        <v>0</v>
      </c>
    </row>
    <row r="6" spans="1:2" x14ac:dyDescent="0.3">
      <c r="A6">
        <v>2.06</v>
      </c>
      <c r="B6">
        <v>1</v>
      </c>
    </row>
    <row r="7" spans="1:2" x14ac:dyDescent="0.3">
      <c r="A7">
        <v>2.4</v>
      </c>
      <c r="B7">
        <v>1</v>
      </c>
    </row>
    <row r="8" spans="1:2" x14ac:dyDescent="0.3">
      <c r="A8">
        <v>0.36</v>
      </c>
      <c r="B8">
        <v>0</v>
      </c>
    </row>
    <row r="9" spans="1:2" x14ac:dyDescent="0.3">
      <c r="A9">
        <v>1.6956521739130435</v>
      </c>
      <c r="B9">
        <v>1</v>
      </c>
    </row>
    <row r="10" spans="1:2" x14ac:dyDescent="0.3">
      <c r="A10">
        <v>1.6</v>
      </c>
      <c r="B10">
        <v>1</v>
      </c>
    </row>
    <row r="11" spans="1:2" x14ac:dyDescent="0.3">
      <c r="A11">
        <v>1.0714285714285714</v>
      </c>
      <c r="B11">
        <v>1</v>
      </c>
    </row>
    <row r="12" spans="1:2" x14ac:dyDescent="0.3">
      <c r="A12">
        <v>2</v>
      </c>
      <c r="B12">
        <v>1</v>
      </c>
    </row>
    <row r="13" spans="1:2" x14ac:dyDescent="0.3">
      <c r="A13">
        <v>4.666666666666667</v>
      </c>
      <c r="B13">
        <v>1</v>
      </c>
    </row>
    <row r="14" spans="1:2" x14ac:dyDescent="0.3">
      <c r="A14">
        <v>2.1</v>
      </c>
      <c r="B14">
        <v>1</v>
      </c>
    </row>
    <row r="15" spans="1:2" x14ac:dyDescent="0.3">
      <c r="A15">
        <v>2.4285714285714284</v>
      </c>
      <c r="B15">
        <v>1</v>
      </c>
    </row>
    <row r="16" spans="1:2" x14ac:dyDescent="0.3">
      <c r="A16">
        <v>4.9333333333333336</v>
      </c>
      <c r="B16">
        <v>1</v>
      </c>
    </row>
    <row r="17" spans="1:2" x14ac:dyDescent="0.3">
      <c r="A17">
        <v>2.1354166666666665</v>
      </c>
      <c r="B17">
        <v>1</v>
      </c>
    </row>
    <row r="18" spans="1:2" x14ac:dyDescent="0.3">
      <c r="A18">
        <v>2.0490797546012272</v>
      </c>
      <c r="B18">
        <v>1</v>
      </c>
    </row>
    <row r="19" spans="1:2" x14ac:dyDescent="0.3">
      <c r="A19">
        <v>2.0682926829268293</v>
      </c>
      <c r="B19">
        <v>1</v>
      </c>
    </row>
    <row r="20" spans="1:2" x14ac:dyDescent="0.3">
      <c r="A20">
        <v>2.9230769230769229</v>
      </c>
      <c r="B20">
        <v>1</v>
      </c>
    </row>
    <row r="21" spans="1:2" x14ac:dyDescent="0.3">
      <c r="A21">
        <v>4.4400000000000004</v>
      </c>
      <c r="B21">
        <v>1</v>
      </c>
    </row>
    <row r="22" spans="1:2" x14ac:dyDescent="0.3">
      <c r="A22">
        <v>7.333333333333333</v>
      </c>
      <c r="B22">
        <v>1</v>
      </c>
    </row>
    <row r="23" spans="1:2" x14ac:dyDescent="0.3">
      <c r="A23">
        <v>10.888888888888889</v>
      </c>
      <c r="B23">
        <v>1</v>
      </c>
    </row>
    <row r="24" spans="1:2" x14ac:dyDescent="0.3">
      <c r="A24">
        <v>6.7846153846153845</v>
      </c>
      <c r="B24">
        <v>1</v>
      </c>
    </row>
    <row r="25" spans="1:2" x14ac:dyDescent="0.3">
      <c r="A25">
        <v>0.6</v>
      </c>
      <c r="B25">
        <v>0</v>
      </c>
    </row>
    <row r="26" spans="1:2" x14ac:dyDescent="0.3">
      <c r="A26">
        <v>0.66666666666666674</v>
      </c>
      <c r="B26">
        <v>0</v>
      </c>
    </row>
    <row r="27" spans="1:2" x14ac:dyDescent="0.3">
      <c r="A27">
        <v>0.33333333333333337</v>
      </c>
      <c r="B27">
        <v>0</v>
      </c>
    </row>
    <row r="28" spans="1:2" x14ac:dyDescent="0.3">
      <c r="A28">
        <v>0.15384615384615385</v>
      </c>
      <c r="B28">
        <v>0</v>
      </c>
    </row>
    <row r="29" spans="1:2" x14ac:dyDescent="0.3">
      <c r="A29">
        <v>0.125</v>
      </c>
      <c r="B29">
        <v>0</v>
      </c>
    </row>
    <row r="30" spans="1:2" x14ac:dyDescent="0.3">
      <c r="A30">
        <v>0.14285714285714285</v>
      </c>
      <c r="B30">
        <v>0</v>
      </c>
    </row>
    <row r="31" spans="1:2" x14ac:dyDescent="0.3">
      <c r="A31">
        <v>5.8823529411764705E-2</v>
      </c>
      <c r="B31">
        <v>0</v>
      </c>
    </row>
    <row r="32" spans="1:2" x14ac:dyDescent="0.3">
      <c r="A32">
        <v>0.11111111111111112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0.11111111111111112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4.2857142857142851E-2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2.1725663716814161</v>
      </c>
      <c r="B40">
        <v>1</v>
      </c>
    </row>
    <row r="41" spans="1:2" x14ac:dyDescent="0.3">
      <c r="A41">
        <v>1.2526690391459074</v>
      </c>
      <c r="B41">
        <v>1</v>
      </c>
    </row>
    <row r="42" spans="1:2" x14ac:dyDescent="0.3">
      <c r="A42">
        <v>1.2509881422924902</v>
      </c>
      <c r="B42">
        <v>1</v>
      </c>
    </row>
    <row r="43" spans="1:2" x14ac:dyDescent="0.3">
      <c r="A43">
        <v>6.0769230769230766</v>
      </c>
      <c r="B43">
        <v>1</v>
      </c>
    </row>
    <row r="44" spans="1:2" x14ac:dyDescent="0.3">
      <c r="A44">
        <v>12.411764705882353</v>
      </c>
      <c r="B44">
        <v>1</v>
      </c>
    </row>
    <row r="45" spans="1:2" x14ac:dyDescent="0.3">
      <c r="A45">
        <v>13.076923076923077</v>
      </c>
      <c r="B45">
        <v>1</v>
      </c>
    </row>
    <row r="46" spans="1:2" x14ac:dyDescent="0.3">
      <c r="A46">
        <v>13.909090909090908</v>
      </c>
      <c r="B46">
        <v>1</v>
      </c>
    </row>
    <row r="47" spans="1:2" x14ac:dyDescent="0.3">
      <c r="A47">
        <v>0.65384615384615385</v>
      </c>
      <c r="B47">
        <v>0</v>
      </c>
    </row>
    <row r="48" spans="1:2" x14ac:dyDescent="0.3">
      <c r="A48">
        <v>1.6666666666666667</v>
      </c>
      <c r="B48">
        <v>1</v>
      </c>
    </row>
    <row r="49" spans="1:2" x14ac:dyDescent="0.3">
      <c r="A49">
        <v>1.2553191489361701</v>
      </c>
      <c r="B49">
        <v>1</v>
      </c>
    </row>
    <row r="50" spans="1:2" x14ac:dyDescent="0.3">
      <c r="A50">
        <v>0</v>
      </c>
      <c r="B50">
        <v>0</v>
      </c>
    </row>
    <row r="51" spans="1:2" x14ac:dyDescent="0.3">
      <c r="A51">
        <v>1.1071428571428572</v>
      </c>
      <c r="B51">
        <v>1</v>
      </c>
    </row>
    <row r="52" spans="1:2" x14ac:dyDescent="0.3">
      <c r="A52">
        <v>2.0169491525423728</v>
      </c>
      <c r="B52">
        <v>1</v>
      </c>
    </row>
    <row r="53" spans="1:2" x14ac:dyDescent="0.3">
      <c r="A53">
        <v>4.4375</v>
      </c>
      <c r="B53">
        <v>1</v>
      </c>
    </row>
    <row r="54" spans="1:2" x14ac:dyDescent="0.3">
      <c r="A54">
        <v>2.2592592592592591</v>
      </c>
      <c r="B54">
        <v>1</v>
      </c>
    </row>
    <row r="55" spans="1:2" x14ac:dyDescent="0.3">
      <c r="A55">
        <v>1.0909090909090908</v>
      </c>
      <c r="B55">
        <v>1</v>
      </c>
    </row>
    <row r="56" spans="1:2" x14ac:dyDescent="0.3">
      <c r="A56">
        <v>7.35</v>
      </c>
      <c r="B56">
        <v>1</v>
      </c>
    </row>
    <row r="57" spans="1:2" x14ac:dyDescent="0.3">
      <c r="A57">
        <v>14</v>
      </c>
      <c r="B57">
        <v>1</v>
      </c>
    </row>
    <row r="58" spans="1:2" x14ac:dyDescent="0.3">
      <c r="A58">
        <v>26.25</v>
      </c>
      <c r="B58">
        <v>1</v>
      </c>
    </row>
    <row r="59" spans="1:2" x14ac:dyDescent="0.3">
      <c r="A59">
        <v>6.3636363636363633</v>
      </c>
      <c r="B59">
        <v>1</v>
      </c>
    </row>
    <row r="60" spans="1:2" x14ac:dyDescent="0.3">
      <c r="A60">
        <v>15.189873417721518</v>
      </c>
      <c r="B60">
        <v>1</v>
      </c>
    </row>
    <row r="61" spans="1:2" x14ac:dyDescent="0.3">
      <c r="A61">
        <v>7.5675675675675675</v>
      </c>
      <c r="B61">
        <v>1</v>
      </c>
    </row>
    <row r="62" spans="1:2" x14ac:dyDescent="0.3">
      <c r="A62">
        <v>4.416666666666667</v>
      </c>
      <c r="B62">
        <v>1</v>
      </c>
    </row>
    <row r="63" spans="1:2" x14ac:dyDescent="0.3">
      <c r="A63">
        <v>0.88888888888888884</v>
      </c>
      <c r="B63">
        <v>0</v>
      </c>
    </row>
    <row r="64" spans="1:2" x14ac:dyDescent="0.3">
      <c r="A64">
        <v>5.4</v>
      </c>
      <c r="B64">
        <v>1</v>
      </c>
    </row>
    <row r="65" spans="1:2" x14ac:dyDescent="0.3">
      <c r="A65">
        <v>3.4999999999999996</v>
      </c>
      <c r="B65">
        <v>1</v>
      </c>
    </row>
    <row r="66" spans="1:2" x14ac:dyDescent="0.3">
      <c r="A66">
        <v>3.4</v>
      </c>
      <c r="B66">
        <v>1</v>
      </c>
    </row>
    <row r="67" spans="1:2" x14ac:dyDescent="0.3">
      <c r="A67">
        <v>3.0769230769230767E-2</v>
      </c>
      <c r="B67">
        <v>0</v>
      </c>
    </row>
    <row r="68" spans="1:2" x14ac:dyDescent="0.3">
      <c r="A68">
        <v>0.21249999999999999</v>
      </c>
      <c r="B68">
        <v>0</v>
      </c>
    </row>
    <row r="69" spans="1:2" x14ac:dyDescent="0.3">
      <c r="A69">
        <v>1.7</v>
      </c>
      <c r="B69">
        <v>1</v>
      </c>
    </row>
    <row r="70" spans="1:2" x14ac:dyDescent="0.3">
      <c r="A70">
        <v>6.5</v>
      </c>
      <c r="B70">
        <v>1</v>
      </c>
    </row>
    <row r="71" spans="1:2" x14ac:dyDescent="0.3">
      <c r="A71">
        <v>1.7</v>
      </c>
      <c r="B71">
        <v>1</v>
      </c>
    </row>
    <row r="72" spans="1:2" x14ac:dyDescent="0.3">
      <c r="A72">
        <v>44.4</v>
      </c>
      <c r="B72">
        <v>1</v>
      </c>
    </row>
    <row r="73" spans="1:2" x14ac:dyDescent="0.3">
      <c r="A73">
        <v>4.5432098765432096</v>
      </c>
      <c r="B73">
        <v>1</v>
      </c>
    </row>
    <row r="74" spans="1:2" x14ac:dyDescent="0.3">
      <c r="A74">
        <v>3.8245614035087718</v>
      </c>
      <c r="B74">
        <v>1</v>
      </c>
    </row>
    <row r="75" spans="1:2" x14ac:dyDescent="0.3">
      <c r="A75">
        <v>5.270833333333333</v>
      </c>
      <c r="B75">
        <v>1</v>
      </c>
    </row>
    <row r="76" spans="1:2" x14ac:dyDescent="0.3">
      <c r="A76">
        <v>4.927835051546392</v>
      </c>
      <c r="B76">
        <v>1</v>
      </c>
    </row>
    <row r="77" spans="1:2" x14ac:dyDescent="0.3">
      <c r="A77">
        <v>0</v>
      </c>
      <c r="B77">
        <v>0</v>
      </c>
    </row>
    <row r="78" spans="1:2" x14ac:dyDescent="0.3">
      <c r="A78">
        <v>0.42372881355932202</v>
      </c>
      <c r="B78">
        <v>0</v>
      </c>
    </row>
    <row r="79" spans="1:2" x14ac:dyDescent="0.3">
      <c r="A79">
        <v>4.6363636363636367</v>
      </c>
      <c r="B79">
        <v>1</v>
      </c>
    </row>
    <row r="80" spans="1:2" x14ac:dyDescent="0.3">
      <c r="A80">
        <v>0.97674418604651159</v>
      </c>
      <c r="B80">
        <v>0</v>
      </c>
    </row>
    <row r="81" spans="1:2" x14ac:dyDescent="0.3">
      <c r="A81">
        <v>0.65555555555555556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3.3333333333333335</v>
      </c>
      <c r="B83">
        <v>1</v>
      </c>
    </row>
    <row r="84" spans="1:2" x14ac:dyDescent="0.3">
      <c r="A84">
        <v>4.166666666666667</v>
      </c>
      <c r="B84">
        <v>1</v>
      </c>
    </row>
    <row r="85" spans="1:2" x14ac:dyDescent="0.3">
      <c r="A85">
        <v>0.50370370370370365</v>
      </c>
      <c r="B85">
        <v>0</v>
      </c>
    </row>
    <row r="86" spans="1:2" x14ac:dyDescent="0.3">
      <c r="A86">
        <v>1.1212121212121211</v>
      </c>
      <c r="B86">
        <v>1</v>
      </c>
    </row>
    <row r="87" spans="1:2" x14ac:dyDescent="0.3">
      <c r="A87">
        <v>1.203125</v>
      </c>
      <c r="B87">
        <v>1</v>
      </c>
    </row>
    <row r="88" spans="1:2" x14ac:dyDescent="0.3">
      <c r="A88">
        <v>0.81481481481481477</v>
      </c>
      <c r="B88">
        <v>0</v>
      </c>
    </row>
    <row r="89" spans="1:2" x14ac:dyDescent="0.3">
      <c r="A89">
        <v>0.9285714285714286</v>
      </c>
      <c r="B89">
        <v>0</v>
      </c>
    </row>
    <row r="90" spans="1:2" x14ac:dyDescent="0.3">
      <c r="A90">
        <v>4.0697674418604652</v>
      </c>
      <c r="B90">
        <v>1</v>
      </c>
    </row>
    <row r="91" spans="1:2" x14ac:dyDescent="0.3">
      <c r="A91">
        <v>3.1818181818181817</v>
      </c>
      <c r="B91">
        <v>1</v>
      </c>
    </row>
    <row r="92" spans="1:2" x14ac:dyDescent="0.3">
      <c r="A92">
        <v>0.5</v>
      </c>
      <c r="B92">
        <v>0</v>
      </c>
    </row>
    <row r="93" spans="1:2" x14ac:dyDescent="0.3">
      <c r="A93">
        <v>0.70370370370370372</v>
      </c>
      <c r="B93">
        <v>0</v>
      </c>
    </row>
    <row r="94" spans="1:2" x14ac:dyDescent="0.3">
      <c r="A94">
        <v>0.75</v>
      </c>
      <c r="B94">
        <v>0</v>
      </c>
    </row>
    <row r="95" spans="1:2" x14ac:dyDescent="0.3">
      <c r="A95">
        <v>1.1153846153846154</v>
      </c>
      <c r="B95">
        <v>1</v>
      </c>
    </row>
    <row r="96" spans="1:2" x14ac:dyDescent="0.3">
      <c r="A96">
        <v>1.3043478260869565</v>
      </c>
      <c r="B96">
        <v>1</v>
      </c>
    </row>
    <row r="97" spans="1:2" x14ac:dyDescent="0.3">
      <c r="A97">
        <v>1.5862068965517242</v>
      </c>
      <c r="B97">
        <v>1</v>
      </c>
    </row>
    <row r="98" spans="1:2" x14ac:dyDescent="0.3">
      <c r="A98">
        <v>0.25806451612903225</v>
      </c>
      <c r="B98">
        <v>0</v>
      </c>
    </row>
    <row r="99" spans="1:2" x14ac:dyDescent="0.3">
      <c r="A99">
        <v>3.96</v>
      </c>
      <c r="B99">
        <v>1</v>
      </c>
    </row>
    <row r="100" spans="1:2" x14ac:dyDescent="0.3">
      <c r="A100">
        <v>1.7252747252747254</v>
      </c>
      <c r="B100">
        <v>1</v>
      </c>
    </row>
    <row r="101" spans="1:2" x14ac:dyDescent="0.3">
      <c r="A101">
        <v>1.2540983606557377</v>
      </c>
      <c r="B101">
        <v>1</v>
      </c>
    </row>
    <row r="102" spans="1:2" x14ac:dyDescent="0.3">
      <c r="A102">
        <v>1.15625</v>
      </c>
      <c r="B102">
        <v>1</v>
      </c>
    </row>
    <row r="103" spans="1:2" x14ac:dyDescent="0.3">
      <c r="A103">
        <v>1.1021897810218979</v>
      </c>
      <c r="B103">
        <v>1</v>
      </c>
    </row>
    <row r="104" spans="1:2" x14ac:dyDescent="0.3">
      <c r="A104">
        <v>0.56999999999999995</v>
      </c>
      <c r="B104">
        <v>0</v>
      </c>
    </row>
    <row r="105" spans="1:2" x14ac:dyDescent="0.3">
      <c r="A105">
        <v>1.32</v>
      </c>
      <c r="B105">
        <v>1</v>
      </c>
    </row>
    <row r="106" spans="1:2" x14ac:dyDescent="0.3">
      <c r="A106">
        <v>1.28</v>
      </c>
      <c r="B106">
        <v>1</v>
      </c>
    </row>
    <row r="107" spans="1:2" x14ac:dyDescent="0.3">
      <c r="A107">
        <v>1.38</v>
      </c>
      <c r="B107">
        <v>1</v>
      </c>
    </row>
    <row r="108" spans="1:2" x14ac:dyDescent="0.3">
      <c r="A108">
        <v>0.54</v>
      </c>
      <c r="B108">
        <v>0</v>
      </c>
    </row>
    <row r="109" spans="1:2" x14ac:dyDescent="0.3">
      <c r="A109">
        <v>0.45</v>
      </c>
      <c r="B109">
        <v>0</v>
      </c>
    </row>
    <row r="110" spans="1:2" x14ac:dyDescent="0.3">
      <c r="A110">
        <v>0.4</v>
      </c>
      <c r="B110">
        <v>0</v>
      </c>
    </row>
    <row r="111" spans="1:2" x14ac:dyDescent="0.3">
      <c r="A111">
        <v>0.35</v>
      </c>
      <c r="B111">
        <v>0</v>
      </c>
    </row>
    <row r="112" spans="1:2" x14ac:dyDescent="0.3">
      <c r="A112">
        <v>0.5</v>
      </c>
      <c r="B112">
        <v>0</v>
      </c>
    </row>
    <row r="113" spans="1:2" x14ac:dyDescent="0.3">
      <c r="A113">
        <v>0.22</v>
      </c>
      <c r="B113">
        <v>0</v>
      </c>
    </row>
    <row r="114" spans="1:2" x14ac:dyDescent="0.3">
      <c r="A114">
        <v>0.17</v>
      </c>
      <c r="B114">
        <v>0</v>
      </c>
    </row>
    <row r="115" spans="1:2" x14ac:dyDescent="0.3">
      <c r="A115">
        <v>0.15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0.96078431372549011</v>
      </c>
      <c r="B117">
        <v>0</v>
      </c>
    </row>
    <row r="118" spans="1:2" x14ac:dyDescent="0.3">
      <c r="A118">
        <v>1.9411764705882353</v>
      </c>
      <c r="B118">
        <v>1</v>
      </c>
    </row>
    <row r="119" spans="1:2" x14ac:dyDescent="0.3">
      <c r="A119">
        <v>13.285714285714285</v>
      </c>
      <c r="B119">
        <v>1</v>
      </c>
    </row>
    <row r="120" spans="1:2" x14ac:dyDescent="0.3">
      <c r="A120">
        <v>0</v>
      </c>
      <c r="B120">
        <v>0</v>
      </c>
    </row>
    <row r="121" spans="1:2" x14ac:dyDescent="0.3">
      <c r="A121">
        <v>0.81818181818181812</v>
      </c>
      <c r="B121">
        <v>0</v>
      </c>
    </row>
    <row r="122" spans="1:2" x14ac:dyDescent="0.3">
      <c r="A122">
        <v>4</v>
      </c>
      <c r="B122">
        <v>1</v>
      </c>
    </row>
    <row r="123" spans="1:2" x14ac:dyDescent="0.3">
      <c r="A123">
        <v>32.333333333333336</v>
      </c>
      <c r="B123">
        <v>1</v>
      </c>
    </row>
    <row r="124" spans="1:2" x14ac:dyDescent="0.3">
      <c r="A124">
        <v>0</v>
      </c>
      <c r="B124">
        <v>0</v>
      </c>
    </row>
    <row r="125" spans="1:2" x14ac:dyDescent="0.3">
      <c r="A125">
        <v>1.7777777777777779</v>
      </c>
      <c r="B125">
        <v>1</v>
      </c>
    </row>
    <row r="126" spans="1:2" x14ac:dyDescent="0.3">
      <c r="A126">
        <v>4</v>
      </c>
      <c r="B126">
        <v>1</v>
      </c>
    </row>
    <row r="127" spans="1:2" x14ac:dyDescent="0.3">
      <c r="A127">
        <v>49</v>
      </c>
      <c r="B127">
        <v>1</v>
      </c>
    </row>
    <row r="128" spans="1:2" x14ac:dyDescent="0.3">
      <c r="A128">
        <v>0</v>
      </c>
      <c r="B128">
        <v>0</v>
      </c>
    </row>
    <row r="129" spans="1:2" x14ac:dyDescent="0.3">
      <c r="A129">
        <v>1.0833333333333335</v>
      </c>
      <c r="B129">
        <v>1</v>
      </c>
    </row>
    <row r="130" spans="1:2" x14ac:dyDescent="0.3">
      <c r="A130">
        <v>8.0909090909090917</v>
      </c>
      <c r="B130">
        <v>1</v>
      </c>
    </row>
    <row r="131" spans="1:2" x14ac:dyDescent="0.3">
      <c r="A131">
        <v>49</v>
      </c>
      <c r="B131">
        <v>1</v>
      </c>
    </row>
    <row r="132" spans="1:2" x14ac:dyDescent="0.3">
      <c r="A132">
        <v>1.5833333333333335</v>
      </c>
      <c r="B132">
        <v>1</v>
      </c>
    </row>
    <row r="133" spans="1:2" x14ac:dyDescent="0.3">
      <c r="A133">
        <v>1.6</v>
      </c>
      <c r="B133">
        <v>1</v>
      </c>
    </row>
    <row r="134" spans="1:2" x14ac:dyDescent="0.3">
      <c r="A134">
        <v>1.6818181818181819</v>
      </c>
      <c r="B134">
        <v>1</v>
      </c>
    </row>
    <row r="135" spans="1:2" x14ac:dyDescent="0.3">
      <c r="A135">
        <v>1.6956521739130435</v>
      </c>
      <c r="B135">
        <v>1</v>
      </c>
    </row>
    <row r="136" spans="1:2" x14ac:dyDescent="0.3">
      <c r="A136">
        <v>81</v>
      </c>
      <c r="B136">
        <v>1</v>
      </c>
    </row>
    <row r="137" spans="1:2" x14ac:dyDescent="0.3">
      <c r="A137">
        <v>1.9</v>
      </c>
      <c r="B137">
        <v>1</v>
      </c>
    </row>
    <row r="138" spans="1:2" x14ac:dyDescent="0.3">
      <c r="A138">
        <v>3.2</v>
      </c>
      <c r="B138">
        <v>1</v>
      </c>
    </row>
    <row r="139" spans="1:2" x14ac:dyDescent="0.3">
      <c r="A139">
        <v>5.7</v>
      </c>
      <c r="B139">
        <v>1</v>
      </c>
    </row>
    <row r="140" spans="1:2" x14ac:dyDescent="0.3">
      <c r="A140">
        <v>2.9</v>
      </c>
      <c r="B140">
        <v>1</v>
      </c>
    </row>
    <row r="141" spans="1:2" x14ac:dyDescent="0.3">
      <c r="A141">
        <v>5</v>
      </c>
      <c r="B141">
        <v>1</v>
      </c>
    </row>
    <row r="142" spans="1:2" x14ac:dyDescent="0.3">
      <c r="A142">
        <v>4.416666666666667</v>
      </c>
      <c r="B142">
        <v>1</v>
      </c>
    </row>
    <row r="143" spans="1:2" x14ac:dyDescent="0.3">
      <c r="A143">
        <v>0.88888888888888884</v>
      </c>
      <c r="B143">
        <v>0</v>
      </c>
    </row>
    <row r="144" spans="1:2" x14ac:dyDescent="0.3">
      <c r="A144">
        <v>7.14</v>
      </c>
      <c r="B144">
        <v>1</v>
      </c>
    </row>
    <row r="145" spans="1:2" x14ac:dyDescent="0.3">
      <c r="A145">
        <v>3.9333333333333331</v>
      </c>
      <c r="B145">
        <v>1</v>
      </c>
    </row>
    <row r="146" spans="1:2" x14ac:dyDescent="0.3">
      <c r="A146">
        <v>7.611940298507462</v>
      </c>
      <c r="B146">
        <v>1</v>
      </c>
    </row>
    <row r="147" spans="1:2" x14ac:dyDescent="0.3">
      <c r="A147">
        <v>2.4158415841584158</v>
      </c>
      <c r="B147">
        <v>1</v>
      </c>
    </row>
    <row r="148" spans="1:2" x14ac:dyDescent="0.3">
      <c r="A148">
        <v>0.74285714285714288</v>
      </c>
      <c r="B148">
        <v>0</v>
      </c>
    </row>
    <row r="149" spans="1:2" x14ac:dyDescent="0.3">
      <c r="A149">
        <v>0.54838709677419362</v>
      </c>
      <c r="B149">
        <v>0</v>
      </c>
    </row>
    <row r="150" spans="1:2" x14ac:dyDescent="0.3">
      <c r="A150">
        <v>0.19230769230769232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8</v>
      </c>
      <c r="B152">
        <v>1</v>
      </c>
    </row>
    <row r="153" spans="1:2" x14ac:dyDescent="0.3">
      <c r="A153">
        <v>6.4375</v>
      </c>
      <c r="B153">
        <v>1</v>
      </c>
    </row>
    <row r="154" spans="1:2" x14ac:dyDescent="0.3">
      <c r="A154">
        <v>10.368421052631579</v>
      </c>
      <c r="B154">
        <v>1</v>
      </c>
    </row>
    <row r="155" spans="1:2" x14ac:dyDescent="0.3">
      <c r="A155">
        <v>10.1875</v>
      </c>
      <c r="B155">
        <v>1</v>
      </c>
    </row>
    <row r="156" spans="1:2" x14ac:dyDescent="0.3">
      <c r="A156">
        <v>0.5</v>
      </c>
      <c r="B156">
        <v>0</v>
      </c>
    </row>
    <row r="157" spans="1:2" x14ac:dyDescent="0.3">
      <c r="A157">
        <v>0.70370370370370372</v>
      </c>
      <c r="B157">
        <v>0</v>
      </c>
    </row>
    <row r="158" spans="1:2" x14ac:dyDescent="0.3">
      <c r="A158">
        <v>0.75</v>
      </c>
      <c r="B158">
        <v>0</v>
      </c>
    </row>
    <row r="159" spans="1:2" x14ac:dyDescent="0.3">
      <c r="A159">
        <v>1.1153846153846154</v>
      </c>
      <c r="B159">
        <v>1</v>
      </c>
    </row>
    <row r="160" spans="1:2" x14ac:dyDescent="0.3">
      <c r="A160">
        <v>1.3043478260869565</v>
      </c>
      <c r="B160">
        <v>1</v>
      </c>
    </row>
    <row r="161" spans="1:2" x14ac:dyDescent="0.3">
      <c r="A161">
        <v>1.5862068965517242</v>
      </c>
      <c r="B161">
        <v>1</v>
      </c>
    </row>
    <row r="162" spans="1:2" x14ac:dyDescent="0.3">
      <c r="A162">
        <v>0.43902439024390244</v>
      </c>
      <c r="B162">
        <v>0</v>
      </c>
    </row>
    <row r="163" spans="1:2" x14ac:dyDescent="0.3">
      <c r="A163">
        <v>0.32467532467532467</v>
      </c>
      <c r="B163">
        <v>0</v>
      </c>
    </row>
    <row r="164" spans="1:2" x14ac:dyDescent="0.3">
      <c r="A164">
        <v>3.4666666666666668</v>
      </c>
      <c r="B164">
        <v>1</v>
      </c>
    </row>
    <row r="165" spans="1:2" x14ac:dyDescent="0.3">
      <c r="A165">
        <v>2.8431372549019609</v>
      </c>
      <c r="B165">
        <v>1</v>
      </c>
    </row>
    <row r="166" spans="1:2" x14ac:dyDescent="0.3">
      <c r="A166">
        <v>3.072289156626506</v>
      </c>
      <c r="B166">
        <v>1</v>
      </c>
    </row>
    <row r="167" spans="1:2" x14ac:dyDescent="0.3">
      <c r="A167">
        <v>1.1666666666666667</v>
      </c>
      <c r="B167">
        <v>1</v>
      </c>
    </row>
    <row r="168" spans="1:2" x14ac:dyDescent="0.3">
      <c r="A168">
        <v>1.0412371134020619</v>
      </c>
      <c r="B168">
        <v>1</v>
      </c>
    </row>
    <row r="169" spans="1:2" x14ac:dyDescent="0.3">
      <c r="A169">
        <v>5.2427184466019419E-2</v>
      </c>
      <c r="B169">
        <v>0</v>
      </c>
    </row>
    <row r="170" spans="1:2" x14ac:dyDescent="0.3">
      <c r="A170">
        <v>13.75</v>
      </c>
      <c r="B170">
        <v>1</v>
      </c>
    </row>
    <row r="171" spans="1:2" x14ac:dyDescent="0.3">
      <c r="A171">
        <v>4.2142857142857135</v>
      </c>
      <c r="B171">
        <v>1</v>
      </c>
    </row>
    <row r="172" spans="1:2" x14ac:dyDescent="0.3">
      <c r="A172">
        <v>2</v>
      </c>
      <c r="B172">
        <v>1</v>
      </c>
    </row>
    <row r="173" spans="1:2" x14ac:dyDescent="0.3">
      <c r="A173">
        <v>1.6153846153846152</v>
      </c>
      <c r="B173">
        <v>1</v>
      </c>
    </row>
    <row r="174" spans="1:2" x14ac:dyDescent="0.3">
      <c r="A174">
        <v>3.5</v>
      </c>
      <c r="B174">
        <v>1</v>
      </c>
    </row>
    <row r="175" spans="1:2" x14ac:dyDescent="0.3">
      <c r="A175">
        <v>3.1818181818181817</v>
      </c>
      <c r="B175">
        <v>1</v>
      </c>
    </row>
    <row r="176" spans="1:2" x14ac:dyDescent="0.3">
      <c r="A176">
        <v>2.1538461538461542</v>
      </c>
      <c r="B176">
        <v>1</v>
      </c>
    </row>
    <row r="177" spans="1:2" x14ac:dyDescent="0.3">
      <c r="A177">
        <v>2.166666666666667</v>
      </c>
      <c r="B177">
        <v>1</v>
      </c>
    </row>
    <row r="178" spans="1:2" x14ac:dyDescent="0.3">
      <c r="A178">
        <v>3.1666666666666669E-2</v>
      </c>
      <c r="B178">
        <v>0</v>
      </c>
    </row>
    <row r="179" spans="1:2" x14ac:dyDescent="0.3">
      <c r="A179">
        <v>3.3582089552238799E-2</v>
      </c>
      <c r="B179">
        <v>0</v>
      </c>
    </row>
    <row r="180" spans="1:2" x14ac:dyDescent="0.3">
      <c r="A180">
        <v>1.6949152542372881E-2</v>
      </c>
      <c r="B180">
        <v>0</v>
      </c>
    </row>
    <row r="181" spans="1:2" x14ac:dyDescent="0.3">
      <c r="A181">
        <v>5.4186046511627906</v>
      </c>
      <c r="B181">
        <v>1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0.32575757575757575</v>
      </c>
      <c r="B184">
        <v>0</v>
      </c>
    </row>
    <row r="185" spans="1:2" x14ac:dyDescent="0.3">
      <c r="A185">
        <v>1.2553191489361701</v>
      </c>
      <c r="B185">
        <v>1</v>
      </c>
    </row>
    <row r="186" spans="1:2" x14ac:dyDescent="0.3">
      <c r="A186">
        <v>0.97872340425531912</v>
      </c>
      <c r="B186">
        <v>0</v>
      </c>
    </row>
    <row r="187" spans="1:2" x14ac:dyDescent="0.3">
      <c r="A187">
        <v>0.7192982456140351</v>
      </c>
      <c r="B187">
        <v>0</v>
      </c>
    </row>
    <row r="188" spans="1:2" x14ac:dyDescent="0.3">
      <c r="A188">
        <v>20</v>
      </c>
      <c r="B188">
        <v>1</v>
      </c>
    </row>
    <row r="189" spans="1:2" x14ac:dyDescent="0.3">
      <c r="A189">
        <v>19</v>
      </c>
      <c r="B189">
        <v>1</v>
      </c>
    </row>
    <row r="190" spans="1:2" x14ac:dyDescent="0.3">
      <c r="A190">
        <v>13</v>
      </c>
      <c r="B190">
        <v>1</v>
      </c>
    </row>
    <row r="191" spans="1:2" x14ac:dyDescent="0.3">
      <c r="A191">
        <v>5.22</v>
      </c>
      <c r="B191">
        <v>1</v>
      </c>
    </row>
    <row r="192" spans="1:2" x14ac:dyDescent="0.3">
      <c r="A192">
        <v>4.88</v>
      </c>
      <c r="B192">
        <v>1</v>
      </c>
    </row>
    <row r="193" spans="1:2" x14ac:dyDescent="0.3">
      <c r="A193">
        <v>3.58</v>
      </c>
      <c r="B193">
        <v>1</v>
      </c>
    </row>
    <row r="194" spans="1:2" x14ac:dyDescent="0.3">
      <c r="A194">
        <v>21.000000000000004</v>
      </c>
      <c r="B194">
        <v>1</v>
      </c>
    </row>
    <row r="195" spans="1:2" x14ac:dyDescent="0.3">
      <c r="A195">
        <v>0.31796116504854371</v>
      </c>
      <c r="B195">
        <v>0</v>
      </c>
    </row>
    <row r="196" spans="1:2" x14ac:dyDescent="0.3">
      <c r="A196">
        <v>0.15397350993377484</v>
      </c>
      <c r="B196">
        <v>0</v>
      </c>
    </row>
    <row r="197" spans="1:2" x14ac:dyDescent="0.3">
      <c r="A197">
        <v>5.8754406580493537E-3</v>
      </c>
      <c r="B197">
        <v>0</v>
      </c>
    </row>
    <row r="198" spans="1:2" x14ac:dyDescent="0.3">
      <c r="A198">
        <v>2.25</v>
      </c>
      <c r="B198">
        <v>1</v>
      </c>
    </row>
    <row r="199" spans="1:2" x14ac:dyDescent="0.3">
      <c r="A199">
        <v>0.44390243902439025</v>
      </c>
      <c r="B199">
        <v>0</v>
      </c>
    </row>
    <row r="200" spans="1:2" x14ac:dyDescent="0.3">
      <c r="A200">
        <v>0.32465842550422902</v>
      </c>
      <c r="B200">
        <v>0</v>
      </c>
    </row>
    <row r="201" spans="1:2" x14ac:dyDescent="0.3">
      <c r="A201">
        <v>3.6999999999999997</v>
      </c>
      <c r="B201">
        <v>1</v>
      </c>
    </row>
    <row r="202" spans="1:2" x14ac:dyDescent="0.3">
      <c r="A202">
        <v>4.1818181818181817</v>
      </c>
      <c r="B202">
        <v>1</v>
      </c>
    </row>
    <row r="203" spans="1:2" x14ac:dyDescent="0.3">
      <c r="A203">
        <v>25.59349593495935</v>
      </c>
      <c r="B203">
        <v>1</v>
      </c>
    </row>
    <row r="204" spans="1:2" x14ac:dyDescent="0.3">
      <c r="A204">
        <v>24.717391304347824</v>
      </c>
      <c r="B204">
        <v>1</v>
      </c>
    </row>
    <row r="205" spans="1:2" x14ac:dyDescent="0.3">
      <c r="A205">
        <v>13.026178010471204</v>
      </c>
      <c r="B205">
        <v>1</v>
      </c>
    </row>
    <row r="206" spans="1:2" x14ac:dyDescent="0.3">
      <c r="A206">
        <v>11.990196078431373</v>
      </c>
      <c r="B206">
        <v>1</v>
      </c>
    </row>
    <row r="207" spans="1:2" x14ac:dyDescent="0.3">
      <c r="A207">
        <v>18.664921465968586</v>
      </c>
      <c r="B207">
        <v>1</v>
      </c>
    </row>
    <row r="208" spans="1:2" x14ac:dyDescent="0.3">
      <c r="A208">
        <v>17.428571428571427</v>
      </c>
      <c r="B208">
        <v>1</v>
      </c>
    </row>
    <row r="209" spans="1:2" x14ac:dyDescent="0.3">
      <c r="A209">
        <v>17</v>
      </c>
      <c r="B209">
        <v>1</v>
      </c>
    </row>
    <row r="210" spans="1:2" x14ac:dyDescent="0.3">
      <c r="A210">
        <v>1.0681818181818181</v>
      </c>
      <c r="B210">
        <v>1</v>
      </c>
    </row>
    <row r="211" spans="1:2" x14ac:dyDescent="0.3">
      <c r="A211">
        <v>2.3499999999999996</v>
      </c>
      <c r="B211">
        <v>1</v>
      </c>
    </row>
    <row r="212" spans="1:2" x14ac:dyDescent="0.3">
      <c r="A212">
        <v>3.6363636363636367</v>
      </c>
      <c r="B212">
        <v>1</v>
      </c>
    </row>
    <row r="213" spans="1:2" x14ac:dyDescent="0.3">
      <c r="A213">
        <v>3.4285714285714279</v>
      </c>
      <c r="B213">
        <v>1</v>
      </c>
    </row>
    <row r="214" spans="1:2" x14ac:dyDescent="0.3">
      <c r="A214">
        <v>8</v>
      </c>
      <c r="B214">
        <v>1</v>
      </c>
    </row>
    <row r="215" spans="1:2" x14ac:dyDescent="0.3">
      <c r="A215">
        <v>0.39473684210526316</v>
      </c>
      <c r="B215">
        <v>0</v>
      </c>
    </row>
    <row r="216" spans="1:2" x14ac:dyDescent="0.3">
      <c r="A216">
        <v>4.833333333333333</v>
      </c>
      <c r="B2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Test</vt:lpstr>
      <vt:lpstr>Acidity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2022-09-08T16:26:22Z</dcterms:created>
  <dcterms:modified xsi:type="dcterms:W3CDTF">2024-09-20T15:42:19Z</dcterms:modified>
</cp:coreProperties>
</file>