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AI\DMFC\"/>
    </mc:Choice>
  </mc:AlternateContent>
  <xr:revisionPtr revIDLastSave="0" documentId="13_ncr:1_{CE71B469-83C9-4B43-BE11-33091D798568}" xr6:coauthVersionLast="47" xr6:coauthVersionMax="47" xr10:uidLastSave="{00000000-0000-0000-0000-000000000000}"/>
  <bookViews>
    <workbookView xWindow="-108" yWindow="-108" windowWidth="23256" windowHeight="12456" tabRatio="810" xr2:uid="{00000000-000D-0000-FFFF-FFFF00000000}"/>
  </bookViews>
  <sheets>
    <sheet name="Sheet5" sheetId="7" r:id="rId1"/>
    <sheet name="Sheet7" sheetId="9" r:id="rId2"/>
    <sheet name="Classification" sheetId="8" r:id="rId3"/>
    <sheet name="Copy" sheetId="5" r:id="rId4"/>
    <sheet name="Copy-1" sheetId="1" r:id="rId5"/>
    <sheet name="Calculation" sheetId="2" r:id="rId6"/>
  </sheets>
  <definedNames>
    <definedName name="_xlnm._FilterDatabase" localSheetId="2" hidden="1">Classification!$A$1:$A$365</definedName>
    <definedName name="_xlnm._FilterDatabase" localSheetId="3" hidden="1">Copy!$AI$1:$AI$365</definedName>
    <definedName name="_xlnm._FilterDatabase" localSheetId="0" hidden="1">Sheet5!#REF!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2" i="8"/>
  <c r="AI63" i="1" l="1"/>
  <c r="AI64" i="1"/>
  <c r="AI256" i="1"/>
  <c r="AI255" i="1"/>
  <c r="AI254" i="1"/>
  <c r="AI308" i="1"/>
  <c r="AI310" i="1"/>
  <c r="AI309" i="1"/>
  <c r="AI66" i="1"/>
  <c r="AI65" i="1"/>
  <c r="AI62" i="1"/>
  <c r="AI61" i="1"/>
  <c r="AI60" i="1"/>
  <c r="AI59" i="1"/>
  <c r="B150" i="2"/>
  <c r="AI53" i="1"/>
  <c r="H797" i="2"/>
  <c r="B797" i="2"/>
  <c r="H796" i="2"/>
  <c r="F796" i="2"/>
  <c r="F797" i="2" s="1"/>
  <c r="D796" i="2"/>
  <c r="D797" i="2" s="1"/>
  <c r="B796" i="2"/>
  <c r="H795" i="2"/>
  <c r="H794" i="2"/>
  <c r="F795" i="2"/>
  <c r="F794" i="2"/>
  <c r="D795" i="2"/>
  <c r="D794" i="2"/>
  <c r="B795" i="2"/>
  <c r="B794" i="2"/>
  <c r="AI54" i="1"/>
  <c r="AI49" i="1"/>
  <c r="X49" i="1"/>
  <c r="B131" i="2"/>
  <c r="AI48" i="1"/>
  <c r="D43" i="1"/>
  <c r="D44" i="1"/>
  <c r="D45" i="1"/>
  <c r="D46" i="1"/>
  <c r="D47" i="1"/>
  <c r="AI42" i="1"/>
  <c r="AI43" i="1"/>
  <c r="AI44" i="1"/>
  <c r="AI41" i="1"/>
  <c r="AI40" i="1"/>
  <c r="AI39" i="1"/>
  <c r="AI45" i="1"/>
  <c r="AI169" i="1"/>
  <c r="B789" i="2" l="1"/>
  <c r="B788" i="2"/>
  <c r="B787" i="2"/>
  <c r="B786" i="2"/>
  <c r="B785" i="2"/>
  <c r="B784" i="2"/>
  <c r="B783" i="2"/>
  <c r="B754" i="2"/>
  <c r="B780" i="2"/>
  <c r="B779" i="2"/>
  <c r="B778" i="2"/>
  <c r="B777" i="2"/>
  <c r="B776" i="2"/>
  <c r="B775" i="2"/>
  <c r="B774" i="2"/>
  <c r="B750" i="2"/>
  <c r="B749" i="2"/>
  <c r="B748" i="2"/>
  <c r="B747" i="2"/>
  <c r="B746" i="2"/>
  <c r="B745" i="2"/>
  <c r="B744" i="2"/>
  <c r="B740" i="2"/>
  <c r="B739" i="2"/>
  <c r="B738" i="2"/>
  <c r="B737" i="2"/>
  <c r="B736" i="2"/>
  <c r="B735" i="2"/>
  <c r="B734" i="2"/>
  <c r="G736" i="2"/>
  <c r="G737" i="2"/>
  <c r="G738" i="2"/>
  <c r="F741" i="2"/>
  <c r="G741" i="2" s="1"/>
  <c r="F740" i="2"/>
  <c r="G740" i="2" s="1"/>
  <c r="F739" i="2"/>
  <c r="G739" i="2" s="1"/>
  <c r="F738" i="2"/>
  <c r="F737" i="2"/>
  <c r="F736" i="2"/>
  <c r="F735" i="2"/>
  <c r="G735" i="2" s="1"/>
  <c r="F734" i="2"/>
  <c r="D183" i="2"/>
  <c r="D177" i="2"/>
  <c r="D176" i="2"/>
  <c r="D178" i="2"/>
  <c r="D179" i="2"/>
  <c r="D180" i="2"/>
  <c r="D181" i="2"/>
  <c r="D182" i="2"/>
  <c r="H110" i="1"/>
  <c r="H111" i="1"/>
  <c r="H112" i="1"/>
  <c r="H113" i="1"/>
  <c r="H114" i="1"/>
  <c r="H115" i="1"/>
  <c r="H109" i="1"/>
  <c r="B770" i="2"/>
  <c r="B769" i="2"/>
  <c r="B768" i="2"/>
  <c r="B767" i="2"/>
  <c r="B766" i="2"/>
  <c r="B765" i="2"/>
  <c r="B764" i="2"/>
  <c r="B760" i="2"/>
  <c r="B759" i="2"/>
  <c r="B758" i="2"/>
  <c r="B757" i="2"/>
  <c r="B756" i="2"/>
  <c r="B755" i="2"/>
  <c r="C721" i="2"/>
  <c r="C723" i="2"/>
  <c r="A715" i="2"/>
  <c r="A716" i="2" s="1"/>
  <c r="A729" i="2"/>
  <c r="C720" i="2"/>
  <c r="C705" i="2"/>
  <c r="C706" i="2" s="1"/>
  <c r="A700" i="2"/>
  <c r="C693" i="2"/>
  <c r="C694" i="2" s="1"/>
  <c r="C696" i="2" s="1"/>
  <c r="K187" i="2"/>
  <c r="K188" i="2" s="1"/>
  <c r="F176" i="2"/>
  <c r="G700" i="2" l="1"/>
  <c r="A701" i="2"/>
  <c r="C708" i="2"/>
  <c r="C712" i="2"/>
  <c r="A730" i="2" s="1"/>
  <c r="C707" i="2"/>
  <c r="G701" i="2" s="1"/>
  <c r="W293" i="1"/>
  <c r="Y11" i="1" l="1"/>
  <c r="X11" i="1"/>
  <c r="D48" i="2"/>
  <c r="D46" i="2"/>
  <c r="D45" i="2"/>
  <c r="B48" i="2"/>
  <c r="B46" i="2"/>
  <c r="B45" i="2"/>
  <c r="J42" i="2"/>
  <c r="J58" i="2"/>
  <c r="B47" i="2" l="1"/>
  <c r="B49" i="2" s="1"/>
  <c r="D47" i="2"/>
  <c r="D50" i="2" s="1"/>
  <c r="B50" i="2"/>
  <c r="D49" i="2" l="1"/>
  <c r="AA212" i="1" l="1"/>
  <c r="C358" i="2"/>
  <c r="B23" i="2"/>
  <c r="D18" i="2"/>
  <c r="D19" i="2" s="1"/>
  <c r="G18" i="2"/>
  <c r="G19" i="2" s="1"/>
  <c r="G21" i="2" l="1"/>
  <c r="G20" i="2"/>
  <c r="H21" i="2"/>
  <c r="D21" i="2"/>
  <c r="D20" i="2"/>
  <c r="B361" i="1"/>
  <c r="B360" i="1"/>
  <c r="B686" i="2" l="1"/>
  <c r="D686" i="2" s="1"/>
  <c r="B687" i="2"/>
  <c r="D687" i="2" s="1"/>
  <c r="B688" i="2"/>
  <c r="D688" i="2" s="1"/>
  <c r="B689" i="2"/>
  <c r="D68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79" i="2"/>
  <c r="AI347" i="1"/>
  <c r="H347" i="1"/>
  <c r="D674" i="2"/>
  <c r="E674" i="2" s="1"/>
  <c r="D673" i="2"/>
  <c r="E673" i="2" s="1"/>
  <c r="D672" i="2"/>
  <c r="E672" i="2" s="1"/>
  <c r="D671" i="2"/>
  <c r="E671" i="2" s="1"/>
  <c r="D670" i="2"/>
  <c r="E670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E655" i="2"/>
  <c r="K655" i="2"/>
  <c r="K654" i="2"/>
  <c r="H655" i="2"/>
  <c r="H654" i="2"/>
  <c r="E654" i="2"/>
  <c r="B655" i="2"/>
  <c r="B654" i="2"/>
  <c r="B637" i="2"/>
  <c r="E643" i="2"/>
  <c r="E644" i="2"/>
  <c r="E645" i="2"/>
  <c r="E646" i="2"/>
  <c r="E647" i="2"/>
  <c r="E648" i="2"/>
  <c r="E649" i="2"/>
  <c r="E642" i="2"/>
  <c r="N637" i="2"/>
  <c r="L637" i="2"/>
  <c r="J637" i="2"/>
  <c r="H637" i="2"/>
  <c r="F637" i="2"/>
  <c r="D637" i="2"/>
  <c r="N632" i="2"/>
  <c r="N631" i="2"/>
  <c r="L632" i="2"/>
  <c r="L631" i="2"/>
  <c r="J632" i="2"/>
  <c r="J631" i="2"/>
  <c r="H632" i="2"/>
  <c r="H631" i="2"/>
  <c r="F632" i="2"/>
  <c r="D632" i="2"/>
  <c r="B632" i="2"/>
  <c r="F631" i="2"/>
  <c r="D631" i="2"/>
  <c r="B631" i="2"/>
  <c r="F621" i="2"/>
  <c r="F620" i="2"/>
  <c r="D621" i="2"/>
  <c r="D620" i="2"/>
  <c r="B621" i="2"/>
  <c r="B620" i="2"/>
  <c r="J608" i="2"/>
  <c r="F611" i="2"/>
  <c r="F610" i="2"/>
  <c r="D611" i="2"/>
  <c r="D610" i="2"/>
  <c r="B611" i="2"/>
  <c r="B610" i="2"/>
  <c r="B601" i="2"/>
  <c r="B600" i="2"/>
  <c r="R596" i="2"/>
  <c r="S596" i="2" s="1"/>
  <c r="R597" i="2"/>
  <c r="S597" i="2" s="1"/>
  <c r="R598" i="2"/>
  <c r="S598" i="2" s="1"/>
  <c r="R592" i="2"/>
  <c r="S592" i="2" s="1"/>
  <c r="R593" i="2"/>
  <c r="S593" i="2" s="1"/>
  <c r="R594" i="2"/>
  <c r="S594" i="2" s="1"/>
  <c r="R595" i="2"/>
  <c r="S595" i="2" s="1"/>
  <c r="R591" i="2"/>
  <c r="S591" i="2" s="1"/>
  <c r="O594" i="2"/>
  <c r="O593" i="2"/>
  <c r="M594" i="2"/>
  <c r="M593" i="2"/>
  <c r="M595" i="2"/>
  <c r="K594" i="2"/>
  <c r="K595" i="2" s="1"/>
  <c r="K593" i="2"/>
  <c r="I594" i="2"/>
  <c r="I593" i="2"/>
  <c r="G594" i="2"/>
  <c r="G593" i="2"/>
  <c r="G595" i="2" s="1"/>
  <c r="E593" i="2"/>
  <c r="E594" i="2"/>
  <c r="E595" i="2" s="1"/>
  <c r="B593" i="2"/>
  <c r="B595" i="2" s="1"/>
  <c r="B583" i="2"/>
  <c r="B582" i="2"/>
  <c r="B574" i="2"/>
  <c r="M583" i="2"/>
  <c r="M582" i="2"/>
  <c r="M576" i="2"/>
  <c r="M578" i="2" s="1"/>
  <c r="M581" i="2" s="1"/>
  <c r="I584" i="2"/>
  <c r="G583" i="2"/>
  <c r="E582" i="2"/>
  <c r="E574" i="2"/>
  <c r="E576" i="2" s="1"/>
  <c r="E577" i="2" s="1"/>
  <c r="E580" i="2" s="1"/>
  <c r="H561" i="2"/>
  <c r="H560" i="2"/>
  <c r="E561" i="2"/>
  <c r="E560" i="2"/>
  <c r="E562" i="2" s="1"/>
  <c r="B561" i="2"/>
  <c r="B560" i="2"/>
  <c r="B554" i="2"/>
  <c r="D554" i="2" s="1"/>
  <c r="E554" i="2"/>
  <c r="B553" i="2"/>
  <c r="J546" i="2"/>
  <c r="J544" i="2"/>
  <c r="J543" i="2"/>
  <c r="H546" i="2"/>
  <c r="H544" i="2"/>
  <c r="H543" i="2"/>
  <c r="F546" i="2"/>
  <c r="F544" i="2"/>
  <c r="F543" i="2"/>
  <c r="D546" i="2"/>
  <c r="D544" i="2"/>
  <c r="D543" i="2"/>
  <c r="B546" i="2"/>
  <c r="B544" i="2"/>
  <c r="B543" i="2"/>
  <c r="C534" i="2"/>
  <c r="B530" i="2"/>
  <c r="D545" i="2" l="1"/>
  <c r="H583" i="2"/>
  <c r="B532" i="2"/>
  <c r="B531" i="2"/>
  <c r="B562" i="2"/>
  <c r="I595" i="2"/>
  <c r="D547" i="2"/>
  <c r="D548" i="2" s="1"/>
  <c r="F612" i="2"/>
  <c r="B545" i="2"/>
  <c r="B547" i="2" s="1"/>
  <c r="B548" i="2" s="1"/>
  <c r="L633" i="2"/>
  <c r="L635" i="2" s="1"/>
  <c r="G645" i="2" s="1"/>
  <c r="H645" i="2" s="1"/>
  <c r="K656" i="2"/>
  <c r="K658" i="2" s="1"/>
  <c r="H656" i="2"/>
  <c r="H658" i="2" s="1"/>
  <c r="E656" i="2"/>
  <c r="E658" i="2" s="1"/>
  <c r="B656" i="2"/>
  <c r="B659" i="2" s="1"/>
  <c r="N633" i="2"/>
  <c r="N635" i="2" s="1"/>
  <c r="G646" i="2" s="1"/>
  <c r="H646" i="2" s="1"/>
  <c r="J633" i="2"/>
  <c r="J635" i="2" s="1"/>
  <c r="G643" i="2" s="1"/>
  <c r="H643" i="2" s="1"/>
  <c r="H633" i="2"/>
  <c r="H635" i="2" s="1"/>
  <c r="G644" i="2" s="1"/>
  <c r="H644" i="2" s="1"/>
  <c r="B633" i="2"/>
  <c r="B635" i="2" s="1"/>
  <c r="G649" i="2" s="1"/>
  <c r="H649" i="2" s="1"/>
  <c r="D633" i="2"/>
  <c r="D636" i="2" s="1"/>
  <c r="F633" i="2"/>
  <c r="F635" i="2" s="1"/>
  <c r="G647" i="2" s="1"/>
  <c r="H647" i="2" s="1"/>
  <c r="F622" i="2"/>
  <c r="F625" i="2" s="1"/>
  <c r="D622" i="2"/>
  <c r="D624" i="2" s="1"/>
  <c r="B622" i="2"/>
  <c r="B624" i="2" s="1"/>
  <c r="F615" i="2"/>
  <c r="F614" i="2"/>
  <c r="D612" i="2"/>
  <c r="D614" i="2" s="1"/>
  <c r="B612" i="2"/>
  <c r="B614" i="2" s="1"/>
  <c r="I609" i="2" s="1"/>
  <c r="I610" i="2" s="1"/>
  <c r="B564" i="2"/>
  <c r="B566" i="2" s="1"/>
  <c r="B563" i="2"/>
  <c r="B565" i="2" s="1"/>
  <c r="E564" i="2"/>
  <c r="E566" i="2" s="1"/>
  <c r="E563" i="2"/>
  <c r="E565" i="2" s="1"/>
  <c r="B576" i="2"/>
  <c r="B578" i="2" s="1"/>
  <c r="B581" i="2" s="1"/>
  <c r="B602" i="2"/>
  <c r="B605" i="2" s="1"/>
  <c r="O595" i="2"/>
  <c r="M577" i="2"/>
  <c r="M580" i="2" s="1"/>
  <c r="E578" i="2"/>
  <c r="E581" i="2" s="1"/>
  <c r="H562" i="2"/>
  <c r="H563" i="2" s="1"/>
  <c r="H565" i="2" s="1"/>
  <c r="J545" i="2"/>
  <c r="J547" i="2" s="1"/>
  <c r="J548" i="2" s="1"/>
  <c r="H545" i="2"/>
  <c r="H547" i="2" s="1"/>
  <c r="H548" i="2" s="1"/>
  <c r="F545" i="2"/>
  <c r="F547" i="2" s="1"/>
  <c r="F548" i="2" s="1"/>
  <c r="F513" i="2"/>
  <c r="F515" i="2" s="1"/>
  <c r="F516" i="2" s="1"/>
  <c r="B520" i="2"/>
  <c r="B518" i="2"/>
  <c r="B517" i="2"/>
  <c r="B516" i="2"/>
  <c r="B507" i="2"/>
  <c r="B505" i="2"/>
  <c r="B504" i="2"/>
  <c r="B503" i="2"/>
  <c r="B494" i="2"/>
  <c r="B492" i="2"/>
  <c r="B491" i="2"/>
  <c r="B490" i="2"/>
  <c r="B273" i="1"/>
  <c r="E537" i="2" l="1"/>
  <c r="E534" i="2"/>
  <c r="E536" i="2"/>
  <c r="E535" i="2"/>
  <c r="L636" i="2"/>
  <c r="H564" i="2"/>
  <c r="H566" i="2" s="1"/>
  <c r="B493" i="2"/>
  <c r="B496" i="2" s="1"/>
  <c r="D625" i="2"/>
  <c r="E567" i="2"/>
  <c r="B658" i="2"/>
  <c r="F673" i="2"/>
  <c r="G673" i="2" s="1"/>
  <c r="F674" i="2"/>
  <c r="G674" i="2" s="1"/>
  <c r="F666" i="2"/>
  <c r="G666" i="2" s="1"/>
  <c r="F672" i="2"/>
  <c r="G672" i="2" s="1"/>
  <c r="F665" i="2"/>
  <c r="G665" i="2" s="1"/>
  <c r="F667" i="2"/>
  <c r="G667" i="2" s="1"/>
  <c r="F668" i="2"/>
  <c r="G668" i="2" s="1"/>
  <c r="F669" i="2"/>
  <c r="G669" i="2" s="1"/>
  <c r="F670" i="2"/>
  <c r="G670" i="2" s="1"/>
  <c r="F671" i="2"/>
  <c r="G671" i="2" s="1"/>
  <c r="B604" i="2"/>
  <c r="B497" i="2"/>
  <c r="B625" i="2"/>
  <c r="K659" i="2"/>
  <c r="H659" i="2"/>
  <c r="E659" i="2"/>
  <c r="N636" i="2"/>
  <c r="J636" i="2"/>
  <c r="H636" i="2"/>
  <c r="D635" i="2"/>
  <c r="G648" i="2" s="1"/>
  <c r="H648" i="2" s="1"/>
  <c r="F636" i="2"/>
  <c r="B636" i="2"/>
  <c r="F624" i="2"/>
  <c r="D615" i="2"/>
  <c r="B615" i="2"/>
  <c r="B577" i="2"/>
  <c r="B580" i="2" s="1"/>
  <c r="B506" i="2"/>
  <c r="B508" i="2" s="1"/>
  <c r="F534" i="2"/>
  <c r="F536" i="2"/>
  <c r="B567" i="2"/>
  <c r="B568" i="2" s="1"/>
  <c r="B570" i="2" s="1"/>
  <c r="M584" i="2"/>
  <c r="E584" i="2"/>
  <c r="E586" i="2" s="1"/>
  <c r="H567" i="2"/>
  <c r="B519" i="2"/>
  <c r="B522" i="2" s="1"/>
  <c r="W288" i="1"/>
  <c r="X288" i="1"/>
  <c r="W287" i="1"/>
  <c r="X287" i="1"/>
  <c r="W286" i="1"/>
  <c r="X286" i="1"/>
  <c r="D482" i="2"/>
  <c r="D481" i="2"/>
  <c r="AA268" i="1"/>
  <c r="B478" i="2"/>
  <c r="B475" i="2"/>
  <c r="B477" i="2" s="1"/>
  <c r="AA266" i="1"/>
  <c r="B470" i="2"/>
  <c r="B467" i="2"/>
  <c r="B468" i="2" s="1"/>
  <c r="M457" i="2"/>
  <c r="M456" i="2"/>
  <c r="J457" i="2"/>
  <c r="J456" i="2"/>
  <c r="G456" i="2"/>
  <c r="G457" i="2"/>
  <c r="B462" i="2"/>
  <c r="K260" i="1"/>
  <c r="L260" i="1" s="1"/>
  <c r="K259" i="1"/>
  <c r="L259" i="1" s="1"/>
  <c r="L261" i="1"/>
  <c r="M447" i="2"/>
  <c r="M446" i="2"/>
  <c r="M448" i="2" s="1"/>
  <c r="J447" i="2"/>
  <c r="J446" i="2"/>
  <c r="J448" i="2" s="1"/>
  <c r="G447" i="2"/>
  <c r="G446" i="2"/>
  <c r="B448" i="2"/>
  <c r="B447" i="2"/>
  <c r="B142" i="1"/>
  <c r="B264" i="2"/>
  <c r="E267" i="2"/>
  <c r="D434" i="2"/>
  <c r="H434" i="2"/>
  <c r="H437" i="2"/>
  <c r="H436" i="2"/>
  <c r="G438" i="2"/>
  <c r="J251" i="1"/>
  <c r="B251" i="1" s="1"/>
  <c r="J250" i="1"/>
  <c r="B250" i="1" s="1"/>
  <c r="B428" i="2"/>
  <c r="B429" i="2" s="1"/>
  <c r="B248" i="1"/>
  <c r="B419" i="2"/>
  <c r="B418" i="2"/>
  <c r="B417" i="2"/>
  <c r="B420" i="2" s="1"/>
  <c r="B423" i="2" s="1"/>
  <c r="B245" i="1"/>
  <c r="B246" i="1"/>
  <c r="B244" i="1"/>
  <c r="AI243" i="1"/>
  <c r="AI241" i="1"/>
  <c r="AI242" i="1"/>
  <c r="E243" i="1"/>
  <c r="B243" i="1"/>
  <c r="E242" i="1"/>
  <c r="B242" i="1"/>
  <c r="B241" i="1"/>
  <c r="E241" i="1"/>
  <c r="B410" i="2"/>
  <c r="B409" i="2"/>
  <c r="B495" i="2" l="1"/>
  <c r="B569" i="2"/>
  <c r="G449" i="2"/>
  <c r="D484" i="2"/>
  <c r="G459" i="2"/>
  <c r="B509" i="2"/>
  <c r="D483" i="2"/>
  <c r="M449" i="2"/>
  <c r="D497" i="2"/>
  <c r="B510" i="2"/>
  <c r="G448" i="2"/>
  <c r="B584" i="2"/>
  <c r="B585" i="2" s="1"/>
  <c r="B523" i="2"/>
  <c r="B521" i="2"/>
  <c r="G458" i="2"/>
  <c r="B571" i="2"/>
  <c r="M587" i="2"/>
  <c r="P587" i="2" s="1"/>
  <c r="M588" i="2"/>
  <c r="M586" i="2"/>
  <c r="M585" i="2"/>
  <c r="E588" i="2"/>
  <c r="E587" i="2"/>
  <c r="H585" i="2" s="1"/>
  <c r="H586" i="2" s="1"/>
  <c r="E585" i="2"/>
  <c r="H568" i="2"/>
  <c r="E568" i="2"/>
  <c r="E571" i="2" s="1"/>
  <c r="B476" i="2"/>
  <c r="B469" i="2"/>
  <c r="M459" i="2"/>
  <c r="B449" i="2"/>
  <c r="B450" i="2" s="1"/>
  <c r="M458" i="2"/>
  <c r="J458" i="2"/>
  <c r="J459" i="2"/>
  <c r="B459" i="2"/>
  <c r="B460" i="2" s="1"/>
  <c r="J449" i="2"/>
  <c r="B422" i="2"/>
  <c r="B430" i="2"/>
  <c r="B421" i="2"/>
  <c r="C423" i="2" s="1"/>
  <c r="H435" i="2"/>
  <c r="B411" i="2"/>
  <c r="B413" i="2" s="1"/>
  <c r="B451" i="2" l="1"/>
  <c r="E453" i="2" s="1"/>
  <c r="B588" i="2"/>
  <c r="B587" i="2"/>
  <c r="G584" i="2" s="1"/>
  <c r="G585" i="2" s="1"/>
  <c r="B586" i="2"/>
  <c r="H570" i="2"/>
  <c r="H569" i="2"/>
  <c r="H571" i="2"/>
  <c r="E570" i="2"/>
  <c r="E569" i="2"/>
  <c r="B461" i="2"/>
  <c r="E463" i="2" s="1"/>
  <c r="B452" i="2"/>
  <c r="H438" i="2"/>
  <c r="B414" i="2"/>
  <c r="H441" i="2" l="1"/>
  <c r="H442" i="2"/>
  <c r="H439" i="2"/>
  <c r="H440" i="2"/>
  <c r="G237" i="1"/>
  <c r="G238" i="1"/>
  <c r="G236" i="1"/>
  <c r="A403" i="2"/>
  <c r="A404" i="2"/>
  <c r="A402" i="2"/>
  <c r="O235" i="1"/>
  <c r="O234" i="1"/>
  <c r="O233" i="1"/>
  <c r="O232" i="1"/>
  <c r="O231" i="1"/>
  <c r="AI230" i="1"/>
  <c r="AI229" i="1"/>
  <c r="AI228" i="1"/>
  <c r="E397" i="2"/>
  <c r="F397" i="2" s="1"/>
  <c r="E398" i="2"/>
  <c r="F398" i="2" s="1"/>
  <c r="AI227" i="1"/>
  <c r="AI226" i="1"/>
  <c r="AI225" i="1"/>
  <c r="AI224" i="1"/>
  <c r="E392" i="2"/>
  <c r="F392" i="2" s="1"/>
  <c r="E393" i="2"/>
  <c r="F393" i="2" s="1"/>
  <c r="E394" i="2"/>
  <c r="F394" i="2" s="1"/>
  <c r="E395" i="2"/>
  <c r="F395" i="2" s="1"/>
  <c r="E396" i="2"/>
  <c r="F396" i="2" s="1"/>
  <c r="E391" i="2"/>
  <c r="B397" i="2"/>
  <c r="B396" i="2"/>
  <c r="B395" i="2"/>
  <c r="B394" i="2"/>
  <c r="B393" i="2"/>
  <c r="A392" i="2"/>
  <c r="B392" i="2" s="1"/>
  <c r="B391" i="2"/>
  <c r="AI218" i="1"/>
  <c r="J390" i="2"/>
  <c r="AI219" i="1"/>
  <c r="AI220" i="1"/>
  <c r="AI221" i="1"/>
  <c r="AI222" i="1"/>
  <c r="AI223" i="1"/>
  <c r="J386" i="2"/>
  <c r="J387" i="2"/>
  <c r="J388" i="2"/>
  <c r="J389" i="2"/>
  <c r="I385" i="2"/>
  <c r="J385" i="2" s="1"/>
  <c r="J384" i="2"/>
  <c r="F382" i="2"/>
  <c r="F383" i="2" s="1"/>
  <c r="F385" i="2" s="1"/>
  <c r="D382" i="2"/>
  <c r="C382" i="2"/>
  <c r="C383" i="2" s="1"/>
  <c r="C385" i="2" s="1"/>
  <c r="AI214" i="1"/>
  <c r="AI213" i="1"/>
  <c r="AI212" i="1"/>
  <c r="AA214" i="1"/>
  <c r="AA213" i="1"/>
  <c r="AI211" i="1"/>
  <c r="AI210" i="1"/>
  <c r="F369" i="2"/>
  <c r="F373" i="2"/>
  <c r="F368" i="2"/>
  <c r="D369" i="2"/>
  <c r="D373" i="2"/>
  <c r="D368" i="2"/>
  <c r="AI209" i="1"/>
  <c r="AA209" i="1"/>
  <c r="C369" i="2"/>
  <c r="C373" i="2"/>
  <c r="C368" i="2"/>
  <c r="J359" i="2"/>
  <c r="J358" i="2"/>
  <c r="J357" i="2"/>
  <c r="F359" i="2"/>
  <c r="F358" i="2"/>
  <c r="F357" i="2"/>
  <c r="C359" i="2"/>
  <c r="C357" i="2"/>
  <c r="D348" i="2"/>
  <c r="D343" i="2"/>
  <c r="AI203" i="1"/>
  <c r="AI202" i="1"/>
  <c r="AI201" i="1"/>
  <c r="H202" i="1"/>
  <c r="H201" i="1"/>
  <c r="I336" i="2"/>
  <c r="I335" i="2"/>
  <c r="G336" i="2"/>
  <c r="G335" i="2"/>
  <c r="E336" i="2"/>
  <c r="E335" i="2"/>
  <c r="B336" i="2"/>
  <c r="B335" i="2"/>
  <c r="AI195" i="1"/>
  <c r="AI194" i="1"/>
  <c r="AI193" i="1"/>
  <c r="AI192" i="1"/>
  <c r="L195" i="1"/>
  <c r="L194" i="1"/>
  <c r="L193" i="1"/>
  <c r="B192" i="1"/>
  <c r="B190" i="1"/>
  <c r="B191" i="1"/>
  <c r="B188" i="1"/>
  <c r="L189" i="1"/>
  <c r="B189" i="1" s="1"/>
  <c r="AI187" i="1"/>
  <c r="G323" i="2"/>
  <c r="G322" i="2"/>
  <c r="D323" i="2"/>
  <c r="D322" i="2"/>
  <c r="B323" i="2"/>
  <c r="B322" i="2"/>
  <c r="B313" i="2"/>
  <c r="B312" i="2"/>
  <c r="B314" i="2" s="1"/>
  <c r="AI178" i="1"/>
  <c r="G303" i="2"/>
  <c r="G302" i="2"/>
  <c r="D303" i="2"/>
  <c r="D302" i="2"/>
  <c r="B303" i="2"/>
  <c r="B302" i="2"/>
  <c r="AI171" i="1"/>
  <c r="AI170" i="1"/>
  <c r="AI168" i="1"/>
  <c r="B165" i="1"/>
  <c r="B164" i="1"/>
  <c r="B293" i="2"/>
  <c r="C293" i="2" s="1"/>
  <c r="B294" i="2"/>
  <c r="C294" i="2" s="1"/>
  <c r="B295" i="2"/>
  <c r="C295" i="2" s="1"/>
  <c r="B296" i="2"/>
  <c r="C296" i="2" s="1"/>
  <c r="B292" i="2"/>
  <c r="C292" i="2" s="1"/>
  <c r="B291" i="2"/>
  <c r="I278" i="2"/>
  <c r="I280" i="2" s="1"/>
  <c r="G278" i="2"/>
  <c r="G280" i="2" s="1"/>
  <c r="E278" i="2"/>
  <c r="E280" i="2" s="1"/>
  <c r="B278" i="2"/>
  <c r="B279" i="2" s="1"/>
  <c r="C273" i="2"/>
  <c r="B270" i="2"/>
  <c r="C270" i="2" s="1"/>
  <c r="B272" i="2"/>
  <c r="C272" i="2" s="1"/>
  <c r="B271" i="2"/>
  <c r="C271" i="2" s="1"/>
  <c r="AI144" i="1"/>
  <c r="AI143" i="1"/>
  <c r="AI142" i="1"/>
  <c r="B143" i="1"/>
  <c r="B258" i="2"/>
  <c r="B257" i="2"/>
  <c r="B246" i="2"/>
  <c r="B247" i="2"/>
  <c r="B237" i="2"/>
  <c r="AI138" i="1"/>
  <c r="D237" i="2"/>
  <c r="D240" i="2" s="1"/>
  <c r="D243" i="2" s="1"/>
  <c r="AI137" i="1"/>
  <c r="AI136" i="1"/>
  <c r="AI135" i="1"/>
  <c r="B238" i="2"/>
  <c r="B229" i="2"/>
  <c r="B228" i="2"/>
  <c r="B218" i="2"/>
  <c r="B220" i="2"/>
  <c r="B219" i="2"/>
  <c r="F212" i="2"/>
  <c r="F211" i="2"/>
  <c r="F210" i="2"/>
  <c r="F209" i="2"/>
  <c r="F208" i="2"/>
  <c r="F207" i="2"/>
  <c r="F206" i="2"/>
  <c r="F202" i="2"/>
  <c r="F201" i="2"/>
  <c r="F200" i="2"/>
  <c r="F199" i="2"/>
  <c r="F198" i="2"/>
  <c r="F197" i="2"/>
  <c r="F196" i="2"/>
  <c r="K202" i="2"/>
  <c r="K203" i="2" s="1"/>
  <c r="K205" i="2" s="1"/>
  <c r="I197" i="2"/>
  <c r="I198" i="2" s="1"/>
  <c r="I211" i="2"/>
  <c r="F186" i="2"/>
  <c r="F192" i="2"/>
  <c r="F191" i="2"/>
  <c r="F190" i="2"/>
  <c r="F189" i="2"/>
  <c r="F188" i="2"/>
  <c r="F187" i="2"/>
  <c r="F177" i="2"/>
  <c r="F178" i="2"/>
  <c r="F179" i="2"/>
  <c r="F180" i="2"/>
  <c r="F181" i="2"/>
  <c r="F182" i="2"/>
  <c r="I182" i="2"/>
  <c r="M175" i="2"/>
  <c r="K175" i="2"/>
  <c r="K176" i="2" s="1"/>
  <c r="AI87" i="1"/>
  <c r="AI86" i="1"/>
  <c r="AI85" i="1"/>
  <c r="B82" i="1"/>
  <c r="AI81" i="1"/>
  <c r="AI80" i="1"/>
  <c r="K170" i="2"/>
  <c r="K169" i="2"/>
  <c r="I169" i="2"/>
  <c r="I170" i="2" s="1"/>
  <c r="G169" i="2"/>
  <c r="G170" i="2" s="1"/>
  <c r="E169" i="2"/>
  <c r="E170" i="2" s="1"/>
  <c r="AC73" i="1"/>
  <c r="AC72" i="1"/>
  <c r="B168" i="2"/>
  <c r="B169" i="2" s="1"/>
  <c r="B170" i="2" s="1"/>
  <c r="K178" i="2" l="1"/>
  <c r="K189" i="2"/>
  <c r="G337" i="2"/>
  <c r="G340" i="2" s="1"/>
  <c r="B259" i="2"/>
  <c r="B261" i="2" s="1"/>
  <c r="G304" i="2"/>
  <c r="G307" i="2" s="1"/>
  <c r="I337" i="2"/>
  <c r="I340" i="2" s="1"/>
  <c r="B280" i="2"/>
  <c r="F360" i="2"/>
  <c r="F361" i="2" s="1"/>
  <c r="F365" i="2" s="1"/>
  <c r="C434" i="2"/>
  <c r="B434" i="2"/>
  <c r="C436" i="2"/>
  <c r="B436" i="2"/>
  <c r="B435" i="2"/>
  <c r="C435" i="2"/>
  <c r="G279" i="2"/>
  <c r="G281" i="2" s="1"/>
  <c r="G283" i="2" s="1"/>
  <c r="D370" i="2"/>
  <c r="D371" i="2" s="1"/>
  <c r="D372" i="2" s="1"/>
  <c r="D374" i="2" s="1"/>
  <c r="D376" i="2" s="1"/>
  <c r="C386" i="2"/>
  <c r="C370" i="2"/>
  <c r="C371" i="2" s="1"/>
  <c r="C372" i="2" s="1"/>
  <c r="C374" i="2" s="1"/>
  <c r="C376" i="2" s="1"/>
  <c r="B324" i="2"/>
  <c r="B326" i="2" s="1"/>
  <c r="C360" i="2"/>
  <c r="C384" i="2"/>
  <c r="I339" i="2"/>
  <c r="C361" i="2"/>
  <c r="C362" i="2" s="1"/>
  <c r="F384" i="2"/>
  <c r="F386" i="2"/>
  <c r="D383" i="2"/>
  <c r="F370" i="2"/>
  <c r="F371" i="2" s="1"/>
  <c r="F372" i="2" s="1"/>
  <c r="F374" i="2" s="1"/>
  <c r="J360" i="2"/>
  <c r="J361" i="2" s="1"/>
  <c r="G339" i="2"/>
  <c r="E337" i="2"/>
  <c r="E339" i="2" s="1"/>
  <c r="B315" i="2"/>
  <c r="B316" i="2" s="1"/>
  <c r="E279" i="2"/>
  <c r="E281" i="2" s="1"/>
  <c r="B337" i="2"/>
  <c r="B340" i="2" s="1"/>
  <c r="I279" i="2"/>
  <c r="I281" i="2" s="1"/>
  <c r="I283" i="2" s="1"/>
  <c r="I284" i="2" s="1"/>
  <c r="B339" i="2"/>
  <c r="G324" i="2"/>
  <c r="G326" i="2" s="1"/>
  <c r="D324" i="2"/>
  <c r="D327" i="2" s="1"/>
  <c r="G306" i="2"/>
  <c r="D304" i="2"/>
  <c r="D306" i="2" s="1"/>
  <c r="B304" i="2"/>
  <c r="B307" i="2" s="1"/>
  <c r="B231" i="2"/>
  <c r="B234" i="2" s="1"/>
  <c r="C274" i="2"/>
  <c r="B260" i="2"/>
  <c r="C260" i="2" s="1"/>
  <c r="C261" i="2" s="1"/>
  <c r="B274" i="2"/>
  <c r="B275" i="2" s="1"/>
  <c r="B249" i="2"/>
  <c r="B252" i="2" s="1"/>
  <c r="D242" i="2"/>
  <c r="D241" i="2"/>
  <c r="B240" i="2"/>
  <c r="B243" i="2" s="1"/>
  <c r="B221" i="2"/>
  <c r="B224" i="2" s="1"/>
  <c r="K190" i="2"/>
  <c r="K194" i="2"/>
  <c r="I212" i="2" s="1"/>
  <c r="I183" i="2"/>
  <c r="J159" i="2"/>
  <c r="J158" i="2"/>
  <c r="G159" i="2"/>
  <c r="G158" i="2"/>
  <c r="D158" i="2"/>
  <c r="D159" i="2"/>
  <c r="B159" i="2"/>
  <c r="B158" i="2"/>
  <c r="B151" i="2"/>
  <c r="B152" i="2"/>
  <c r="B153" i="2"/>
  <c r="C147" i="2"/>
  <c r="A148" i="2" s="1"/>
  <c r="G141" i="2"/>
  <c r="G144" i="2" s="1"/>
  <c r="E141" i="2"/>
  <c r="E144" i="2" s="1"/>
  <c r="B141" i="2"/>
  <c r="B144" i="2" s="1"/>
  <c r="X51" i="1"/>
  <c r="AI51" i="1"/>
  <c r="X50" i="1"/>
  <c r="AI50" i="1"/>
  <c r="B130" i="2"/>
  <c r="X47" i="1"/>
  <c r="AI47" i="1"/>
  <c r="X46" i="1"/>
  <c r="X45" i="1"/>
  <c r="AI46" i="1"/>
  <c r="X44" i="1"/>
  <c r="D307" i="2" l="1"/>
  <c r="B327" i="2"/>
  <c r="B328" i="2" s="1"/>
  <c r="B330" i="2" s="1"/>
  <c r="C365" i="2"/>
  <c r="C377" i="2"/>
  <c r="C364" i="2"/>
  <c r="C363" i="2"/>
  <c r="D385" i="2"/>
  <c r="D384" i="2"/>
  <c r="D386" i="2"/>
  <c r="F377" i="2"/>
  <c r="F376" i="2"/>
  <c r="D377" i="2"/>
  <c r="J362" i="2"/>
  <c r="J363" i="2"/>
  <c r="J364" i="2"/>
  <c r="J365" i="2"/>
  <c r="F364" i="2"/>
  <c r="F363" i="2"/>
  <c r="F362" i="2"/>
  <c r="E340" i="2"/>
  <c r="B233" i="2"/>
  <c r="B232" i="2"/>
  <c r="B317" i="2"/>
  <c r="G327" i="2"/>
  <c r="G328" i="2" s="1"/>
  <c r="G330" i="2" s="1"/>
  <c r="D326" i="2"/>
  <c r="D328" i="2" s="1"/>
  <c r="D330" i="2" s="1"/>
  <c r="B306" i="2"/>
  <c r="I286" i="2"/>
  <c r="I285" i="2"/>
  <c r="G285" i="2"/>
  <c r="G284" i="2"/>
  <c r="G286" i="2"/>
  <c r="E283" i="2"/>
  <c r="E286" i="2" s="1"/>
  <c r="B281" i="2"/>
  <c r="B251" i="2"/>
  <c r="B250" i="2"/>
  <c r="B242" i="2"/>
  <c r="B241" i="2"/>
  <c r="B225" i="2"/>
  <c r="B223" i="2"/>
  <c r="B142" i="2"/>
  <c r="B143" i="2"/>
  <c r="B132" i="2"/>
  <c r="B135" i="2" s="1"/>
  <c r="D135" i="2" s="1"/>
  <c r="C150" i="2"/>
  <c r="C153" i="2"/>
  <c r="C152" i="2"/>
  <c r="C151" i="2"/>
  <c r="J160" i="2"/>
  <c r="J162" i="2" s="1"/>
  <c r="G160" i="2"/>
  <c r="G163" i="2" s="1"/>
  <c r="D160" i="2"/>
  <c r="D162" i="2" s="1"/>
  <c r="B160" i="2"/>
  <c r="B163" i="2" s="1"/>
  <c r="G142" i="2"/>
  <c r="G143" i="2"/>
  <c r="E142" i="2"/>
  <c r="E143" i="2"/>
  <c r="D42" i="1"/>
  <c r="D41" i="1"/>
  <c r="X43" i="1"/>
  <c r="X42" i="1"/>
  <c r="X41" i="1"/>
  <c r="X40" i="1"/>
  <c r="D40" i="1"/>
  <c r="B283" i="2" l="1"/>
  <c r="E284" i="2"/>
  <c r="E285" i="2"/>
  <c r="B134" i="2"/>
  <c r="D134" i="2" s="1"/>
  <c r="J163" i="2"/>
  <c r="D163" i="2"/>
  <c r="G162" i="2"/>
  <c r="B162" i="2"/>
  <c r="D121" i="2"/>
  <c r="D120" i="2"/>
  <c r="X36" i="1"/>
  <c r="B121" i="2"/>
  <c r="B120" i="2"/>
  <c r="B110" i="2"/>
  <c r="Y102" i="2"/>
  <c r="Y103" i="2" s="1"/>
  <c r="V102" i="2"/>
  <c r="V103" i="2" s="1"/>
  <c r="S102" i="2"/>
  <c r="S103" i="2" s="1"/>
  <c r="P102" i="2"/>
  <c r="M102" i="2"/>
  <c r="J102" i="2"/>
  <c r="G102" i="2"/>
  <c r="G103" i="2" s="1"/>
  <c r="D102" i="2"/>
  <c r="B102" i="2"/>
  <c r="H88" i="2"/>
  <c r="G89" i="2"/>
  <c r="D89" i="2"/>
  <c r="B89" i="2"/>
  <c r="D88" i="2"/>
  <c r="B88" i="2"/>
  <c r="B90" i="2" s="1"/>
  <c r="B92" i="2" s="1"/>
  <c r="D79" i="2"/>
  <c r="D78" i="2"/>
  <c r="B79" i="2"/>
  <c r="B78" i="2"/>
  <c r="F20" i="1"/>
  <c r="F21" i="1"/>
  <c r="F22" i="1"/>
  <c r="F19" i="1"/>
  <c r="B71" i="2"/>
  <c r="B73" i="2" s="1"/>
  <c r="G15" i="1"/>
  <c r="D63" i="2"/>
  <c r="D62" i="2"/>
  <c r="B63" i="2"/>
  <c r="B62" i="2"/>
  <c r="A41" i="2"/>
  <c r="A42" i="2" s="1"/>
  <c r="AI10" i="1"/>
  <c r="B32" i="2"/>
  <c r="B31" i="2"/>
  <c r="B284" i="2" l="1"/>
  <c r="B285" i="2"/>
  <c r="B286" i="2"/>
  <c r="D122" i="2"/>
  <c r="B103" i="2"/>
  <c r="B106" i="2" s="1"/>
  <c r="B122" i="2"/>
  <c r="B124" i="2" s="1"/>
  <c r="Y107" i="2"/>
  <c r="Y106" i="2"/>
  <c r="Y105" i="2"/>
  <c r="Y104" i="2"/>
  <c r="V107" i="2"/>
  <c r="V104" i="2"/>
  <c r="V105" i="2"/>
  <c r="V106" i="2"/>
  <c r="S107" i="2"/>
  <c r="S104" i="2"/>
  <c r="S105" i="2"/>
  <c r="S106" i="2"/>
  <c r="P103" i="2"/>
  <c r="M103" i="2"/>
  <c r="J103" i="2"/>
  <c r="J106" i="2" s="1"/>
  <c r="G104" i="2"/>
  <c r="G105" i="2"/>
  <c r="G107" i="2"/>
  <c r="G106" i="2"/>
  <c r="D103" i="2"/>
  <c r="G40" i="2"/>
  <c r="E40" i="2"/>
  <c r="E41" i="2" s="1"/>
  <c r="B33" i="2"/>
  <c r="B35" i="2" s="1"/>
  <c r="B93" i="2"/>
  <c r="D90" i="2"/>
  <c r="D92" i="2" s="1"/>
  <c r="D80" i="2"/>
  <c r="D82" i="2" s="1"/>
  <c r="B80" i="2"/>
  <c r="B83" i="2" s="1"/>
  <c r="D64" i="2"/>
  <c r="D67" i="2" s="1"/>
  <c r="B64" i="2"/>
  <c r="B67" i="2" s="1"/>
  <c r="B25" i="2"/>
  <c r="B26" i="2" s="1"/>
  <c r="B17" i="2"/>
  <c r="G5" i="2"/>
  <c r="G4" i="2"/>
  <c r="D5" i="2"/>
  <c r="D4" i="2"/>
  <c r="B5" i="2"/>
  <c r="B4" i="2"/>
  <c r="B6" i="2" s="1"/>
  <c r="B8" i="2" s="1"/>
  <c r="B10" i="2" s="1"/>
  <c r="D6" i="2" l="1"/>
  <c r="D8" i="2" s="1"/>
  <c r="D10" i="2" s="1"/>
  <c r="B19" i="2"/>
  <c r="B21" i="2" s="1"/>
  <c r="B18" i="2"/>
  <c r="B20" i="2" s="1"/>
  <c r="B105" i="2"/>
  <c r="B104" i="2"/>
  <c r="M113" i="2"/>
  <c r="D125" i="2"/>
  <c r="D124" i="2"/>
  <c r="B125" i="2"/>
  <c r="M112" i="2"/>
  <c r="B113" i="2"/>
  <c r="M111" i="2"/>
  <c r="B82" i="2"/>
  <c r="P105" i="2"/>
  <c r="P104" i="2"/>
  <c r="P107" i="2"/>
  <c r="P106" i="2"/>
  <c r="M107" i="2"/>
  <c r="M105" i="2"/>
  <c r="M104" i="2"/>
  <c r="M106" i="2"/>
  <c r="J107" i="2"/>
  <c r="J105" i="2"/>
  <c r="J104" i="2"/>
  <c r="D106" i="2"/>
  <c r="D107" i="2"/>
  <c r="D105" i="2"/>
  <c r="D104" i="2"/>
  <c r="B36" i="2"/>
  <c r="D66" i="2"/>
  <c r="D83" i="2"/>
  <c r="D93" i="2"/>
  <c r="B66" i="2"/>
  <c r="B7" i="2"/>
  <c r="B9" i="2" s="1"/>
  <c r="G6" i="2"/>
  <c r="G7" i="2" s="1"/>
  <c r="G9" i="2" s="1"/>
  <c r="D7" i="2"/>
  <c r="D9" i="2" s="1"/>
  <c r="B111" i="2" l="1"/>
  <c r="B112" i="2"/>
  <c r="M110" i="2"/>
  <c r="M109" i="2"/>
  <c r="B114" i="2"/>
  <c r="G8" i="2"/>
  <c r="G10" i="2" s="1"/>
</calcChain>
</file>

<file path=xl/sharedStrings.xml><?xml version="1.0" encoding="utf-8"?>
<sst xmlns="http://schemas.openxmlformats.org/spreadsheetml/2006/main" count="1594" uniqueCount="348">
  <si>
    <t>C Black</t>
  </si>
  <si>
    <t>Pt</t>
  </si>
  <si>
    <t>Ru</t>
  </si>
  <si>
    <t>H2SO4</t>
  </si>
  <si>
    <t>CH3OH</t>
  </si>
  <si>
    <t>Scan Rate</t>
  </si>
  <si>
    <t>Ma/mg</t>
  </si>
  <si>
    <t>Reference</t>
  </si>
  <si>
    <t>Platinum</t>
  </si>
  <si>
    <t>Nickel</t>
  </si>
  <si>
    <t>Mass of platinum</t>
  </si>
  <si>
    <t>Mass of nickel</t>
  </si>
  <si>
    <t>Total mass</t>
  </si>
  <si>
    <t>% Pt</t>
  </si>
  <si>
    <t>% Ni</t>
  </si>
  <si>
    <t>Ni</t>
  </si>
  <si>
    <t xml:space="preserve">Reference </t>
  </si>
  <si>
    <t>Total Mass</t>
  </si>
  <si>
    <t>%Pt</t>
  </si>
  <si>
    <t>% Ru</t>
  </si>
  <si>
    <t>%C</t>
  </si>
  <si>
    <t>Vulcan XC-72</t>
  </si>
  <si>
    <t>Carbon</t>
  </si>
  <si>
    <t>%Ru</t>
  </si>
  <si>
    <t>Reference No</t>
  </si>
  <si>
    <t>https://doi.org/10.1021/jp1039755</t>
  </si>
  <si>
    <t>https://doi.org/10.1016/j.jpowsour.2013.04.001</t>
  </si>
  <si>
    <t>https://doi.org/10.1039/C1JM14413H</t>
  </si>
  <si>
    <t>Mass of Pt</t>
  </si>
  <si>
    <t>Mass of Ru</t>
  </si>
  <si>
    <t xml:space="preserve">Total Mass </t>
  </si>
  <si>
    <t>Metal Loading</t>
  </si>
  <si>
    <t xml:space="preserve">% Pt </t>
  </si>
  <si>
    <t>mg</t>
  </si>
  <si>
    <t>mic L</t>
  </si>
  <si>
    <t>http://dx.doi.org/10.1016/j.ijhydene.2012.10.066</t>
  </si>
  <si>
    <t>MC</t>
  </si>
  <si>
    <t xml:space="preserve">Regerence </t>
  </si>
  <si>
    <t>https://doi.org/10.1016/j.carbon.2012.02.049</t>
  </si>
  <si>
    <t>https://doi.org/10.1021/ef901275q</t>
  </si>
  <si>
    <t>https://doi.org/10.1021/jp210266n</t>
  </si>
  <si>
    <t>CNF</t>
  </si>
  <si>
    <t xml:space="preserve">catalyst </t>
  </si>
  <si>
    <t>catalyst/micro L</t>
  </si>
  <si>
    <t>mg/micl</t>
  </si>
  <si>
    <t>Volume taken</t>
  </si>
  <si>
    <t>microl</t>
  </si>
  <si>
    <t>Total</t>
  </si>
  <si>
    <t>https://doi.org/10.1016/j.electacta.2012.10.030</t>
  </si>
  <si>
    <t>https://doi.org/10.1016/j.jcis.2011.10.040</t>
  </si>
  <si>
    <t>https://doi.org/10.1016/j.ijhydene.2011.04.119</t>
  </si>
  <si>
    <t>CNT</t>
  </si>
  <si>
    <t>https://doi.org/10.1039/C2RA21862C</t>
  </si>
  <si>
    <t>Mass of Ti</t>
  </si>
  <si>
    <t>Mass of TiO2</t>
  </si>
  <si>
    <t>Mass of carbon</t>
  </si>
  <si>
    <t>%TiO2</t>
  </si>
  <si>
    <t>TiO2</t>
  </si>
  <si>
    <t>https://doi.org/10.1016/j.jpowsour.2013.05.064</t>
  </si>
  <si>
    <t>Zn</t>
  </si>
  <si>
    <t>mass of Pt</t>
  </si>
  <si>
    <t>mass of zinc</t>
  </si>
  <si>
    <t>total mass</t>
  </si>
  <si>
    <t>% Zn</t>
  </si>
  <si>
    <t xml:space="preserve">loadinf </t>
  </si>
  <si>
    <t>https://doi.org/10.1016/j.ijhydene.2010.11.030</t>
  </si>
  <si>
    <t>https://doi.org/10.1021/jp046872v</t>
  </si>
  <si>
    <t>https://doi.org/10.1021/jp054764i</t>
  </si>
  <si>
    <t>C</t>
  </si>
  <si>
    <t>https://doi.org/10.1021/la804039w</t>
  </si>
  <si>
    <t>https://doi.org/10.1016/j.jpowsour.2009.04.058</t>
  </si>
  <si>
    <t>https://doi.org/10.1016/j.ijhydene.2012.03.050</t>
  </si>
  <si>
    <t>Co</t>
  </si>
  <si>
    <t>Mass of Co</t>
  </si>
  <si>
    <t>%Co</t>
  </si>
  <si>
    <t>https://doi.org/10.1016/j.electacta.2012.06.129</t>
  </si>
  <si>
    <t>Mo</t>
  </si>
  <si>
    <t>Ir</t>
  </si>
  <si>
    <t>H3PMo</t>
  </si>
  <si>
    <t>https://doi.org/10.1039/C2JM33808D</t>
  </si>
  <si>
    <t>Graphene</t>
  </si>
  <si>
    <t>https://doi.org/10.1016/j.elecom.2009.02.009</t>
  </si>
  <si>
    <t>https://doi.org/10.1016/j.carbon.2009.11.034</t>
  </si>
  <si>
    <t>https://doi.org/10.1016/j.electacta.2012.08.086</t>
  </si>
  <si>
    <t>https://doi.org/10.1016/j.electacta.2013.01.067</t>
  </si>
  <si>
    <t>x</t>
  </si>
  <si>
    <t>ma/cm2</t>
  </si>
  <si>
    <t>ma/mg</t>
  </si>
  <si>
    <t>ml EG</t>
  </si>
  <si>
    <t>mg H2PtCl6</t>
  </si>
  <si>
    <t>mg Pt</t>
  </si>
  <si>
    <t>%  Pt</t>
  </si>
  <si>
    <t>Electrode</t>
  </si>
  <si>
    <t>microlit</t>
  </si>
  <si>
    <t>mg of Pt</t>
  </si>
  <si>
    <t>Carbon Black</t>
  </si>
  <si>
    <t>mg RuCl3</t>
  </si>
  <si>
    <t>mg Ru</t>
  </si>
  <si>
    <t>ma/mg (Pt-Ru)</t>
  </si>
  <si>
    <t>https://doi.org/10.1016/j.carbon.2009.10.027</t>
  </si>
  <si>
    <t>https://doi.org/10.1039/C2RA00027J</t>
  </si>
  <si>
    <t>Pd</t>
  </si>
  <si>
    <t>Mass of C</t>
  </si>
  <si>
    <t>Mass of Pd</t>
  </si>
  <si>
    <t>https://doi.org/10.1016/j.electacta.2011.05.118</t>
  </si>
  <si>
    <t>HClO4</t>
  </si>
  <si>
    <t>https://doi.org/10.1021/jp3116726</t>
  </si>
  <si>
    <t>Refernce</t>
  </si>
  <si>
    <t>% Co</t>
  </si>
  <si>
    <t>%  C</t>
  </si>
  <si>
    <t>total</t>
  </si>
  <si>
    <t>https://doi.org/10.1007/s11434-012-5327-4</t>
  </si>
  <si>
    <t>https://doi.org/10.1016/j.materresbull.2012.02.025</t>
  </si>
  <si>
    <t>Fe</t>
  </si>
  <si>
    <t>https://doi.org/10.1016/j.ijhydene.2013.03.139</t>
  </si>
  <si>
    <t>https://doi.org/10.1039/C2NJ40133A</t>
  </si>
  <si>
    <t>Cu</t>
  </si>
  <si>
    <t>Mass of copper</t>
  </si>
  <si>
    <t>% Cu</t>
  </si>
  <si>
    <t>https://doi.org/10.1016/j.electacta.2013.06.012</t>
  </si>
  <si>
    <t>https://doi.org/10.1016/j.carbon.2012.07.039</t>
  </si>
  <si>
    <t>Au</t>
  </si>
  <si>
    <t>https://doi.org/10.1016/j.carbon.2010.10.055</t>
  </si>
  <si>
    <t>Mass of Cu</t>
  </si>
  <si>
    <t>%Cu</t>
  </si>
  <si>
    <t>https://doi.org/10.1016/j.cej.2012.05.011</t>
  </si>
  <si>
    <t>N</t>
  </si>
  <si>
    <t>ng</t>
  </si>
  <si>
    <t>g</t>
  </si>
  <si>
    <t>https://doi.org/10.1021/acs.iecr.1c04625</t>
  </si>
  <si>
    <t>https://doi.org/10.1039/C2TA00776B</t>
  </si>
  <si>
    <t>https://doi.org/10.1039/C2JM31973J</t>
  </si>
  <si>
    <t>https://doi.org/10.1016/j.jpowsour.2011.10.012</t>
  </si>
  <si>
    <t>https://doi.org/10.1021/am2010515</t>
  </si>
  <si>
    <t>https://doi.org/10.1039/C0CP00789G</t>
  </si>
  <si>
    <t>https://doi.org/10.1016/j.electacta.2011.11.062</t>
  </si>
  <si>
    <t>B</t>
  </si>
  <si>
    <t>B Mass</t>
  </si>
  <si>
    <t>C mass</t>
  </si>
  <si>
    <t>% B</t>
  </si>
  <si>
    <t>% C</t>
  </si>
  <si>
    <t>S</t>
  </si>
  <si>
    <t>https://doi.org/10.1016/j.ijhydene.2011.03.013</t>
  </si>
  <si>
    <t xml:space="preserve">REFERENCE </t>
  </si>
  <si>
    <t>Pt/Co</t>
  </si>
  <si>
    <t>https://doi.org/10.1016/j.jcat.2012.05.001</t>
  </si>
  <si>
    <t>CeO2</t>
  </si>
  <si>
    <t>http://dx.doi.org/10.1016/j.jpowsour.2013.04.157</t>
  </si>
  <si>
    <t>https://doi.org/10.1016/j.electacta.2013.01.149</t>
  </si>
  <si>
    <t>https://doi.org/10.1002/adma.201100040</t>
  </si>
  <si>
    <t>https://doi.org/10.1021/la101060s</t>
  </si>
  <si>
    <t>https://doi.org/10.1021/la1032898</t>
  </si>
  <si>
    <t>Pt/Mno2/cnt</t>
  </si>
  <si>
    <t>MnO2</t>
  </si>
  <si>
    <t>https://doi.org/10.1021/la900250w</t>
  </si>
  <si>
    <t>https://doi.org/10.1016/j.jpowsour.2013.03.133</t>
  </si>
  <si>
    <t>Total  Mass</t>
  </si>
  <si>
    <t xml:space="preserve">Refernce </t>
  </si>
  <si>
    <t>Density of TiCl4</t>
  </si>
  <si>
    <t>Mass of TiCl4</t>
  </si>
  <si>
    <t>Moles of TiCl4</t>
  </si>
  <si>
    <t>Mass of graphene</t>
  </si>
  <si>
    <t>Loading</t>
  </si>
  <si>
    <t>% Graphene</t>
  </si>
  <si>
    <t>% TiO2</t>
  </si>
  <si>
    <t>https://doi.org/10.1039/C1CP23367J</t>
  </si>
  <si>
    <t>https://doi.org/10.1039/C2JM32816J</t>
  </si>
  <si>
    <t>MoO3</t>
  </si>
  <si>
    <t>Mn3O4</t>
  </si>
  <si>
    <t>CuO</t>
  </si>
  <si>
    <t>%MoO3</t>
  </si>
  <si>
    <t>https://doi.org/10.1016/j.ijhydene.2011.01.122</t>
  </si>
  <si>
    <t>https://doi.org/10.1016/j.ijhydene.2012.10.009</t>
  </si>
  <si>
    <t>MEOH concentration</t>
  </si>
  <si>
    <t>Scan rate</t>
  </si>
  <si>
    <t>https://doi.org/10.1016/j.ijhydene.2012.04.153</t>
  </si>
  <si>
    <t>WO3</t>
  </si>
  <si>
    <t>https://doi.org/10.1016/j.electacta.2013.01.139</t>
  </si>
  <si>
    <t>OH</t>
  </si>
  <si>
    <t>https://doi.org/10.1039/D2NJ01497A</t>
  </si>
  <si>
    <t>272-1</t>
  </si>
  <si>
    <t>https://doi.org/10.1016/j.ijhydene.2011.03.008</t>
  </si>
  <si>
    <t>8-Pt-MoO3</t>
  </si>
  <si>
    <t>https://doi.org/10.1016/j.electacta.2016.03.054</t>
  </si>
  <si>
    <t>New Data</t>
  </si>
  <si>
    <t>Pt-Ni GRAPHENE</t>
  </si>
  <si>
    <t>%Graphene</t>
  </si>
  <si>
    <t>9-Pt-Ni-Graphene</t>
  </si>
  <si>
    <t>https://doi.org/10.1016/j.ijhydene.2015.02.095</t>
  </si>
  <si>
    <t>Pt-TiO2 GRAPHENE</t>
  </si>
  <si>
    <t>10-Pt-TiO2-Graphene</t>
  </si>
  <si>
    <t>https://doi.org/10.1016/j.ijhydene.2015.01.042</t>
  </si>
  <si>
    <t>11-Pt-N-Graphene</t>
  </si>
  <si>
    <t>https://doi.org/10.1016/j.ijhydene.2014.12.080</t>
  </si>
  <si>
    <t>3-New</t>
  </si>
  <si>
    <t>2-N-S</t>
  </si>
  <si>
    <t>O</t>
  </si>
  <si>
    <t>%O</t>
  </si>
  <si>
    <t>%N</t>
  </si>
  <si>
    <t>%S</t>
  </si>
  <si>
    <t>https://doi.org/10.1016/j.carbon.2015.02.063</t>
  </si>
  <si>
    <t>https://doi.org/10.1016/j.carbon.2015.02.064</t>
  </si>
  <si>
    <t>SnO2</t>
  </si>
  <si>
    <t>CeCUo</t>
  </si>
  <si>
    <t>13-PtCuCe-S</t>
  </si>
  <si>
    <t>CeCuO</t>
  </si>
  <si>
    <t>%CeO2</t>
  </si>
  <si>
    <t>13-PtCuCeC</t>
  </si>
  <si>
    <t>https://doi.org/10.1016/j.apsusc.2019.03.238</t>
  </si>
  <si>
    <t>14-PtTiSnC</t>
  </si>
  <si>
    <t>TISnO</t>
  </si>
  <si>
    <t>TiSnO</t>
  </si>
  <si>
    <t>%SnO2</t>
  </si>
  <si>
    <t>https://doi.org/10.1016/j.jpowsour.2015.03.155</t>
  </si>
  <si>
    <t>12-PtCeSnC</t>
  </si>
  <si>
    <t>http://dx.doi.org/10.1016/j.jpowsour.2014.04.137</t>
  </si>
  <si>
    <t>https://doi.org/10.1016/j.ijhydene.2019.09.182</t>
  </si>
  <si>
    <t>7-NMC</t>
  </si>
  <si>
    <t>https://doi.org/10.1021/acs.jpcc.6b11528</t>
  </si>
  <si>
    <t>Recent Review</t>
  </si>
  <si>
    <t>https://doi.org/10.1016/j.jcis.2019.12.020</t>
  </si>
  <si>
    <t>https://doi.org/10.1016/j.electacta.2015.09.033</t>
  </si>
  <si>
    <t>https://doi.org/10.1002/adfm.201706440</t>
  </si>
  <si>
    <t>https://doi.org/10.1039/C6TA05570B</t>
  </si>
  <si>
    <t>15-MWCNT-G</t>
  </si>
  <si>
    <t>https://doi.org/10.1039/C7TA03276E</t>
  </si>
  <si>
    <t>https://doi.org/10.1016/j.jallcom.2018.03.025</t>
  </si>
  <si>
    <t>https://doi.org/10.1039/C9CC09481D</t>
  </si>
  <si>
    <t>16-PtCuRuC</t>
  </si>
  <si>
    <t>https://doi.org/10.1021/acscatal.8b00366</t>
  </si>
  <si>
    <t>https://doi.org/10.1016/j.ijhydene.2017.10.121</t>
  </si>
  <si>
    <t>18-PtRuCoC</t>
  </si>
  <si>
    <t>A/CM2</t>
  </si>
  <si>
    <t>A/G</t>
  </si>
  <si>
    <t>g/cm2</t>
  </si>
  <si>
    <t>mg/cm2</t>
  </si>
  <si>
    <t xml:space="preserve"> 10.1149/2.1611707jes</t>
  </si>
  <si>
    <t>19-PtNiCNT</t>
  </si>
  <si>
    <t>https://doi.org/10.1016/j.jelechem.2019.113739</t>
  </si>
  <si>
    <t>https://doi.org/10.1016/j.ijhydene.2020.01.063</t>
  </si>
  <si>
    <t>20-PtCuCeCNT</t>
  </si>
  <si>
    <t>CeO2/CNT</t>
  </si>
  <si>
    <t>Cerium nitrate</t>
  </si>
  <si>
    <t>Ceria</t>
  </si>
  <si>
    <t>%CNT</t>
  </si>
  <si>
    <t>% Ceria</t>
  </si>
  <si>
    <t>PtCeO2CNT</t>
  </si>
  <si>
    <t xml:space="preserve">Ceo2 </t>
  </si>
  <si>
    <t>Pt1CU1</t>
  </si>
  <si>
    <t>Pt1Cu2.81</t>
  </si>
  <si>
    <t>PtCu8.48</t>
  </si>
  <si>
    <t>https://doi.org/10.1016/j.ijhydene.2020.01.064</t>
  </si>
  <si>
    <t>https://doi.org/10.1016/j.ijhydene.2020.01.065</t>
  </si>
  <si>
    <t>https://doi.org/10.1016/j.ijhydene.2020.01.066</t>
  </si>
  <si>
    <t>https://doi.org/10.1016/j.electacta.2019.134677</t>
  </si>
  <si>
    <t>21-PtCuCNT</t>
  </si>
  <si>
    <t>Mass activity</t>
  </si>
  <si>
    <t>22-PtRuNiCNT</t>
  </si>
  <si>
    <t>23-PtFeCNT</t>
  </si>
  <si>
    <t>PtO2+Fe2O3</t>
  </si>
  <si>
    <t>Mass of PtO2</t>
  </si>
  <si>
    <t>Mass of Iron oxide</t>
  </si>
  <si>
    <t>% PtO2</t>
  </si>
  <si>
    <t>Mass of Pt in CNT</t>
  </si>
  <si>
    <t>Mass of Fe in CNT</t>
  </si>
  <si>
    <t>% Fe</t>
  </si>
  <si>
    <t>% Fe2O3</t>
  </si>
  <si>
    <t>https://doi.org/10.1016/S2095-4956(14)60175-3</t>
  </si>
  <si>
    <t>24-PtSnO2CNT</t>
  </si>
  <si>
    <t>Mass of tin oxide</t>
  </si>
  <si>
    <t>Mass of CNT</t>
  </si>
  <si>
    <t>% SnO2</t>
  </si>
  <si>
    <t>% CNT</t>
  </si>
  <si>
    <t>Mass of SnO2 in PtSno2CNT</t>
  </si>
  <si>
    <t>Mass of CNT in PtSno2CNT</t>
  </si>
  <si>
    <t>https://doi.org/10.1016/j.jallcom.2011.02.087</t>
  </si>
  <si>
    <t>25-PtRuCeCNF</t>
  </si>
  <si>
    <t>https://doi.org/10.1016/j.jpowsour.2015.07.002</t>
  </si>
  <si>
    <t>26-PtCoMC</t>
  </si>
  <si>
    <t>Mass Pt</t>
  </si>
  <si>
    <t>Mass Co</t>
  </si>
  <si>
    <t>https://doi.org/10.1016/j.carbon.2008.09.054</t>
  </si>
  <si>
    <t>27-PtIrCNT</t>
  </si>
  <si>
    <t>Mass Ir</t>
  </si>
  <si>
    <t>% Ir</t>
  </si>
  <si>
    <t>https://doi.org/10.1016/j.ijhydene.2019.12.176</t>
  </si>
  <si>
    <t>28-PtPdGraphene</t>
  </si>
  <si>
    <t>Mass Pd</t>
  </si>
  <si>
    <t>% Pd</t>
  </si>
  <si>
    <t>https://doi.org/10.1016/j.jelechem.2016.11.034</t>
  </si>
  <si>
    <t>29-PtNICNT</t>
  </si>
  <si>
    <t>https://doi.org/10.1007/s40820-016-0096-2</t>
  </si>
  <si>
    <t>29-PtPdGraphene</t>
  </si>
  <si>
    <t>30-PtPdGraphene</t>
  </si>
  <si>
    <t>https://doi.org/10.1016/j.jpowsour.2014.03.127</t>
  </si>
  <si>
    <t>https://doi.org/10.1016/j.jpowsour.2014.03.128</t>
  </si>
  <si>
    <t>https://doi.org/10.1016/j.jpowsour.2014.03.129</t>
  </si>
  <si>
    <t>https://doi.org/10.1016/j.jpowsour.2014.03.130</t>
  </si>
  <si>
    <t>https://doi.org/10.1016/j.jpowsour.2014.03.131</t>
  </si>
  <si>
    <t>https://doi.org/10.1016/j.jpowsour.2014.03.132</t>
  </si>
  <si>
    <t>https://doi.org/10.1016/j.jpowsour.2014.03.133</t>
  </si>
  <si>
    <t>31-PtCoGraphene</t>
  </si>
  <si>
    <t>Current density</t>
  </si>
  <si>
    <t>Amount of Platinum</t>
  </si>
  <si>
    <t>https://doi.org/10.1016/j.ijhydene.2017.03.011</t>
  </si>
  <si>
    <t>32-PtRuWOC</t>
  </si>
  <si>
    <t>https://doi.org/10.1016/j.ijhydene.2014.02.147</t>
  </si>
  <si>
    <t>33-PtCuNGraphene</t>
  </si>
  <si>
    <t>https://doi.org/10.1016/j.ijhydene.2019.06.170</t>
  </si>
  <si>
    <t>CQD</t>
  </si>
  <si>
    <t>https://doi.org/10.1016/j.colsurfa.2019.02.051</t>
  </si>
  <si>
    <t>57-13</t>
  </si>
  <si>
    <t>https://doi.org/10.1016/j.jpowsour.2015.10.092</t>
  </si>
  <si>
    <t>57-15</t>
  </si>
  <si>
    <t>https://doi.org/10.1016/j.jelechem.2017.08.027</t>
  </si>
  <si>
    <t>https://doi.org/10.1016/j.surfcoat.2018.12.127</t>
  </si>
  <si>
    <t>DMFC-C data</t>
  </si>
  <si>
    <t>Graphite powder</t>
  </si>
  <si>
    <t>Carbon Black-Pt</t>
  </si>
  <si>
    <t>Graphene-Pt</t>
  </si>
  <si>
    <t>Carbon Black-Pt-Ru</t>
  </si>
  <si>
    <t>Graphene-Pt-Ru</t>
  </si>
  <si>
    <t>Amount of platinum in electrode</t>
  </si>
  <si>
    <t>Amount of Pt in Pt-Ru ELECTRODE</t>
  </si>
  <si>
    <t>SCAN RATE -x axis</t>
  </si>
  <si>
    <t>Pt-Graphite Powder</t>
  </si>
  <si>
    <t>PtRu-Graphite Powder</t>
  </si>
  <si>
    <t>SWNT</t>
  </si>
  <si>
    <t>MWNT</t>
  </si>
  <si>
    <t>CNT folder</t>
  </si>
  <si>
    <t>Electrode loading</t>
  </si>
  <si>
    <t>Mass activiry</t>
  </si>
  <si>
    <t>https://doi.org/10.1021/jp204293h</t>
  </si>
  <si>
    <t>https://doi.org/10.1016/j.ijhydene.2020.06.254</t>
  </si>
  <si>
    <t>mA/mg</t>
  </si>
  <si>
    <t>Graphite Powder</t>
  </si>
  <si>
    <t xml:space="preserve"> Carbon Quantum Dots </t>
  </si>
  <si>
    <t>Single- Walled Carbon nanotube</t>
  </si>
  <si>
    <t>Multi- Walled Carbon nanotube</t>
  </si>
  <si>
    <t>Carbon Nanofiber</t>
  </si>
  <si>
    <t>Mesoporous Carbon</t>
  </si>
  <si>
    <t>Ntirogen</t>
  </si>
  <si>
    <t>Sulphur</t>
  </si>
  <si>
    <t>Heteropolyacid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</si>
  <si>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(M)</t>
    </r>
  </si>
  <si>
    <r>
      <t>HClO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(M)</t>
    </r>
  </si>
  <si>
    <t>Methanol(M)</t>
  </si>
  <si>
    <t>Mass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</si>
</sst>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jhydene.2012.03.050" TargetMode="External"/><Relationship Id="rId2" Type="http://schemas.openxmlformats.org/officeDocument/2006/relationships/hyperlink" Target="https://doi.org/10.1016/j.ijhydene.2014.12.080" TargetMode="External"/><Relationship Id="rId1" Type="http://schemas.openxmlformats.org/officeDocument/2006/relationships/hyperlink" Target="https://doi.org/10.1016/j.ijhydene.2014.12.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1"/>
  <sheetViews>
    <sheetView tabSelected="1" topLeftCell="N1" workbookViewId="0">
      <pane ySplit="1" topLeftCell="A2" activePane="bottomLeft" state="frozen"/>
      <selection activeCell="O1" sqref="O1"/>
      <selection pane="bottomLeft" activeCell="AI8" sqref="AI8"/>
    </sheetView>
  </sheetViews>
  <sheetFormatPr defaultColWidth="9.109375" defaultRowHeight="14.4" x14ac:dyDescent="0.3"/>
  <cols>
    <col min="1" max="1" width="9.109375" style="5"/>
    <col min="2" max="2" width="12.109375" style="5" customWidth="1"/>
    <col min="3" max="34" width="9.109375" style="5"/>
    <col min="35" max="35" width="15.109375" style="5" customWidth="1"/>
    <col min="36" max="16384" width="9.109375" style="5"/>
  </cols>
  <sheetData>
    <row r="1" spans="1:34" s="3" customFormat="1" ht="72.599999999999994" x14ac:dyDescent="0.35">
      <c r="A1" s="3" t="s">
        <v>335</v>
      </c>
      <c r="B1" s="3" t="s">
        <v>80</v>
      </c>
      <c r="C1" s="3" t="s">
        <v>336</v>
      </c>
      <c r="D1" s="3" t="s">
        <v>337</v>
      </c>
      <c r="E1" s="3" t="s">
        <v>338</v>
      </c>
      <c r="F1" s="3" t="s">
        <v>339</v>
      </c>
      <c r="G1" s="3" t="s">
        <v>340</v>
      </c>
      <c r="H1" s="3" t="s">
        <v>95</v>
      </c>
      <c r="I1" s="3" t="s">
        <v>341</v>
      </c>
      <c r="J1" s="3" t="s">
        <v>342</v>
      </c>
      <c r="K1" s="3" t="s">
        <v>169</v>
      </c>
      <c r="L1" s="3" t="s">
        <v>146</v>
      </c>
      <c r="M1" s="3" t="s">
        <v>153</v>
      </c>
      <c r="N1" s="3" t="s">
        <v>167</v>
      </c>
      <c r="O1" s="3" t="s">
        <v>168</v>
      </c>
      <c r="P1" s="3" t="s">
        <v>176</v>
      </c>
      <c r="Q1" s="3" t="s">
        <v>121</v>
      </c>
      <c r="R1" s="3" t="s">
        <v>72</v>
      </c>
      <c r="S1" s="3" t="s">
        <v>116</v>
      </c>
      <c r="T1" s="3" t="s">
        <v>113</v>
      </c>
      <c r="U1" s="3" t="s">
        <v>77</v>
      </c>
      <c r="V1" s="3" t="s">
        <v>15</v>
      </c>
      <c r="W1" s="3" t="s">
        <v>101</v>
      </c>
      <c r="X1" s="3" t="s">
        <v>1</v>
      </c>
      <c r="Y1" s="3" t="s">
        <v>2</v>
      </c>
      <c r="Z1" s="3" t="s">
        <v>202</v>
      </c>
      <c r="AA1" s="3" t="s">
        <v>57</v>
      </c>
      <c r="AB1" s="3" t="s">
        <v>59</v>
      </c>
      <c r="AC1" s="3" t="s">
        <v>343</v>
      </c>
      <c r="AD1" s="3" t="s">
        <v>344</v>
      </c>
      <c r="AE1" s="3" t="s">
        <v>345</v>
      </c>
      <c r="AF1" s="3" t="s">
        <v>346</v>
      </c>
      <c r="AG1" s="3" t="s">
        <v>5</v>
      </c>
      <c r="AH1" s="3" t="s">
        <v>347</v>
      </c>
    </row>
    <row r="2" spans="1:34" x14ac:dyDescent="0.3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0.6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0.26</v>
      </c>
      <c r="Y2" s="5">
        <v>0.14000000000000001</v>
      </c>
      <c r="Z2" s="5">
        <v>0</v>
      </c>
      <c r="AA2" s="5">
        <v>0</v>
      </c>
      <c r="AB2" s="5">
        <v>0</v>
      </c>
      <c r="AC2" s="5">
        <v>0</v>
      </c>
      <c r="AD2" s="5">
        <v>0.5</v>
      </c>
      <c r="AE2" s="5">
        <v>0</v>
      </c>
      <c r="AF2" s="5">
        <v>1</v>
      </c>
      <c r="AG2" s="5">
        <v>20</v>
      </c>
      <c r="AH2" s="5">
        <v>138</v>
      </c>
    </row>
    <row r="3" spans="1:34" x14ac:dyDescent="0.3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0.57999999999999996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0.28999999999999998</v>
      </c>
      <c r="Y3" s="5">
        <v>0.13</v>
      </c>
      <c r="Z3" s="5">
        <v>0</v>
      </c>
      <c r="AA3" s="5">
        <v>0</v>
      </c>
      <c r="AB3" s="5">
        <v>0</v>
      </c>
      <c r="AC3" s="5">
        <v>0</v>
      </c>
      <c r="AD3" s="5">
        <v>0.5</v>
      </c>
      <c r="AE3" s="5">
        <v>0</v>
      </c>
      <c r="AF3" s="5">
        <v>1</v>
      </c>
      <c r="AG3" s="5">
        <v>20</v>
      </c>
      <c r="AH3" s="5">
        <v>444</v>
      </c>
    </row>
    <row r="4" spans="1:34" x14ac:dyDescent="0.3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0.56999999999999995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0.31</v>
      </c>
      <c r="Y4" s="5">
        <v>0.12</v>
      </c>
      <c r="Z4" s="5">
        <v>0</v>
      </c>
      <c r="AA4" s="5">
        <v>0</v>
      </c>
      <c r="AB4" s="5">
        <v>0</v>
      </c>
      <c r="AC4" s="5">
        <v>0</v>
      </c>
      <c r="AD4" s="5">
        <v>0.5</v>
      </c>
      <c r="AE4" s="5">
        <v>0</v>
      </c>
      <c r="AF4" s="5">
        <v>1</v>
      </c>
      <c r="AG4" s="5">
        <v>20</v>
      </c>
      <c r="AH4" s="5">
        <v>323</v>
      </c>
    </row>
    <row r="5" spans="1:34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0.85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0.15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0.5</v>
      </c>
      <c r="AE5" s="5">
        <v>0</v>
      </c>
      <c r="AF5" s="5">
        <v>1</v>
      </c>
      <c r="AG5" s="5">
        <v>20</v>
      </c>
      <c r="AH5" s="5">
        <v>575</v>
      </c>
    </row>
    <row r="6" spans="1:34" x14ac:dyDescent="0.3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0.83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0.16600000000000001</v>
      </c>
      <c r="Y6" s="5">
        <v>4.0000000000000001E-3</v>
      </c>
      <c r="Z6" s="5">
        <v>0</v>
      </c>
      <c r="AA6" s="5">
        <v>0</v>
      </c>
      <c r="AB6" s="5">
        <v>0</v>
      </c>
      <c r="AC6" s="5">
        <v>0</v>
      </c>
      <c r="AD6" s="5">
        <v>0.5</v>
      </c>
      <c r="AE6" s="5">
        <v>0</v>
      </c>
      <c r="AF6" s="5">
        <v>1</v>
      </c>
      <c r="AG6" s="5">
        <v>10</v>
      </c>
      <c r="AH6" s="5">
        <v>100</v>
      </c>
    </row>
    <row r="7" spans="1:34" x14ac:dyDescent="0.3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0.55000000000000004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0.32</v>
      </c>
      <c r="Y7" s="5">
        <v>0.13</v>
      </c>
      <c r="Z7" s="5">
        <v>0</v>
      </c>
      <c r="AA7" s="5">
        <v>0</v>
      </c>
      <c r="AB7" s="5">
        <v>0</v>
      </c>
      <c r="AC7" s="5">
        <v>0</v>
      </c>
      <c r="AD7" s="5">
        <v>0.5</v>
      </c>
      <c r="AE7" s="5">
        <v>0</v>
      </c>
      <c r="AF7" s="5">
        <v>1</v>
      </c>
      <c r="AG7" s="5">
        <v>10</v>
      </c>
      <c r="AH7" s="5">
        <v>150</v>
      </c>
    </row>
    <row r="8" spans="1:34" x14ac:dyDescent="0.3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0.55000000000000004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0.31</v>
      </c>
      <c r="Y8" s="5">
        <v>0.14000000000000001</v>
      </c>
      <c r="Z8" s="5">
        <v>0</v>
      </c>
      <c r="AA8" s="5">
        <v>0</v>
      </c>
      <c r="AB8" s="5">
        <v>0</v>
      </c>
      <c r="AC8" s="5">
        <v>0</v>
      </c>
      <c r="AD8" s="5">
        <v>0.5</v>
      </c>
      <c r="AE8" s="5">
        <v>0</v>
      </c>
      <c r="AF8" s="5">
        <v>1</v>
      </c>
      <c r="AG8" s="5">
        <v>10</v>
      </c>
      <c r="AH8" s="5">
        <v>87</v>
      </c>
    </row>
    <row r="9" spans="1:34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0.65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0.35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0.5</v>
      </c>
      <c r="AE9" s="5">
        <v>0</v>
      </c>
      <c r="AF9" s="5">
        <v>0.5</v>
      </c>
      <c r="AG9" s="5">
        <v>50</v>
      </c>
      <c r="AH9" s="5">
        <v>250</v>
      </c>
    </row>
    <row r="10" spans="1:34" x14ac:dyDescent="0.3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0.6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0.4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0.5</v>
      </c>
      <c r="AE10" s="5">
        <v>0</v>
      </c>
      <c r="AF10" s="5">
        <v>0.5</v>
      </c>
      <c r="AG10" s="5">
        <v>50</v>
      </c>
      <c r="AH10" s="5">
        <v>217</v>
      </c>
    </row>
    <row r="11" spans="1:34" x14ac:dyDescent="0.3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0.8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0.14000000000000001</v>
      </c>
      <c r="Y11" s="5">
        <v>0.06</v>
      </c>
      <c r="Z11" s="5">
        <v>0</v>
      </c>
      <c r="AA11" s="5">
        <v>0</v>
      </c>
      <c r="AB11" s="5">
        <v>0</v>
      </c>
      <c r="AC11" s="5">
        <v>0</v>
      </c>
      <c r="AD11" s="5">
        <v>0.5</v>
      </c>
      <c r="AE11" s="5">
        <v>0</v>
      </c>
      <c r="AF11" s="5">
        <v>1</v>
      </c>
      <c r="AG11" s="5">
        <v>50</v>
      </c>
      <c r="AH11" s="5">
        <v>319</v>
      </c>
    </row>
    <row r="12" spans="1:34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0.81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0.13</v>
      </c>
      <c r="Y12" s="5">
        <v>0.06</v>
      </c>
      <c r="Z12" s="5">
        <v>0</v>
      </c>
      <c r="AA12" s="5">
        <v>0</v>
      </c>
      <c r="AB12" s="5">
        <v>0</v>
      </c>
      <c r="AC12" s="5">
        <v>0</v>
      </c>
      <c r="AD12" s="5">
        <v>0.5</v>
      </c>
      <c r="AE12" s="5">
        <v>0</v>
      </c>
      <c r="AF12" s="5">
        <v>1</v>
      </c>
      <c r="AG12" s="5">
        <v>50</v>
      </c>
      <c r="AH12" s="5">
        <v>488</v>
      </c>
    </row>
    <row r="13" spans="1:34" x14ac:dyDescent="0.3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0.8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0.2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0.5</v>
      </c>
      <c r="AE13" s="5">
        <v>0</v>
      </c>
      <c r="AF13" s="5">
        <v>0.5</v>
      </c>
      <c r="AG13" s="5">
        <v>50</v>
      </c>
      <c r="AH13" s="5">
        <v>419</v>
      </c>
    </row>
    <row r="14" spans="1:34" x14ac:dyDescent="0.3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0.8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0.2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0.5</v>
      </c>
      <c r="AE14" s="5">
        <v>0</v>
      </c>
      <c r="AF14" s="5">
        <v>0.5</v>
      </c>
      <c r="AG14" s="5">
        <v>50</v>
      </c>
      <c r="AH14" s="5">
        <v>212</v>
      </c>
    </row>
    <row r="15" spans="1:34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0.87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0.13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0.5</v>
      </c>
      <c r="AE15" s="5">
        <v>0</v>
      </c>
      <c r="AF15" s="5">
        <v>0.5</v>
      </c>
      <c r="AG15" s="5">
        <v>50</v>
      </c>
      <c r="AH15" s="5">
        <v>90</v>
      </c>
    </row>
    <row r="16" spans="1:34" x14ac:dyDescent="0.3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0.51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0.49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0.5</v>
      </c>
      <c r="AE16" s="5">
        <v>0</v>
      </c>
      <c r="AF16" s="5">
        <v>0.5</v>
      </c>
      <c r="AG16" s="5">
        <v>50</v>
      </c>
      <c r="AH16" s="5">
        <v>413</v>
      </c>
    </row>
    <row r="17" spans="1:34" x14ac:dyDescent="0.3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0.38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0.62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0.5</v>
      </c>
      <c r="AE17" s="5">
        <v>0</v>
      </c>
      <c r="AF17" s="5">
        <v>0.5</v>
      </c>
      <c r="AG17" s="5">
        <v>50</v>
      </c>
      <c r="AH17" s="5">
        <v>340</v>
      </c>
    </row>
    <row r="18" spans="1:34" x14ac:dyDescent="0.3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0.13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0.87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0.5</v>
      </c>
      <c r="AE18" s="5">
        <v>0</v>
      </c>
      <c r="AF18" s="5">
        <v>0.5</v>
      </c>
      <c r="AG18" s="5">
        <v>50</v>
      </c>
      <c r="AH18" s="5">
        <v>250</v>
      </c>
    </row>
    <row r="19" spans="1:34" x14ac:dyDescent="0.3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0.6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0.26</v>
      </c>
      <c r="Y19" s="5">
        <v>0.14000000000000001</v>
      </c>
      <c r="Z19" s="5">
        <v>0</v>
      </c>
      <c r="AA19" s="5">
        <v>0</v>
      </c>
      <c r="AB19" s="5">
        <v>0</v>
      </c>
      <c r="AC19" s="5">
        <v>0</v>
      </c>
      <c r="AD19" s="5">
        <v>0.5</v>
      </c>
      <c r="AE19" s="5">
        <v>0</v>
      </c>
      <c r="AF19" s="5">
        <v>1</v>
      </c>
      <c r="AG19" s="5">
        <v>2</v>
      </c>
      <c r="AH19" s="5">
        <v>390</v>
      </c>
    </row>
    <row r="20" spans="1:34" x14ac:dyDescent="0.3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0.3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0.45</v>
      </c>
      <c r="Y20" s="5">
        <v>0.25</v>
      </c>
      <c r="Z20" s="5">
        <v>0</v>
      </c>
      <c r="AA20" s="5">
        <v>0</v>
      </c>
      <c r="AB20" s="5">
        <v>0</v>
      </c>
      <c r="AC20" s="5">
        <v>0</v>
      </c>
      <c r="AD20" s="5">
        <v>0.5</v>
      </c>
      <c r="AE20" s="5">
        <v>0</v>
      </c>
      <c r="AF20" s="5">
        <v>1</v>
      </c>
      <c r="AG20" s="5">
        <v>2</v>
      </c>
      <c r="AH20" s="5">
        <v>300</v>
      </c>
    </row>
    <row r="21" spans="1:34" x14ac:dyDescent="0.3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0.8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0.2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0.5</v>
      </c>
      <c r="AE21" s="5">
        <v>0</v>
      </c>
      <c r="AF21" s="5">
        <v>1</v>
      </c>
      <c r="AG21" s="5">
        <v>10</v>
      </c>
      <c r="AH21" s="5">
        <v>276</v>
      </c>
    </row>
    <row r="22" spans="1:34" x14ac:dyDescent="0.3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0.84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0.1</v>
      </c>
      <c r="Y22" s="5">
        <v>0.06</v>
      </c>
      <c r="Z22" s="5">
        <v>0</v>
      </c>
      <c r="AA22" s="5">
        <v>0</v>
      </c>
      <c r="AB22" s="5">
        <v>0</v>
      </c>
      <c r="AC22" s="5">
        <v>0</v>
      </c>
      <c r="AD22" s="5">
        <v>0.5</v>
      </c>
      <c r="AE22" s="5">
        <v>0</v>
      </c>
      <c r="AF22" s="5">
        <v>2</v>
      </c>
      <c r="AG22" s="5">
        <v>20</v>
      </c>
      <c r="AH22" s="5">
        <v>194.85294117647061</v>
      </c>
    </row>
    <row r="23" spans="1:34" x14ac:dyDescent="0.3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0.15</v>
      </c>
      <c r="Y23" s="5">
        <v>0.06</v>
      </c>
      <c r="Z23" s="5">
        <v>0</v>
      </c>
      <c r="AA23" s="5">
        <v>0.79</v>
      </c>
      <c r="AB23" s="5">
        <v>0</v>
      </c>
      <c r="AC23" s="5">
        <v>0</v>
      </c>
      <c r="AD23" s="5">
        <v>0.5</v>
      </c>
      <c r="AE23" s="5">
        <v>0</v>
      </c>
      <c r="AF23" s="5">
        <v>2</v>
      </c>
      <c r="AG23" s="5">
        <v>20</v>
      </c>
      <c r="AH23" s="5">
        <v>12.762295081967213</v>
      </c>
    </row>
    <row r="24" spans="1:34" x14ac:dyDescent="0.3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0.6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0.1</v>
      </c>
      <c r="Y24" s="5">
        <v>0.06</v>
      </c>
      <c r="Z24" s="5">
        <v>0</v>
      </c>
      <c r="AA24" s="5">
        <v>0.24</v>
      </c>
      <c r="AB24" s="5">
        <v>0</v>
      </c>
      <c r="AC24" s="5">
        <v>0</v>
      </c>
      <c r="AD24" s="5">
        <v>0.5</v>
      </c>
      <c r="AE24" s="5">
        <v>0</v>
      </c>
      <c r="AF24" s="5">
        <v>2</v>
      </c>
      <c r="AG24" s="5">
        <v>20</v>
      </c>
      <c r="AH24" s="5">
        <v>249.61224489795919</v>
      </c>
    </row>
    <row r="25" spans="1:34" x14ac:dyDescent="0.3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0.77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0.15</v>
      </c>
      <c r="Y25" s="5">
        <v>0.08</v>
      </c>
      <c r="Z25" s="5">
        <v>0</v>
      </c>
      <c r="AA25" s="5">
        <v>0</v>
      </c>
      <c r="AB25" s="5">
        <v>0</v>
      </c>
      <c r="AC25" s="5">
        <v>0</v>
      </c>
      <c r="AD25" s="5">
        <v>0.5</v>
      </c>
      <c r="AE25" s="5">
        <v>0</v>
      </c>
      <c r="AF25" s="5">
        <v>2</v>
      </c>
      <c r="AG25" s="5">
        <v>20</v>
      </c>
      <c r="AH25" s="5">
        <v>306.01492537313436</v>
      </c>
    </row>
    <row r="26" spans="1:34" x14ac:dyDescent="0.3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0.6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0.15</v>
      </c>
      <c r="Y26" s="5">
        <v>0.08</v>
      </c>
      <c r="Z26" s="5">
        <v>0</v>
      </c>
      <c r="AA26" s="5">
        <v>0.17</v>
      </c>
      <c r="AB26" s="5">
        <v>0</v>
      </c>
      <c r="AC26" s="5">
        <v>0</v>
      </c>
      <c r="AD26" s="5">
        <v>0.5</v>
      </c>
      <c r="AE26" s="5">
        <v>0</v>
      </c>
      <c r="AF26" s="5">
        <v>2</v>
      </c>
      <c r="AG26" s="5">
        <v>20</v>
      </c>
      <c r="AH26" s="5">
        <v>478.57246376811599</v>
      </c>
    </row>
    <row r="27" spans="1:34" x14ac:dyDescent="0.3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0.49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0.12</v>
      </c>
      <c r="Y27" s="5">
        <v>7.0000000000000007E-2</v>
      </c>
      <c r="Z27" s="5">
        <v>0</v>
      </c>
      <c r="AA27" s="5">
        <v>0.32</v>
      </c>
      <c r="AB27" s="5">
        <v>0</v>
      </c>
      <c r="AC27" s="5">
        <v>0</v>
      </c>
      <c r="AD27" s="5">
        <v>0.5</v>
      </c>
      <c r="AE27" s="5">
        <v>0</v>
      </c>
      <c r="AF27" s="5">
        <v>2</v>
      </c>
      <c r="AG27" s="5">
        <v>20</v>
      </c>
      <c r="AH27" s="5">
        <v>575.14285714285711</v>
      </c>
    </row>
    <row r="28" spans="1:34" x14ac:dyDescent="0.3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0.33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0.11</v>
      </c>
      <c r="Y28" s="5">
        <v>7.0000000000000007E-2</v>
      </c>
      <c r="Z28" s="5">
        <v>0</v>
      </c>
      <c r="AA28" s="5">
        <v>0.49</v>
      </c>
      <c r="AB28" s="5">
        <v>0</v>
      </c>
      <c r="AC28" s="5">
        <v>0</v>
      </c>
      <c r="AD28" s="5">
        <v>0.5</v>
      </c>
      <c r="AE28" s="5">
        <v>0</v>
      </c>
      <c r="AF28" s="5">
        <v>2</v>
      </c>
      <c r="AG28" s="5">
        <v>20</v>
      </c>
      <c r="AH28" s="5">
        <v>668.70588235294122</v>
      </c>
    </row>
    <row r="29" spans="1:34" x14ac:dyDescent="0.3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0.28999999999999998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0.13</v>
      </c>
      <c r="Y29" s="5">
        <v>0.08</v>
      </c>
      <c r="Z29" s="5">
        <v>0</v>
      </c>
      <c r="AA29" s="5">
        <v>0.5</v>
      </c>
      <c r="AB29" s="5">
        <v>0</v>
      </c>
      <c r="AC29" s="5">
        <v>0</v>
      </c>
      <c r="AD29" s="5">
        <v>0.5</v>
      </c>
      <c r="AE29" s="5">
        <v>0</v>
      </c>
      <c r="AF29" s="5">
        <v>2</v>
      </c>
      <c r="AG29" s="5">
        <v>20</v>
      </c>
      <c r="AH29" s="5">
        <v>812</v>
      </c>
    </row>
    <row r="30" spans="1:34" x14ac:dyDescent="0.3">
      <c r="A30" s="5">
        <v>0</v>
      </c>
      <c r="B30" s="5">
        <v>0</v>
      </c>
      <c r="C30" s="5">
        <v>0</v>
      </c>
      <c r="D30" s="5">
        <v>0</v>
      </c>
      <c r="E30" s="5">
        <v>0</v>
      </c>
      <c r="F30" s="5">
        <v>0.2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0.11</v>
      </c>
      <c r="Y30" s="5">
        <v>0.08</v>
      </c>
      <c r="Z30" s="5">
        <v>0</v>
      </c>
      <c r="AA30" s="5">
        <v>0.61</v>
      </c>
      <c r="AB30" s="5">
        <v>0</v>
      </c>
      <c r="AC30" s="5">
        <v>0</v>
      </c>
      <c r="AD30" s="5">
        <v>0.5</v>
      </c>
      <c r="AE30" s="5">
        <v>0</v>
      </c>
      <c r="AF30" s="5">
        <v>2</v>
      </c>
      <c r="AG30" s="5">
        <v>20</v>
      </c>
      <c r="AH30" s="5">
        <v>771.3364485981308</v>
      </c>
    </row>
    <row r="31" spans="1:34" x14ac:dyDescent="0.3">
      <c r="A31" s="5">
        <v>0</v>
      </c>
      <c r="B31" s="5">
        <v>0</v>
      </c>
      <c r="C31" s="5">
        <v>0</v>
      </c>
      <c r="D31" s="5">
        <v>0</v>
      </c>
      <c r="E31" s="5">
        <v>0</v>
      </c>
      <c r="F31" s="5">
        <v>0.15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0.13</v>
      </c>
      <c r="Y31" s="5">
        <v>7.0000000000000007E-2</v>
      </c>
      <c r="Z31" s="5">
        <v>0</v>
      </c>
      <c r="AA31" s="5">
        <v>0.65</v>
      </c>
      <c r="AB31" s="5">
        <v>0</v>
      </c>
      <c r="AC31" s="5">
        <v>0</v>
      </c>
      <c r="AD31" s="5">
        <v>0.5</v>
      </c>
      <c r="AE31" s="5">
        <v>0</v>
      </c>
      <c r="AF31" s="5">
        <v>2</v>
      </c>
      <c r="AG31" s="5">
        <v>20</v>
      </c>
      <c r="AH31" s="5">
        <v>314.41739130434786</v>
      </c>
    </row>
    <row r="32" spans="1:34" x14ac:dyDescent="0.3">
      <c r="A32" s="5">
        <v>0</v>
      </c>
      <c r="B32" s="5">
        <v>0</v>
      </c>
      <c r="C32" s="5">
        <v>0</v>
      </c>
      <c r="D32" s="5">
        <v>0</v>
      </c>
      <c r="E32" s="5">
        <v>0.95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0.05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0.5</v>
      </c>
      <c r="AE32" s="5">
        <v>0</v>
      </c>
      <c r="AF32" s="5">
        <v>1</v>
      </c>
      <c r="AG32" s="5">
        <v>50</v>
      </c>
      <c r="AH32" s="5">
        <v>140</v>
      </c>
    </row>
    <row r="33" spans="1:34" x14ac:dyDescent="0.3">
      <c r="A33" s="5">
        <v>0</v>
      </c>
      <c r="B33" s="5">
        <v>0</v>
      </c>
      <c r="C33" s="5">
        <v>0</v>
      </c>
      <c r="D33" s="5">
        <v>0</v>
      </c>
      <c r="E33" s="5">
        <v>0.95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3.5000000000000003E-2</v>
      </c>
      <c r="Y33" s="5">
        <v>0</v>
      </c>
      <c r="Z33" s="5">
        <v>0</v>
      </c>
      <c r="AA33" s="5">
        <v>0</v>
      </c>
      <c r="AB33" s="5">
        <v>1.4999999999999999E-2</v>
      </c>
      <c r="AC33" s="5">
        <v>0</v>
      </c>
      <c r="AD33" s="5">
        <v>0.5</v>
      </c>
      <c r="AE33" s="5">
        <v>0</v>
      </c>
      <c r="AF33" s="5">
        <v>1</v>
      </c>
      <c r="AG33" s="5">
        <v>50</v>
      </c>
      <c r="AH33" s="5">
        <v>150</v>
      </c>
    </row>
    <row r="34" spans="1:34" x14ac:dyDescent="0.3">
      <c r="A34" s="5">
        <v>0</v>
      </c>
      <c r="B34" s="5">
        <v>0</v>
      </c>
      <c r="C34" s="5">
        <v>0</v>
      </c>
      <c r="D34" s="5">
        <v>0</v>
      </c>
      <c r="E34" s="5">
        <v>0.93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5.2999999999999999E-2</v>
      </c>
      <c r="Y34" s="5">
        <v>0</v>
      </c>
      <c r="Z34" s="5">
        <v>0</v>
      </c>
      <c r="AA34" s="5">
        <v>0</v>
      </c>
      <c r="AB34" s="5">
        <v>1.7000000000000001E-2</v>
      </c>
      <c r="AC34" s="5">
        <v>0</v>
      </c>
      <c r="AD34" s="5">
        <v>0.5</v>
      </c>
      <c r="AE34" s="5">
        <v>0</v>
      </c>
      <c r="AF34" s="5">
        <v>1</v>
      </c>
      <c r="AG34" s="5">
        <v>50</v>
      </c>
      <c r="AH34" s="5">
        <v>180</v>
      </c>
    </row>
    <row r="35" spans="1:34" x14ac:dyDescent="0.3">
      <c r="A35" s="5">
        <v>0</v>
      </c>
      <c r="B35" s="5">
        <v>0</v>
      </c>
      <c r="C35" s="5">
        <v>0</v>
      </c>
      <c r="D35" s="5">
        <v>0.98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0.02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</v>
      </c>
      <c r="AE35" s="5">
        <v>0</v>
      </c>
      <c r="AF35" s="5">
        <v>1.8</v>
      </c>
      <c r="AG35" s="5">
        <v>20</v>
      </c>
      <c r="AH35" s="5">
        <v>392.85714285714283</v>
      </c>
    </row>
    <row r="36" spans="1:34" x14ac:dyDescent="0.3">
      <c r="A36" s="5">
        <v>0</v>
      </c>
      <c r="B36" s="5">
        <v>0</v>
      </c>
      <c r="C36" s="5">
        <v>0</v>
      </c>
      <c r="D36" s="5">
        <v>0.93457943925233644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6.5420560747663559E-2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1</v>
      </c>
      <c r="AE36" s="5">
        <v>0</v>
      </c>
      <c r="AF36" s="5">
        <v>1.8</v>
      </c>
      <c r="AG36" s="5">
        <v>20</v>
      </c>
      <c r="AH36" s="5">
        <v>3.5714285714285712</v>
      </c>
    </row>
    <row r="37" spans="1:34" x14ac:dyDescent="0.3">
      <c r="A37" s="5">
        <v>0</v>
      </c>
      <c r="B37" s="5">
        <v>0</v>
      </c>
      <c r="C37" s="5">
        <v>0</v>
      </c>
      <c r="D37" s="5">
        <v>0.96618357487922713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3.3816425120772951E-2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0</v>
      </c>
      <c r="AF37" s="5">
        <v>1.8</v>
      </c>
      <c r="AG37" s="5">
        <v>20</v>
      </c>
      <c r="AH37" s="5">
        <v>7.1428571428571423</v>
      </c>
    </row>
    <row r="38" spans="1:34" x14ac:dyDescent="0.3">
      <c r="A38" s="5">
        <v>0</v>
      </c>
      <c r="B38" s="5">
        <v>0</v>
      </c>
      <c r="C38" s="5">
        <v>0</v>
      </c>
      <c r="D38" s="5">
        <v>0.97719869706840401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2.2801302931596094E-2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</v>
      </c>
      <c r="AE38" s="5">
        <v>0</v>
      </c>
      <c r="AF38" s="5">
        <v>1.8</v>
      </c>
      <c r="AG38" s="5">
        <v>20</v>
      </c>
      <c r="AH38" s="5">
        <v>44.285714285714285</v>
      </c>
    </row>
    <row r="39" spans="1:34" x14ac:dyDescent="0.3">
      <c r="A39" s="5">
        <v>0</v>
      </c>
      <c r="B39" s="5">
        <v>0</v>
      </c>
      <c r="C39" s="5">
        <v>0</v>
      </c>
      <c r="D39" s="5">
        <v>0.98619329388560151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1.3806706114398423E-2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1</v>
      </c>
      <c r="AE39" s="5">
        <v>0</v>
      </c>
      <c r="AF39" s="5">
        <v>1.8</v>
      </c>
      <c r="AG39" s="5">
        <v>20</v>
      </c>
      <c r="AH39" s="5">
        <v>85.714285714285708</v>
      </c>
    </row>
    <row r="40" spans="1:34" x14ac:dyDescent="0.3">
      <c r="A40" s="5">
        <v>0</v>
      </c>
      <c r="B40" s="5">
        <v>0</v>
      </c>
      <c r="C40" s="5">
        <v>0</v>
      </c>
      <c r="D40" s="5">
        <v>0.98846787479406917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1.1532125205930808E-2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</v>
      </c>
      <c r="AE40" s="5">
        <v>0</v>
      </c>
      <c r="AF40" s="5">
        <v>1.8</v>
      </c>
      <c r="AG40" s="5">
        <v>20</v>
      </c>
      <c r="AH40" s="5">
        <v>142.85714285714283</v>
      </c>
    </row>
    <row r="41" spans="1:34" x14ac:dyDescent="0.3">
      <c r="A41" s="5">
        <v>0</v>
      </c>
      <c r="B41" s="5">
        <v>0</v>
      </c>
      <c r="C41" s="5">
        <v>0</v>
      </c>
      <c r="D41" s="5">
        <v>0.99502487562189046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4.9751243781094526E-3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</v>
      </c>
      <c r="AE41" s="5">
        <v>0</v>
      </c>
      <c r="AF41" s="5">
        <v>1.8</v>
      </c>
      <c r="AG41" s="5">
        <v>20</v>
      </c>
      <c r="AH41" s="5">
        <v>133.33333333333334</v>
      </c>
    </row>
    <row r="42" spans="1:34" x14ac:dyDescent="0.3">
      <c r="A42" s="5">
        <v>0</v>
      </c>
      <c r="B42" s="5">
        <v>0</v>
      </c>
      <c r="C42" s="5">
        <v>0</v>
      </c>
      <c r="D42" s="5">
        <v>0.98846787479406917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1.1532125205930808E-2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1</v>
      </c>
      <c r="AE42" s="5">
        <v>0</v>
      </c>
      <c r="AF42" s="5">
        <v>1.8</v>
      </c>
      <c r="AG42" s="5">
        <v>20</v>
      </c>
      <c r="AH42" s="5">
        <v>199.99999999999997</v>
      </c>
    </row>
    <row r="43" spans="1:34" x14ac:dyDescent="0.3">
      <c r="A43" s="5">
        <v>0</v>
      </c>
      <c r="B43" s="5">
        <v>0</v>
      </c>
      <c r="C43" s="5">
        <v>0</v>
      </c>
      <c r="D43" s="5">
        <v>0.98199672667757765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1.8003273322422259E-2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1</v>
      </c>
      <c r="AE43" s="5">
        <v>0</v>
      </c>
      <c r="AF43" s="5">
        <v>1.8</v>
      </c>
      <c r="AG43" s="5">
        <v>20</v>
      </c>
      <c r="AH43" s="5">
        <v>172.72727272727272</v>
      </c>
    </row>
    <row r="44" spans="1:34" x14ac:dyDescent="0.3">
      <c r="A44" s="5">
        <v>0</v>
      </c>
      <c r="B44" s="5">
        <v>0</v>
      </c>
      <c r="C44" s="5">
        <v>0</v>
      </c>
      <c r="D44" s="5">
        <v>0.69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0.2</v>
      </c>
      <c r="Y44" s="5">
        <v>0.11</v>
      </c>
      <c r="Z44" s="5">
        <v>0</v>
      </c>
      <c r="AA44" s="5">
        <v>0</v>
      </c>
      <c r="AB44" s="5">
        <v>0</v>
      </c>
      <c r="AC44" s="5">
        <v>0</v>
      </c>
      <c r="AD44" s="5">
        <v>1</v>
      </c>
      <c r="AE44" s="5">
        <v>0</v>
      </c>
      <c r="AF44" s="5">
        <v>1</v>
      </c>
      <c r="AG44" s="5">
        <v>20</v>
      </c>
      <c r="AH44" s="5">
        <v>275</v>
      </c>
    </row>
    <row r="45" spans="1:34" x14ac:dyDescent="0.3">
      <c r="A45" s="5">
        <v>0</v>
      </c>
      <c r="B45" s="5">
        <v>0</v>
      </c>
      <c r="C45" s="5">
        <v>0</v>
      </c>
      <c r="D45" s="5">
        <v>0</v>
      </c>
      <c r="E45" s="5">
        <v>0.69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0.2</v>
      </c>
      <c r="Y45" s="5">
        <v>0.11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0</v>
      </c>
      <c r="AF45" s="5">
        <v>1</v>
      </c>
      <c r="AG45" s="5">
        <v>20</v>
      </c>
      <c r="AH45" s="5">
        <v>190</v>
      </c>
    </row>
    <row r="46" spans="1:34" x14ac:dyDescent="0.3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0.69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0.2</v>
      </c>
      <c r="Y46" s="5">
        <v>0.11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0</v>
      </c>
      <c r="AF46" s="5">
        <v>1</v>
      </c>
      <c r="AG46" s="5">
        <v>50</v>
      </c>
      <c r="AH46" s="5">
        <v>110</v>
      </c>
    </row>
    <row r="47" spans="1:34" x14ac:dyDescent="0.3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0.69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0.2</v>
      </c>
      <c r="Y47" s="5">
        <v>0.11</v>
      </c>
      <c r="Z47" s="5">
        <v>0</v>
      </c>
      <c r="AA47" s="5">
        <v>0</v>
      </c>
      <c r="AB47" s="5">
        <v>0</v>
      </c>
      <c r="AC47" s="5">
        <v>0</v>
      </c>
      <c r="AD47" s="5">
        <v>1</v>
      </c>
      <c r="AE47" s="5">
        <v>0</v>
      </c>
      <c r="AF47" s="5">
        <v>1</v>
      </c>
      <c r="AG47" s="5">
        <v>50</v>
      </c>
      <c r="AH47" s="5">
        <v>55</v>
      </c>
    </row>
    <row r="48" spans="1:34" x14ac:dyDescent="0.3">
      <c r="A48" s="5">
        <v>0</v>
      </c>
      <c r="B48" s="5">
        <v>0</v>
      </c>
      <c r="C48" s="5">
        <v>0</v>
      </c>
      <c r="D48" s="5">
        <v>0</v>
      </c>
      <c r="E48" s="5">
        <v>0.95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0.02</v>
      </c>
      <c r="Y48" s="5">
        <v>0.03</v>
      </c>
      <c r="Z48" s="5">
        <v>0</v>
      </c>
      <c r="AA48" s="5">
        <v>0</v>
      </c>
      <c r="AB48" s="5">
        <v>0</v>
      </c>
      <c r="AC48" s="5">
        <v>0</v>
      </c>
      <c r="AD48" s="5">
        <v>0.5</v>
      </c>
      <c r="AE48" s="5">
        <v>0</v>
      </c>
      <c r="AF48" s="5">
        <v>1</v>
      </c>
      <c r="AG48" s="5">
        <v>50</v>
      </c>
      <c r="AH48" s="5">
        <v>40</v>
      </c>
    </row>
    <row r="49" spans="1:34" x14ac:dyDescent="0.3">
      <c r="A49" s="5">
        <v>0</v>
      </c>
      <c r="B49" s="5">
        <v>0</v>
      </c>
      <c r="C49" s="5">
        <v>0</v>
      </c>
      <c r="D49" s="5">
        <v>0</v>
      </c>
      <c r="E49" s="5">
        <v>0.87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0.13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0</v>
      </c>
      <c r="AF49" s="5">
        <v>0.5</v>
      </c>
      <c r="AG49" s="5">
        <v>100</v>
      </c>
      <c r="AH49" s="5">
        <v>120</v>
      </c>
    </row>
    <row r="50" spans="1:34" x14ac:dyDescent="0.3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0.92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0.08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0.5</v>
      </c>
      <c r="AG50" s="5">
        <v>100</v>
      </c>
      <c r="AH50" s="5">
        <v>100</v>
      </c>
    </row>
    <row r="51" spans="1:34" x14ac:dyDescent="0.3">
      <c r="A51" s="5">
        <v>0</v>
      </c>
      <c r="B51" s="5">
        <v>0</v>
      </c>
      <c r="C51" s="5">
        <v>0</v>
      </c>
      <c r="D51" s="5">
        <v>0</v>
      </c>
      <c r="E51" s="5">
        <v>0.5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0.5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0</v>
      </c>
      <c r="AF51" s="5">
        <v>2</v>
      </c>
      <c r="AG51" s="5">
        <v>20</v>
      </c>
      <c r="AH51" s="5">
        <v>162</v>
      </c>
    </row>
    <row r="52" spans="1:34" x14ac:dyDescent="0.3">
      <c r="A52" s="5">
        <v>0</v>
      </c>
      <c r="B52" s="5">
        <v>0</v>
      </c>
      <c r="C52" s="5">
        <v>0</v>
      </c>
      <c r="D52" s="5">
        <v>0</v>
      </c>
      <c r="E52" s="5">
        <v>0.6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0.4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  <c r="AF52" s="5">
        <v>2</v>
      </c>
      <c r="AG52" s="5">
        <v>20</v>
      </c>
      <c r="AH52" s="5">
        <v>218</v>
      </c>
    </row>
    <row r="53" spans="1:34" x14ac:dyDescent="0.3">
      <c r="A53" s="5">
        <v>0</v>
      </c>
      <c r="B53" s="5">
        <v>0</v>
      </c>
      <c r="C53" s="5">
        <v>0</v>
      </c>
      <c r="D53" s="5">
        <v>0</v>
      </c>
      <c r="E53" s="5">
        <v>0.75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0.25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1</v>
      </c>
      <c r="AE53" s="5">
        <v>0</v>
      </c>
      <c r="AF53" s="5">
        <v>2</v>
      </c>
      <c r="AG53" s="5">
        <v>20</v>
      </c>
      <c r="AH53" s="5">
        <v>279</v>
      </c>
    </row>
    <row r="54" spans="1:34" x14ac:dyDescent="0.3">
      <c r="A54" s="5">
        <v>0</v>
      </c>
      <c r="B54" s="5">
        <v>0</v>
      </c>
      <c r="C54" s="5">
        <v>0</v>
      </c>
      <c r="D54" s="5">
        <v>0</v>
      </c>
      <c r="E54" s="5">
        <v>0.86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0.14000000000000001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0</v>
      </c>
      <c r="AF54" s="5">
        <v>2</v>
      </c>
      <c r="AG54" s="5">
        <v>20</v>
      </c>
      <c r="AH54" s="5">
        <v>360</v>
      </c>
    </row>
    <row r="55" spans="1:34" x14ac:dyDescent="0.3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0.91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0.09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0.5</v>
      </c>
      <c r="AE55" s="5">
        <v>0</v>
      </c>
      <c r="AF55" s="5">
        <v>0.5</v>
      </c>
      <c r="AG55" s="5">
        <v>50</v>
      </c>
      <c r="AH55" s="5">
        <v>81.632653061224488</v>
      </c>
    </row>
    <row r="56" spans="1:34" x14ac:dyDescent="0.3">
      <c r="A56" s="5">
        <v>0</v>
      </c>
      <c r="B56" s="5">
        <v>0</v>
      </c>
      <c r="C56" s="5">
        <v>0</v>
      </c>
      <c r="D56" s="5">
        <v>0</v>
      </c>
      <c r="E56" s="5">
        <v>0.91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0.09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0.5</v>
      </c>
      <c r="AE56" s="5">
        <v>0</v>
      </c>
      <c r="AF56" s="5">
        <v>0.5</v>
      </c>
      <c r="AG56" s="5">
        <v>50</v>
      </c>
      <c r="AH56" s="5">
        <v>117.34693877551021</v>
      </c>
    </row>
    <row r="57" spans="1:34" x14ac:dyDescent="0.3">
      <c r="A57" s="5">
        <v>0</v>
      </c>
      <c r="B57" s="5">
        <v>0</v>
      </c>
      <c r="C57" s="5">
        <v>0</v>
      </c>
      <c r="D57" s="5">
        <v>0</v>
      </c>
      <c r="E57" s="5">
        <v>0.8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0.2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0.5</v>
      </c>
      <c r="AE57" s="5">
        <v>0</v>
      </c>
      <c r="AF57" s="5">
        <v>0.5</v>
      </c>
      <c r="AG57" s="5">
        <v>50</v>
      </c>
      <c r="AH57" s="5">
        <v>876.47058823529414</v>
      </c>
    </row>
    <row r="58" spans="1:34" x14ac:dyDescent="0.3">
      <c r="A58" s="5">
        <v>0</v>
      </c>
      <c r="B58" s="5">
        <v>0</v>
      </c>
      <c r="C58" s="5">
        <v>0</v>
      </c>
      <c r="D58" s="5">
        <v>0</v>
      </c>
      <c r="E58" s="5">
        <v>0.6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0.4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0.5</v>
      </c>
      <c r="AE58" s="5">
        <v>0</v>
      </c>
      <c r="AF58" s="5">
        <v>0.5</v>
      </c>
      <c r="AG58" s="5">
        <v>50</v>
      </c>
      <c r="AH58" s="5">
        <v>555.55555555555554</v>
      </c>
    </row>
    <row r="59" spans="1:34" x14ac:dyDescent="0.3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0.57999999999999996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0.42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0.5</v>
      </c>
      <c r="AE59" s="5">
        <v>0</v>
      </c>
      <c r="AF59" s="5">
        <v>0.5</v>
      </c>
      <c r="AG59" s="5">
        <v>50</v>
      </c>
      <c r="AH59" s="5">
        <v>433.33333333333337</v>
      </c>
    </row>
    <row r="60" spans="1:34" x14ac:dyDescent="0.3">
      <c r="A60" s="5">
        <v>0</v>
      </c>
      <c r="B60" s="5">
        <v>0</v>
      </c>
      <c r="C60" s="5">
        <v>0</v>
      </c>
      <c r="D60" s="5">
        <v>0</v>
      </c>
      <c r="E60" s="5">
        <v>0.4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0.6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0.5</v>
      </c>
      <c r="AE60" s="5">
        <v>0</v>
      </c>
      <c r="AF60" s="5">
        <v>0.5</v>
      </c>
      <c r="AG60" s="5">
        <v>50</v>
      </c>
      <c r="AH60" s="5">
        <v>249.09090909090912</v>
      </c>
    </row>
    <row r="61" spans="1:34" x14ac:dyDescent="0.3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0.37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0.41</v>
      </c>
      <c r="Y61" s="5">
        <v>0.22</v>
      </c>
      <c r="Z61" s="5">
        <v>0</v>
      </c>
      <c r="AA61" s="5">
        <v>0</v>
      </c>
      <c r="AB61" s="5">
        <v>0</v>
      </c>
      <c r="AC61" s="5">
        <v>0</v>
      </c>
      <c r="AD61" s="5">
        <v>0.5</v>
      </c>
      <c r="AE61" s="5">
        <v>0</v>
      </c>
      <c r="AF61" s="5">
        <v>0.5</v>
      </c>
      <c r="AG61" s="5">
        <v>50</v>
      </c>
      <c r="AH61" s="5">
        <v>241.37931034482759</v>
      </c>
    </row>
    <row r="62" spans="1:34" x14ac:dyDescent="0.3">
      <c r="A62" s="5">
        <v>0</v>
      </c>
      <c r="B62" s="5">
        <v>0</v>
      </c>
      <c r="C62" s="5">
        <v>0</v>
      </c>
      <c r="D62" s="5">
        <v>0</v>
      </c>
      <c r="E62" s="5">
        <v>0.6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0.2</v>
      </c>
      <c r="Y62" s="5">
        <v>0.2</v>
      </c>
      <c r="Z62" s="5">
        <v>0</v>
      </c>
      <c r="AA62" s="5">
        <v>0</v>
      </c>
      <c r="AB62" s="5">
        <v>0</v>
      </c>
      <c r="AC62" s="5">
        <v>0</v>
      </c>
      <c r="AD62" s="5">
        <v>0.5</v>
      </c>
      <c r="AE62" s="5">
        <v>0</v>
      </c>
      <c r="AF62" s="5">
        <v>0.5</v>
      </c>
      <c r="AG62" s="5">
        <v>50</v>
      </c>
      <c r="AH62" s="5">
        <v>585.71428571428567</v>
      </c>
    </row>
    <row r="63" spans="1:34" x14ac:dyDescent="0.3">
      <c r="A63" s="5">
        <v>0</v>
      </c>
      <c r="B63" s="5">
        <v>0</v>
      </c>
      <c r="C63" s="5">
        <v>0</v>
      </c>
      <c r="D63" s="5">
        <v>0</v>
      </c>
      <c r="E63" s="5">
        <v>0.4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0.33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0.27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</v>
      </c>
      <c r="AE63" s="5">
        <v>0</v>
      </c>
      <c r="AF63" s="5">
        <v>2</v>
      </c>
      <c r="AG63" s="5">
        <v>20</v>
      </c>
      <c r="AH63" s="5">
        <v>118</v>
      </c>
    </row>
    <row r="64" spans="1:34" x14ac:dyDescent="0.3">
      <c r="A64" s="5">
        <v>0</v>
      </c>
      <c r="B64" s="5">
        <v>0</v>
      </c>
      <c r="C64" s="5">
        <v>0</v>
      </c>
      <c r="D64" s="5">
        <v>0</v>
      </c>
      <c r="E64" s="5">
        <v>0.4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0.22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0.38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2</v>
      </c>
      <c r="AG64" s="5">
        <v>20</v>
      </c>
      <c r="AH64" s="5">
        <v>162</v>
      </c>
    </row>
    <row r="65" spans="1:34" x14ac:dyDescent="0.3">
      <c r="A65" s="5">
        <v>0</v>
      </c>
      <c r="B65" s="5">
        <v>0</v>
      </c>
      <c r="C65" s="5">
        <v>0</v>
      </c>
      <c r="D65" s="5">
        <v>0</v>
      </c>
      <c r="E65" s="5">
        <v>0.4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0.14000000000000001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0.46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</v>
      </c>
      <c r="AE65" s="5">
        <v>0</v>
      </c>
      <c r="AF65" s="5">
        <v>2</v>
      </c>
      <c r="AG65" s="5">
        <v>20</v>
      </c>
      <c r="AH65" s="5">
        <v>428</v>
      </c>
    </row>
    <row r="66" spans="1:34" x14ac:dyDescent="0.3">
      <c r="A66" s="5">
        <v>0</v>
      </c>
      <c r="B66" s="5">
        <v>0</v>
      </c>
      <c r="C66" s="5">
        <v>0</v>
      </c>
      <c r="D66" s="5">
        <v>0</v>
      </c>
      <c r="E66" s="5">
        <v>0.4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0.08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0.52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1</v>
      </c>
      <c r="AE66" s="5">
        <v>0</v>
      </c>
      <c r="AF66" s="5">
        <v>2</v>
      </c>
      <c r="AG66" s="5">
        <v>20</v>
      </c>
      <c r="AH66" s="5">
        <v>337</v>
      </c>
    </row>
    <row r="67" spans="1:34" x14ac:dyDescent="0.3">
      <c r="A67" s="5">
        <v>0</v>
      </c>
      <c r="B67" s="5">
        <v>0</v>
      </c>
      <c r="C67" s="5">
        <v>0</v>
      </c>
      <c r="D67" s="5">
        <v>0</v>
      </c>
      <c r="E67" s="5">
        <v>0.4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0.6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1</v>
      </c>
      <c r="AE67" s="5">
        <v>0</v>
      </c>
      <c r="AF67" s="5">
        <v>2</v>
      </c>
      <c r="AG67" s="5">
        <v>20</v>
      </c>
      <c r="AH67" s="5">
        <v>146</v>
      </c>
    </row>
    <row r="68" spans="1:34" x14ac:dyDescent="0.3">
      <c r="A68" s="5">
        <v>0</v>
      </c>
      <c r="B68" s="5">
        <v>0</v>
      </c>
      <c r="C68" s="5">
        <v>0</v>
      </c>
      <c r="D68" s="5">
        <v>0</v>
      </c>
      <c r="E68" s="5">
        <v>0.79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0.09</v>
      </c>
      <c r="V68" s="5">
        <v>0</v>
      </c>
      <c r="W68" s="5">
        <v>0</v>
      </c>
      <c r="X68" s="5">
        <v>0.09</v>
      </c>
      <c r="Y68" s="5">
        <v>0</v>
      </c>
      <c r="Z68" s="5">
        <v>0</v>
      </c>
      <c r="AA68" s="5">
        <v>0</v>
      </c>
      <c r="AB68" s="5">
        <v>0</v>
      </c>
      <c r="AC68" s="5">
        <v>0.03</v>
      </c>
      <c r="AD68" s="5">
        <v>0.5</v>
      </c>
      <c r="AE68" s="5">
        <v>0</v>
      </c>
      <c r="AF68" s="5">
        <v>0.5</v>
      </c>
      <c r="AG68" s="5">
        <v>50</v>
      </c>
      <c r="AH68" s="5">
        <v>92</v>
      </c>
    </row>
    <row r="69" spans="1:34" x14ac:dyDescent="0.3">
      <c r="A69" s="5">
        <v>0</v>
      </c>
      <c r="B69" s="5">
        <v>0</v>
      </c>
      <c r="C69" s="5">
        <v>0</v>
      </c>
      <c r="D69" s="5">
        <v>0</v>
      </c>
      <c r="E69" s="5">
        <v>0.75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0.06</v>
      </c>
      <c r="V69" s="5">
        <v>0</v>
      </c>
      <c r="W69" s="5">
        <v>0</v>
      </c>
      <c r="X69" s="5">
        <v>0.12</v>
      </c>
      <c r="Y69" s="5">
        <v>0</v>
      </c>
      <c r="Z69" s="5">
        <v>0</v>
      </c>
      <c r="AA69" s="5">
        <v>0</v>
      </c>
      <c r="AB69" s="5">
        <v>0</v>
      </c>
      <c r="AC69" s="5">
        <v>7.0000000000000007E-2</v>
      </c>
      <c r="AD69" s="5">
        <v>0.5</v>
      </c>
      <c r="AE69" s="5">
        <v>0</v>
      </c>
      <c r="AF69" s="5">
        <v>0.5</v>
      </c>
      <c r="AG69" s="5">
        <v>50</v>
      </c>
      <c r="AH69" s="5">
        <v>138</v>
      </c>
    </row>
    <row r="70" spans="1:34" x14ac:dyDescent="0.3">
      <c r="A70" s="5">
        <v>0</v>
      </c>
      <c r="B70" s="5">
        <v>0</v>
      </c>
      <c r="C70" s="5">
        <v>0</v>
      </c>
      <c r="D70" s="5">
        <v>0</v>
      </c>
      <c r="E70" s="5">
        <v>0.72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0.04</v>
      </c>
      <c r="V70" s="5">
        <v>0</v>
      </c>
      <c r="W70" s="5">
        <v>0</v>
      </c>
      <c r="X70" s="5">
        <v>0.15</v>
      </c>
      <c r="Y70" s="5">
        <v>0</v>
      </c>
      <c r="Z70" s="5">
        <v>0</v>
      </c>
      <c r="AA70" s="5">
        <v>0</v>
      </c>
      <c r="AB70" s="5">
        <v>0</v>
      </c>
      <c r="AC70" s="5">
        <v>0.09</v>
      </c>
      <c r="AD70" s="5">
        <v>0.5</v>
      </c>
      <c r="AE70" s="5">
        <v>0</v>
      </c>
      <c r="AF70" s="5">
        <v>0.5</v>
      </c>
      <c r="AG70" s="5">
        <v>50</v>
      </c>
      <c r="AH70" s="5">
        <v>311</v>
      </c>
    </row>
    <row r="71" spans="1:34" x14ac:dyDescent="0.3">
      <c r="A71" s="5">
        <v>0</v>
      </c>
      <c r="B71" s="5">
        <v>0</v>
      </c>
      <c r="C71" s="5">
        <v>0</v>
      </c>
      <c r="D71" s="5">
        <v>0</v>
      </c>
      <c r="E71" s="5">
        <v>0.74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0.02</v>
      </c>
      <c r="V71" s="5">
        <v>0</v>
      </c>
      <c r="W71" s="5">
        <v>0</v>
      </c>
      <c r="X71" s="5">
        <v>0.16</v>
      </c>
      <c r="Y71" s="5">
        <v>0</v>
      </c>
      <c r="Z71" s="5">
        <v>0</v>
      </c>
      <c r="AA71" s="5">
        <v>0</v>
      </c>
      <c r="AB71" s="5">
        <v>0</v>
      </c>
      <c r="AC71" s="5">
        <v>0.08</v>
      </c>
      <c r="AD71" s="5">
        <v>0.5</v>
      </c>
      <c r="AE71" s="5">
        <v>0</v>
      </c>
      <c r="AF71" s="5">
        <v>0.5</v>
      </c>
      <c r="AG71" s="5">
        <v>50</v>
      </c>
      <c r="AH71" s="5">
        <v>183</v>
      </c>
    </row>
    <row r="72" spans="1:34" x14ac:dyDescent="0.3">
      <c r="A72" s="5">
        <v>0</v>
      </c>
      <c r="B72" s="5">
        <v>0</v>
      </c>
      <c r="C72" s="5">
        <v>0</v>
      </c>
      <c r="D72" s="5">
        <v>0</v>
      </c>
      <c r="E72" s="5">
        <v>0.73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0.18</v>
      </c>
      <c r="Y72" s="5">
        <v>0</v>
      </c>
      <c r="Z72" s="5">
        <v>0</v>
      </c>
      <c r="AA72" s="5">
        <v>0</v>
      </c>
      <c r="AB72" s="5">
        <v>0</v>
      </c>
      <c r="AC72" s="5">
        <v>0.09</v>
      </c>
      <c r="AD72" s="5">
        <v>0.5</v>
      </c>
      <c r="AE72" s="5">
        <v>0</v>
      </c>
      <c r="AF72" s="5">
        <v>0.5</v>
      </c>
      <c r="AG72" s="5">
        <v>50</v>
      </c>
      <c r="AH72" s="5">
        <v>121</v>
      </c>
    </row>
    <row r="73" spans="1:34" x14ac:dyDescent="0.3">
      <c r="A73" s="5">
        <v>0</v>
      </c>
      <c r="B73" s="5">
        <v>0</v>
      </c>
      <c r="C73" s="5">
        <v>0</v>
      </c>
      <c r="D73" s="5">
        <v>0</v>
      </c>
      <c r="E73" s="5">
        <v>0.81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0.04</v>
      </c>
      <c r="V73" s="5">
        <v>0</v>
      </c>
      <c r="W73" s="5">
        <v>0</v>
      </c>
      <c r="X73" s="5">
        <v>0.15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0.5</v>
      </c>
      <c r="AE73" s="5">
        <v>0</v>
      </c>
      <c r="AF73" s="5">
        <v>0.5</v>
      </c>
      <c r="AG73" s="5">
        <v>50</v>
      </c>
      <c r="AH73" s="5">
        <v>109</v>
      </c>
    </row>
    <row r="74" spans="1:34" x14ac:dyDescent="0.3">
      <c r="A74" s="5">
        <v>0</v>
      </c>
      <c r="B74" s="5">
        <v>0.55000000000000004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0.45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0.5</v>
      </c>
      <c r="AE74" s="5">
        <v>0</v>
      </c>
      <c r="AF74" s="5">
        <v>0.5</v>
      </c>
      <c r="AG74" s="5">
        <v>50</v>
      </c>
      <c r="AH74" s="5">
        <v>200</v>
      </c>
    </row>
    <row r="75" spans="1:34" x14ac:dyDescent="0.3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0.55000000000000004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0.45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0.5</v>
      </c>
      <c r="AE75" s="5">
        <v>0</v>
      </c>
      <c r="AF75" s="5">
        <v>0.5</v>
      </c>
      <c r="AG75" s="5">
        <v>50</v>
      </c>
      <c r="AH75" s="5">
        <v>101</v>
      </c>
    </row>
    <row r="76" spans="1:34" x14ac:dyDescent="0.3">
      <c r="A76" s="5">
        <v>0</v>
      </c>
      <c r="B76" s="5">
        <v>0.9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0.1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0.5</v>
      </c>
      <c r="AE76" s="5">
        <v>0</v>
      </c>
      <c r="AF76" s="5">
        <v>1</v>
      </c>
      <c r="AG76" s="5">
        <v>50</v>
      </c>
      <c r="AH76" s="5">
        <v>434.00000000000006</v>
      </c>
    </row>
    <row r="77" spans="1:34" x14ac:dyDescent="0.3">
      <c r="A77" s="5">
        <v>0</v>
      </c>
      <c r="B77" s="5">
        <v>0</v>
      </c>
      <c r="C77" s="5">
        <v>0</v>
      </c>
      <c r="D77" s="5">
        <v>0</v>
      </c>
      <c r="E77" s="5">
        <v>0.9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0.1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0.5</v>
      </c>
      <c r="AE77" s="5">
        <v>0</v>
      </c>
      <c r="AF77" s="5">
        <v>1</v>
      </c>
      <c r="AG77" s="5">
        <v>50</v>
      </c>
      <c r="AH77" s="5">
        <v>308</v>
      </c>
    </row>
    <row r="78" spans="1:34" x14ac:dyDescent="0.3">
      <c r="A78" s="5">
        <v>0</v>
      </c>
      <c r="B78" s="5">
        <v>0.54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0.46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0.5</v>
      </c>
      <c r="AE78" s="5">
        <v>0</v>
      </c>
      <c r="AF78" s="5">
        <v>0.5</v>
      </c>
      <c r="AG78" s="5">
        <v>50</v>
      </c>
      <c r="AH78" s="5">
        <v>182</v>
      </c>
    </row>
    <row r="79" spans="1:34" x14ac:dyDescent="0.3">
      <c r="A79" s="5">
        <v>0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0.79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0.21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0.5</v>
      </c>
      <c r="AE79" s="5">
        <v>0</v>
      </c>
      <c r="AF79" s="5">
        <v>0.5</v>
      </c>
      <c r="AG79" s="5">
        <v>50</v>
      </c>
      <c r="AH79" s="5">
        <v>122</v>
      </c>
    </row>
    <row r="80" spans="1:34" x14ac:dyDescent="0.3">
      <c r="A80" s="5">
        <v>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0.88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0.12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0.5</v>
      </c>
      <c r="AE80" s="5">
        <v>0</v>
      </c>
      <c r="AF80" s="5">
        <v>0.5</v>
      </c>
      <c r="AG80" s="5">
        <v>50</v>
      </c>
      <c r="AH80" s="5">
        <v>57</v>
      </c>
    </row>
    <row r="81" spans="1:34" x14ac:dyDescent="0.3">
      <c r="A81" s="5">
        <v>0</v>
      </c>
      <c r="B81" s="5">
        <v>0.95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0.05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0.05</v>
      </c>
      <c r="AE81" s="5">
        <v>0</v>
      </c>
      <c r="AF81" s="5">
        <v>1</v>
      </c>
      <c r="AG81" s="5">
        <v>5</v>
      </c>
      <c r="AH81" s="5">
        <v>12.600000000000003</v>
      </c>
    </row>
    <row r="82" spans="1:34" x14ac:dyDescent="0.3">
      <c r="A82" s="5">
        <v>0</v>
      </c>
      <c r="B82" s="5">
        <v>0.98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0.02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0.05</v>
      </c>
      <c r="AE82" s="5">
        <v>0</v>
      </c>
      <c r="AF82" s="5">
        <v>1</v>
      </c>
      <c r="AG82" s="5">
        <v>5</v>
      </c>
      <c r="AH82" s="5">
        <v>10.5</v>
      </c>
    </row>
    <row r="83" spans="1:34" x14ac:dyDescent="0.3">
      <c r="A83" s="5">
        <v>0</v>
      </c>
      <c r="B83" s="5">
        <v>0.8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0.2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0.05</v>
      </c>
      <c r="AE83" s="5">
        <v>0</v>
      </c>
      <c r="AF83" s="5">
        <v>1</v>
      </c>
      <c r="AG83" s="5">
        <v>5</v>
      </c>
      <c r="AH83" s="5">
        <v>5.6000000000000005</v>
      </c>
    </row>
    <row r="84" spans="1:34" x14ac:dyDescent="0.3">
      <c r="A84" s="5">
        <v>0</v>
      </c>
      <c r="B84" s="5">
        <v>0.95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0.05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1</v>
      </c>
      <c r="AE84" s="5">
        <v>0</v>
      </c>
      <c r="AF84" s="5">
        <v>0.5</v>
      </c>
      <c r="AG84" s="5">
        <v>10.240000000000002</v>
      </c>
      <c r="AH84" s="5">
        <v>132.75862068965517</v>
      </c>
    </row>
    <row r="85" spans="1:34" x14ac:dyDescent="0.3">
      <c r="A85" s="5">
        <v>0</v>
      </c>
      <c r="B85" s="5">
        <v>0.95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0.05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0.5</v>
      </c>
      <c r="AG85" s="5">
        <v>19.951111111111111</v>
      </c>
      <c r="AH85" s="5">
        <v>168.96551724137933</v>
      </c>
    </row>
    <row r="86" spans="1:34" x14ac:dyDescent="0.3">
      <c r="A86" s="5">
        <v>0</v>
      </c>
      <c r="B86" s="5">
        <v>0.95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0.05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1</v>
      </c>
      <c r="AE86" s="5">
        <v>0</v>
      </c>
      <c r="AF86" s="5">
        <v>0.5</v>
      </c>
      <c r="AG86" s="5">
        <v>40.111111111111107</v>
      </c>
      <c r="AH86" s="5">
        <v>217.24137931034488</v>
      </c>
    </row>
    <row r="87" spans="1:34" x14ac:dyDescent="0.3">
      <c r="A87" s="5">
        <v>0</v>
      </c>
      <c r="B87" s="5">
        <v>0.95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0.05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1</v>
      </c>
      <c r="AE87" s="5">
        <v>0</v>
      </c>
      <c r="AF87" s="5">
        <v>0.5</v>
      </c>
      <c r="AG87" s="5">
        <v>49.937777777777775</v>
      </c>
      <c r="AH87" s="5">
        <v>229.31034482758625</v>
      </c>
    </row>
    <row r="88" spans="1:34" x14ac:dyDescent="0.3">
      <c r="A88" s="5">
        <v>0</v>
      </c>
      <c r="B88" s="5">
        <v>0.95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0.05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1</v>
      </c>
      <c r="AE88" s="5">
        <v>0</v>
      </c>
      <c r="AF88" s="5">
        <v>0.5</v>
      </c>
      <c r="AG88" s="5">
        <v>59.804444444444442</v>
      </c>
      <c r="AH88" s="5">
        <v>253.44827586206901</v>
      </c>
    </row>
    <row r="89" spans="1:34" x14ac:dyDescent="0.3">
      <c r="A89" s="5">
        <v>0</v>
      </c>
      <c r="B89" s="5">
        <v>0.95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0.05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</v>
      </c>
      <c r="AE89" s="5">
        <v>0</v>
      </c>
      <c r="AF89" s="5">
        <v>0.5</v>
      </c>
      <c r="AG89" s="5">
        <v>80.401111111111106</v>
      </c>
      <c r="AH89" s="5">
        <v>289.65517241379314</v>
      </c>
    </row>
    <row r="90" spans="1:34" x14ac:dyDescent="0.3">
      <c r="A90" s="5">
        <v>0</v>
      </c>
      <c r="B90" s="5">
        <v>0.95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0.05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5">
        <v>0</v>
      </c>
      <c r="AF90" s="5">
        <v>0.5</v>
      </c>
      <c r="AG90" s="5">
        <v>100</v>
      </c>
      <c r="AH90" s="5">
        <v>325.86206896551727</v>
      </c>
    </row>
    <row r="91" spans="1:34" x14ac:dyDescent="0.3">
      <c r="A91" s="5">
        <v>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0.95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0.05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1</v>
      </c>
      <c r="AE91" s="5">
        <v>0</v>
      </c>
      <c r="AF91" s="5">
        <v>0.5</v>
      </c>
      <c r="AG91" s="5">
        <v>10.240000000000002</v>
      </c>
      <c r="AH91" s="5">
        <v>78.448275862068982</v>
      </c>
    </row>
    <row r="92" spans="1:34" x14ac:dyDescent="0.3">
      <c r="A92" s="5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0.95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0.05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</v>
      </c>
      <c r="AE92" s="5">
        <v>0</v>
      </c>
      <c r="AF92" s="5">
        <v>0.5</v>
      </c>
      <c r="AG92" s="5">
        <v>19.951111111111111</v>
      </c>
      <c r="AH92" s="5">
        <v>102.58620689655174</v>
      </c>
    </row>
    <row r="93" spans="1:34" x14ac:dyDescent="0.3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0.95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0.05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0.5</v>
      </c>
      <c r="AG93" s="5">
        <v>40.111111111111107</v>
      </c>
      <c r="AH93" s="5">
        <v>132.75862068965517</v>
      </c>
    </row>
    <row r="94" spans="1:34" x14ac:dyDescent="0.3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0.95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0.05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1</v>
      </c>
      <c r="AE94" s="5">
        <v>0</v>
      </c>
      <c r="AF94" s="5">
        <v>0.5</v>
      </c>
      <c r="AG94" s="5">
        <v>49.937777777777775</v>
      </c>
      <c r="AH94" s="5">
        <v>120.68965517241381</v>
      </c>
    </row>
    <row r="95" spans="1:34" x14ac:dyDescent="0.3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0.95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0.05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1</v>
      </c>
      <c r="AE95" s="5">
        <v>0</v>
      </c>
      <c r="AF95" s="5">
        <v>0.5</v>
      </c>
      <c r="AG95" s="5">
        <v>59.804444444444442</v>
      </c>
      <c r="AH95" s="5">
        <v>144.82758620689657</v>
      </c>
    </row>
    <row r="96" spans="1:34" x14ac:dyDescent="0.3">
      <c r="A96" s="5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0.95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0.05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  <c r="AE96" s="5">
        <v>0</v>
      </c>
      <c r="AF96" s="5">
        <v>0.5</v>
      </c>
      <c r="AG96" s="5">
        <v>80.401111111111106</v>
      </c>
      <c r="AH96" s="5">
        <v>156.89655172413796</v>
      </c>
    </row>
    <row r="97" spans="1:34" x14ac:dyDescent="0.3">
      <c r="A97" s="5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0.95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0.05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1</v>
      </c>
      <c r="AE97" s="5">
        <v>0</v>
      </c>
      <c r="AF97" s="5">
        <v>0.5</v>
      </c>
      <c r="AG97" s="5">
        <v>100</v>
      </c>
      <c r="AH97" s="5">
        <v>175.00000000000003</v>
      </c>
    </row>
    <row r="98" spans="1:34" x14ac:dyDescent="0.3">
      <c r="A98" s="5">
        <v>0</v>
      </c>
      <c r="B98" s="5">
        <v>0.9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0.05</v>
      </c>
      <c r="Y98" s="5">
        <v>0.05</v>
      </c>
      <c r="Z98" s="5">
        <v>0</v>
      </c>
      <c r="AA98" s="5">
        <v>0</v>
      </c>
      <c r="AB98" s="5">
        <v>0</v>
      </c>
      <c r="AC98" s="5">
        <v>0</v>
      </c>
      <c r="AD98" s="5">
        <v>1</v>
      </c>
      <c r="AE98" s="5">
        <v>0</v>
      </c>
      <c r="AF98" s="5">
        <v>0.5</v>
      </c>
      <c r="AG98" s="5">
        <v>10.240000000000002</v>
      </c>
      <c r="AH98" s="5">
        <v>114.54545454545458</v>
      </c>
    </row>
    <row r="99" spans="1:34" x14ac:dyDescent="0.3">
      <c r="A99" s="5">
        <v>0</v>
      </c>
      <c r="B99" s="5">
        <v>0.9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0.05</v>
      </c>
      <c r="Y99" s="5">
        <v>0.05</v>
      </c>
      <c r="Z99" s="5">
        <v>0</v>
      </c>
      <c r="AA99" s="5">
        <v>0</v>
      </c>
      <c r="AB99" s="5">
        <v>0</v>
      </c>
      <c r="AC99" s="5">
        <v>0</v>
      </c>
      <c r="AD99" s="5">
        <v>1</v>
      </c>
      <c r="AE99" s="5">
        <v>0</v>
      </c>
      <c r="AF99" s="5">
        <v>0.5</v>
      </c>
      <c r="AG99" s="5">
        <v>19.951111111111111</v>
      </c>
      <c r="AH99" s="5">
        <v>152.72727272727275</v>
      </c>
    </row>
    <row r="100" spans="1:34" x14ac:dyDescent="0.3">
      <c r="A100" s="5">
        <v>0</v>
      </c>
      <c r="B100" s="5">
        <v>0.9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0.05</v>
      </c>
      <c r="Y100" s="5">
        <v>0.05</v>
      </c>
      <c r="Z100" s="5">
        <v>0</v>
      </c>
      <c r="AA100" s="5">
        <v>0</v>
      </c>
      <c r="AB100" s="5">
        <v>0</v>
      </c>
      <c r="AC100" s="5">
        <v>0</v>
      </c>
      <c r="AD100" s="5">
        <v>1</v>
      </c>
      <c r="AE100" s="5">
        <v>0</v>
      </c>
      <c r="AF100" s="5">
        <v>0.5</v>
      </c>
      <c r="AG100" s="5">
        <v>40.111111111111107</v>
      </c>
      <c r="AH100" s="5">
        <v>210.00000000000003</v>
      </c>
    </row>
    <row r="101" spans="1:34" x14ac:dyDescent="0.3">
      <c r="A101" s="5">
        <v>0</v>
      </c>
      <c r="B101" s="5">
        <v>0.9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0.05</v>
      </c>
      <c r="Y101" s="5">
        <v>0.05</v>
      </c>
      <c r="Z101" s="5">
        <v>0</v>
      </c>
      <c r="AA101" s="5">
        <v>0</v>
      </c>
      <c r="AB101" s="5">
        <v>0</v>
      </c>
      <c r="AC101" s="5">
        <v>0</v>
      </c>
      <c r="AD101" s="5">
        <v>1</v>
      </c>
      <c r="AE101" s="5">
        <v>0</v>
      </c>
      <c r="AF101" s="5">
        <v>0.5</v>
      </c>
      <c r="AG101" s="5">
        <v>49.937777777777775</v>
      </c>
      <c r="AH101" s="5">
        <v>210.00000000000003</v>
      </c>
    </row>
    <row r="102" spans="1:34" x14ac:dyDescent="0.3">
      <c r="A102" s="5">
        <v>0</v>
      </c>
      <c r="B102" s="5">
        <v>0.9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0.05</v>
      </c>
      <c r="Y102" s="5">
        <v>0.05</v>
      </c>
      <c r="Z102" s="5">
        <v>0</v>
      </c>
      <c r="AA102" s="5">
        <v>0</v>
      </c>
      <c r="AB102" s="5">
        <v>0</v>
      </c>
      <c r="AC102" s="5">
        <v>0</v>
      </c>
      <c r="AD102" s="5">
        <v>1</v>
      </c>
      <c r="AE102" s="5">
        <v>0</v>
      </c>
      <c r="AF102" s="5">
        <v>0.5</v>
      </c>
      <c r="AG102" s="5">
        <v>59.804444444444442</v>
      </c>
      <c r="AH102" s="5">
        <v>254.54545454545459</v>
      </c>
    </row>
    <row r="103" spans="1:34" x14ac:dyDescent="0.3">
      <c r="A103" s="5">
        <v>0</v>
      </c>
      <c r="B103" s="5">
        <v>0.9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0.05</v>
      </c>
      <c r="Y103" s="5">
        <v>0.05</v>
      </c>
      <c r="Z103" s="5">
        <v>0</v>
      </c>
      <c r="AA103" s="5">
        <v>0</v>
      </c>
      <c r="AB103" s="5">
        <v>0</v>
      </c>
      <c r="AC103" s="5">
        <v>0</v>
      </c>
      <c r="AD103" s="5">
        <v>1</v>
      </c>
      <c r="AE103" s="5">
        <v>0</v>
      </c>
      <c r="AF103" s="5">
        <v>0.5</v>
      </c>
      <c r="AG103" s="5">
        <v>80.401111111111106</v>
      </c>
      <c r="AH103" s="5">
        <v>292.72727272727275</v>
      </c>
    </row>
    <row r="104" spans="1:34" x14ac:dyDescent="0.3">
      <c r="A104" s="5">
        <v>0</v>
      </c>
      <c r="B104" s="5">
        <v>0.9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0.05</v>
      </c>
      <c r="Y104" s="5">
        <v>0.05</v>
      </c>
      <c r="Z104" s="5">
        <v>0</v>
      </c>
      <c r="AA104" s="5">
        <v>0</v>
      </c>
      <c r="AB104" s="5">
        <v>0</v>
      </c>
      <c r="AC104" s="5">
        <v>0</v>
      </c>
      <c r="AD104" s="5">
        <v>1</v>
      </c>
      <c r="AE104" s="5">
        <v>0</v>
      </c>
      <c r="AF104" s="5">
        <v>0.5</v>
      </c>
      <c r="AG104" s="5">
        <v>100</v>
      </c>
      <c r="AH104" s="5">
        <v>330.90909090909099</v>
      </c>
    </row>
    <row r="105" spans="1:34" x14ac:dyDescent="0.3">
      <c r="A105" s="5">
        <v>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0.9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0.05</v>
      </c>
      <c r="Y105" s="5">
        <v>0.05</v>
      </c>
      <c r="Z105" s="5">
        <v>0</v>
      </c>
      <c r="AA105" s="5">
        <v>0</v>
      </c>
      <c r="AB105" s="5">
        <v>0</v>
      </c>
      <c r="AC105" s="5">
        <v>0</v>
      </c>
      <c r="AD105" s="5">
        <v>1</v>
      </c>
      <c r="AE105" s="5">
        <v>0</v>
      </c>
      <c r="AF105" s="5">
        <v>0.5</v>
      </c>
      <c r="AG105" s="5">
        <v>10.240000000000002</v>
      </c>
      <c r="AH105" s="5">
        <v>38.181818181818201</v>
      </c>
    </row>
    <row r="106" spans="1:34" x14ac:dyDescent="0.3">
      <c r="A106" s="5">
        <v>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0.9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0.05</v>
      </c>
      <c r="Y106" s="5">
        <v>0.05</v>
      </c>
      <c r="Z106" s="5">
        <v>0</v>
      </c>
      <c r="AA106" s="5">
        <v>0</v>
      </c>
      <c r="AB106" s="5">
        <v>0</v>
      </c>
      <c r="AC106" s="5">
        <v>0</v>
      </c>
      <c r="AD106" s="5">
        <v>1</v>
      </c>
      <c r="AE106" s="5">
        <v>0</v>
      </c>
      <c r="AF106" s="5">
        <v>0.5</v>
      </c>
      <c r="AG106" s="5">
        <v>19.951111111111111</v>
      </c>
      <c r="AH106" s="5">
        <v>49.63636363636364</v>
      </c>
    </row>
    <row r="107" spans="1:34" x14ac:dyDescent="0.3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0.9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0.05</v>
      </c>
      <c r="Y107" s="5">
        <v>0.05</v>
      </c>
      <c r="Z107" s="5">
        <v>0</v>
      </c>
      <c r="AA107" s="5">
        <v>0</v>
      </c>
      <c r="AB107" s="5">
        <v>0</v>
      </c>
      <c r="AC107" s="5">
        <v>0</v>
      </c>
      <c r="AD107" s="5">
        <v>1</v>
      </c>
      <c r="AE107" s="5">
        <v>0</v>
      </c>
      <c r="AF107" s="5">
        <v>0.5</v>
      </c>
      <c r="AG107" s="5">
        <v>40.111111111111107</v>
      </c>
      <c r="AH107" s="5">
        <v>63.636363636363647</v>
      </c>
    </row>
    <row r="108" spans="1:34" x14ac:dyDescent="0.3">
      <c r="A108" s="5">
        <v>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0.9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0.05</v>
      </c>
      <c r="Y108" s="5">
        <v>0.05</v>
      </c>
      <c r="Z108" s="5">
        <v>0</v>
      </c>
      <c r="AA108" s="5">
        <v>0</v>
      </c>
      <c r="AB108" s="5">
        <v>0</v>
      </c>
      <c r="AC108" s="5">
        <v>0</v>
      </c>
      <c r="AD108" s="5">
        <v>1</v>
      </c>
      <c r="AE108" s="5">
        <v>0</v>
      </c>
      <c r="AF108" s="5">
        <v>0.5</v>
      </c>
      <c r="AG108" s="5">
        <v>49.937777777777775</v>
      </c>
      <c r="AH108" s="5">
        <v>70</v>
      </c>
    </row>
    <row r="109" spans="1:34" x14ac:dyDescent="0.3">
      <c r="A109" s="5">
        <v>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0.9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0.05</v>
      </c>
      <c r="Y109" s="5">
        <v>0.05</v>
      </c>
      <c r="Z109" s="5">
        <v>0</v>
      </c>
      <c r="AA109" s="5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0.5</v>
      </c>
      <c r="AG109" s="5">
        <v>59.804444444444442</v>
      </c>
      <c r="AH109" s="5">
        <v>70</v>
      </c>
    </row>
    <row r="110" spans="1:34" x14ac:dyDescent="0.3">
      <c r="A110" s="5">
        <v>0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0.9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0.05</v>
      </c>
      <c r="Y110" s="5">
        <v>0.05</v>
      </c>
      <c r="Z110" s="5">
        <v>0</v>
      </c>
      <c r="AA110" s="5">
        <v>0</v>
      </c>
      <c r="AB110" s="5">
        <v>0</v>
      </c>
      <c r="AC110" s="5">
        <v>0</v>
      </c>
      <c r="AD110" s="5">
        <v>1</v>
      </c>
      <c r="AE110" s="5">
        <v>0</v>
      </c>
      <c r="AF110" s="5">
        <v>0.5</v>
      </c>
      <c r="AG110" s="5">
        <v>80.401111111111106</v>
      </c>
      <c r="AH110" s="5">
        <v>76.363636363636374</v>
      </c>
    </row>
    <row r="111" spans="1:34" x14ac:dyDescent="0.3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0.9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0.05</v>
      </c>
      <c r="Y111" s="5">
        <v>0.05</v>
      </c>
      <c r="Z111" s="5">
        <v>0</v>
      </c>
      <c r="AA111" s="5">
        <v>0</v>
      </c>
      <c r="AB111" s="5">
        <v>0</v>
      </c>
      <c r="AC111" s="5">
        <v>0</v>
      </c>
      <c r="AD111" s="5">
        <v>1</v>
      </c>
      <c r="AE111" s="5">
        <v>0</v>
      </c>
      <c r="AF111" s="5">
        <v>0.5</v>
      </c>
      <c r="AG111" s="5">
        <v>100</v>
      </c>
      <c r="AH111" s="5">
        <v>89.090909090909108</v>
      </c>
    </row>
    <row r="112" spans="1:34" x14ac:dyDescent="0.3">
      <c r="A112" s="5">
        <v>0.95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0.05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1</v>
      </c>
      <c r="AE112" s="5">
        <v>0</v>
      </c>
      <c r="AF112" s="5">
        <v>0.5</v>
      </c>
      <c r="AG112" s="5">
        <v>10.240000000000002</v>
      </c>
      <c r="AH112" s="5">
        <v>49.482758620689651</v>
      </c>
    </row>
    <row r="113" spans="1:34" x14ac:dyDescent="0.3">
      <c r="A113" s="5">
        <v>0.95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0.05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1</v>
      </c>
      <c r="AE113" s="5">
        <v>0</v>
      </c>
      <c r="AF113" s="5">
        <v>0.5</v>
      </c>
      <c r="AG113" s="5">
        <v>19.951111111111111</v>
      </c>
      <c r="AH113" s="5">
        <v>66.379310344827587</v>
      </c>
    </row>
    <row r="114" spans="1:34" x14ac:dyDescent="0.3">
      <c r="A114" s="5">
        <v>0.95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0.05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1</v>
      </c>
      <c r="AE114" s="5">
        <v>0</v>
      </c>
      <c r="AF114" s="5">
        <v>0.5</v>
      </c>
      <c r="AG114" s="5">
        <v>40.111111111111107</v>
      </c>
      <c r="AH114" s="5">
        <v>82.068965517241395</v>
      </c>
    </row>
    <row r="115" spans="1:34" x14ac:dyDescent="0.3">
      <c r="A115" s="5">
        <v>0.95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0.05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1</v>
      </c>
      <c r="AE115" s="5">
        <v>0</v>
      </c>
      <c r="AF115" s="5">
        <v>0.5</v>
      </c>
      <c r="AG115" s="5">
        <v>49.937777777777775</v>
      </c>
      <c r="AH115" s="5">
        <v>74.827586206896569</v>
      </c>
    </row>
    <row r="116" spans="1:34" x14ac:dyDescent="0.3">
      <c r="A116" s="5">
        <v>0.95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0.05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0.5</v>
      </c>
      <c r="AG116" s="5">
        <v>59.804444444444442</v>
      </c>
      <c r="AH116" s="5">
        <v>90.517241379310349</v>
      </c>
    </row>
    <row r="117" spans="1:34" x14ac:dyDescent="0.3">
      <c r="A117" s="5">
        <v>0.95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0.05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1</v>
      </c>
      <c r="AE117" s="5">
        <v>0</v>
      </c>
      <c r="AF117" s="5">
        <v>0.5</v>
      </c>
      <c r="AG117" s="5">
        <v>80.401111111111106</v>
      </c>
      <c r="AH117" s="5">
        <v>96.551724137931046</v>
      </c>
    </row>
    <row r="118" spans="1:34" x14ac:dyDescent="0.3">
      <c r="A118" s="5">
        <v>0.95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0.05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1</v>
      </c>
      <c r="AE118" s="5">
        <v>0</v>
      </c>
      <c r="AF118" s="5">
        <v>0.5</v>
      </c>
      <c r="AG118" s="5">
        <v>100</v>
      </c>
      <c r="AH118" s="5">
        <v>107.4137931034483</v>
      </c>
    </row>
    <row r="119" spans="1:34" x14ac:dyDescent="0.3">
      <c r="A119" s="5">
        <v>0.9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0.05</v>
      </c>
      <c r="Y119" s="5">
        <v>0.05</v>
      </c>
      <c r="Z119" s="5">
        <v>0</v>
      </c>
      <c r="AA119" s="5">
        <v>0</v>
      </c>
      <c r="AB119" s="5">
        <v>0</v>
      </c>
      <c r="AC119" s="5">
        <v>0</v>
      </c>
      <c r="AD119" s="5">
        <v>1</v>
      </c>
      <c r="AE119" s="5">
        <v>0</v>
      </c>
      <c r="AF119" s="5">
        <v>0.5</v>
      </c>
      <c r="AG119" s="5">
        <v>10.240000000000002</v>
      </c>
      <c r="AH119" s="5">
        <v>20.363636363636367</v>
      </c>
    </row>
    <row r="120" spans="1:34" x14ac:dyDescent="0.3">
      <c r="A120" s="5">
        <v>0.9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0.05</v>
      </c>
      <c r="Y120" s="5">
        <v>0.05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0.5</v>
      </c>
      <c r="AG120" s="5">
        <v>19.951111111111111</v>
      </c>
      <c r="AH120" s="5">
        <v>25.454545454545457</v>
      </c>
    </row>
    <row r="121" spans="1:34" x14ac:dyDescent="0.3">
      <c r="A121" s="5">
        <v>0.9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0.05</v>
      </c>
      <c r="Y121" s="5">
        <v>0.05</v>
      </c>
      <c r="Z121" s="5">
        <v>0</v>
      </c>
      <c r="AA121" s="5">
        <v>0</v>
      </c>
      <c r="AB121" s="5">
        <v>0</v>
      </c>
      <c r="AC121" s="5">
        <v>0</v>
      </c>
      <c r="AD121" s="5">
        <v>1</v>
      </c>
      <c r="AE121" s="5">
        <v>0</v>
      </c>
      <c r="AF121" s="5">
        <v>0.5</v>
      </c>
      <c r="AG121" s="5">
        <v>40.111111111111107</v>
      </c>
      <c r="AH121" s="5">
        <v>26.727272727272734</v>
      </c>
    </row>
    <row r="122" spans="1:34" x14ac:dyDescent="0.3">
      <c r="A122" s="5">
        <v>0.9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0.05</v>
      </c>
      <c r="Y122" s="5">
        <v>0.05</v>
      </c>
      <c r="Z122" s="5">
        <v>0</v>
      </c>
      <c r="AA122" s="5">
        <v>0</v>
      </c>
      <c r="AB122" s="5">
        <v>0</v>
      </c>
      <c r="AC122" s="5">
        <v>0</v>
      </c>
      <c r="AD122" s="5">
        <v>1</v>
      </c>
      <c r="AE122" s="5">
        <v>0</v>
      </c>
      <c r="AF122" s="5">
        <v>0.5</v>
      </c>
      <c r="AG122" s="5">
        <v>49.937777777777775</v>
      </c>
      <c r="AH122" s="5">
        <v>28.000000000000007</v>
      </c>
    </row>
    <row r="123" spans="1:34" x14ac:dyDescent="0.3">
      <c r="A123" s="5">
        <v>0.9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0.05</v>
      </c>
      <c r="Y123" s="5">
        <v>0.05</v>
      </c>
      <c r="Z123" s="5">
        <v>0</v>
      </c>
      <c r="AA123" s="5">
        <v>0</v>
      </c>
      <c r="AB123" s="5">
        <v>0</v>
      </c>
      <c r="AC123" s="5">
        <v>0</v>
      </c>
      <c r="AD123" s="5">
        <v>1</v>
      </c>
      <c r="AE123" s="5">
        <v>0</v>
      </c>
      <c r="AF123" s="5">
        <v>0.5</v>
      </c>
      <c r="AG123" s="5">
        <v>59.804444444444442</v>
      </c>
      <c r="AH123" s="5">
        <v>28.000000000000007</v>
      </c>
    </row>
    <row r="124" spans="1:34" x14ac:dyDescent="0.3">
      <c r="A124" s="5">
        <v>0.9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0.05</v>
      </c>
      <c r="Y124" s="5">
        <v>0.05</v>
      </c>
      <c r="Z124" s="5">
        <v>0</v>
      </c>
      <c r="AA124" s="5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0.5</v>
      </c>
      <c r="AG124" s="5">
        <v>80.401111111111106</v>
      </c>
      <c r="AH124" s="5">
        <v>34.363636363636374</v>
      </c>
    </row>
    <row r="125" spans="1:34" x14ac:dyDescent="0.3">
      <c r="A125" s="5">
        <v>0.9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0.05</v>
      </c>
      <c r="Y125" s="5">
        <v>0.05</v>
      </c>
      <c r="Z125" s="5">
        <v>0</v>
      </c>
      <c r="AA125" s="5">
        <v>0</v>
      </c>
      <c r="AB125" s="5">
        <v>0</v>
      </c>
      <c r="AC125" s="5">
        <v>0</v>
      </c>
      <c r="AD125" s="5">
        <v>1</v>
      </c>
      <c r="AE125" s="5">
        <v>0</v>
      </c>
      <c r="AF125" s="5">
        <v>0.5</v>
      </c>
      <c r="AG125" s="5">
        <v>100</v>
      </c>
      <c r="AH125" s="5">
        <v>38.181818181818187</v>
      </c>
    </row>
    <row r="126" spans="1:34" x14ac:dyDescent="0.3">
      <c r="A126" s="5">
        <v>0</v>
      </c>
      <c r="B126" s="5">
        <v>0.7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0.2</v>
      </c>
      <c r="Y126" s="5">
        <v>0.1</v>
      </c>
      <c r="Z126" s="5">
        <v>0</v>
      </c>
      <c r="AA126" s="5">
        <v>0</v>
      </c>
      <c r="AB126" s="5">
        <v>0</v>
      </c>
      <c r="AC126" s="5">
        <v>0</v>
      </c>
      <c r="AD126" s="5">
        <v>0.5</v>
      </c>
      <c r="AE126" s="5">
        <v>0</v>
      </c>
      <c r="AF126" s="5">
        <v>1</v>
      </c>
      <c r="AG126" s="5">
        <v>50</v>
      </c>
      <c r="AH126" s="5">
        <v>206</v>
      </c>
    </row>
    <row r="127" spans="1:34" x14ac:dyDescent="0.3">
      <c r="A127" s="5">
        <v>0</v>
      </c>
      <c r="B127" s="5">
        <v>0.14000000000000001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0.13</v>
      </c>
      <c r="X127" s="5">
        <v>0.73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0.5</v>
      </c>
      <c r="AE127" s="5">
        <v>0</v>
      </c>
      <c r="AF127" s="5">
        <v>0.5</v>
      </c>
      <c r="AG127" s="5">
        <v>50</v>
      </c>
      <c r="AH127" s="5">
        <v>394</v>
      </c>
    </row>
    <row r="128" spans="1:34" x14ac:dyDescent="0.3">
      <c r="A128" s="5">
        <v>0</v>
      </c>
      <c r="B128" s="5">
        <v>0.24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0.17</v>
      </c>
      <c r="X128" s="5">
        <v>0.59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0.1</v>
      </c>
      <c r="AF128" s="5">
        <v>1</v>
      </c>
      <c r="AG128" s="5">
        <v>50</v>
      </c>
      <c r="AH128" s="5">
        <v>260</v>
      </c>
    </row>
    <row r="129" spans="1:34" x14ac:dyDescent="0.3">
      <c r="A129" s="5">
        <v>0</v>
      </c>
      <c r="B129" s="5">
        <v>0.68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0.05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0.27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1</v>
      </c>
      <c r="AE129" s="5">
        <v>0</v>
      </c>
      <c r="AF129" s="5">
        <v>2</v>
      </c>
      <c r="AG129" s="5">
        <v>20</v>
      </c>
      <c r="AH129" s="5">
        <v>241</v>
      </c>
    </row>
    <row r="130" spans="1:34" x14ac:dyDescent="0.3">
      <c r="A130" s="5">
        <v>0</v>
      </c>
      <c r="B130" s="5">
        <v>0</v>
      </c>
      <c r="C130" s="5">
        <v>0</v>
      </c>
      <c r="D130" s="5">
        <v>0</v>
      </c>
      <c r="E130" s="5">
        <v>0.68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0.05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0.27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1</v>
      </c>
      <c r="AE130" s="5">
        <v>0</v>
      </c>
      <c r="AF130" s="5">
        <v>2</v>
      </c>
      <c r="AG130" s="5">
        <v>20</v>
      </c>
      <c r="AH130" s="5">
        <v>132</v>
      </c>
    </row>
    <row r="131" spans="1:34" x14ac:dyDescent="0.3">
      <c r="A131" s="5">
        <v>0</v>
      </c>
      <c r="B131" s="5">
        <v>0.31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0.16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0.53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0.1</v>
      </c>
      <c r="AE131" s="5">
        <v>0</v>
      </c>
      <c r="AF131" s="5">
        <v>1</v>
      </c>
      <c r="AG131" s="5">
        <v>25</v>
      </c>
      <c r="AH131" s="5">
        <v>14.901960784313724</v>
      </c>
    </row>
    <row r="132" spans="1:34" x14ac:dyDescent="0.3">
      <c r="A132" s="5">
        <v>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0.31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0.16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0.53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0.1</v>
      </c>
      <c r="AE132" s="5">
        <v>0</v>
      </c>
      <c r="AF132" s="5">
        <v>1</v>
      </c>
      <c r="AG132" s="5">
        <v>25</v>
      </c>
      <c r="AH132" s="5">
        <v>14.901960784313724</v>
      </c>
    </row>
    <row r="133" spans="1:34" x14ac:dyDescent="0.3">
      <c r="A133" s="5">
        <v>0</v>
      </c>
      <c r="B133" s="5">
        <v>0.37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0.63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0.1</v>
      </c>
      <c r="AE133" s="5">
        <v>0</v>
      </c>
      <c r="AF133" s="5">
        <v>1</v>
      </c>
      <c r="AG133" s="5">
        <v>25</v>
      </c>
      <c r="AH133" s="5">
        <v>7.450980392156862</v>
      </c>
    </row>
    <row r="134" spans="1:34" x14ac:dyDescent="0.3">
      <c r="A134" s="5">
        <v>0</v>
      </c>
      <c r="B134" s="5">
        <v>0.69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0.06</v>
      </c>
      <c r="U134" s="5">
        <v>0</v>
      </c>
      <c r="V134" s="5">
        <v>0</v>
      </c>
      <c r="W134" s="5">
        <v>0</v>
      </c>
      <c r="X134" s="5">
        <v>0.25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0.5</v>
      </c>
      <c r="AE134" s="5">
        <v>0</v>
      </c>
      <c r="AF134" s="5">
        <v>1</v>
      </c>
      <c r="AG134" s="5">
        <v>50</v>
      </c>
      <c r="AH134" s="5">
        <v>675.74000000000012</v>
      </c>
    </row>
    <row r="135" spans="1:34" x14ac:dyDescent="0.3">
      <c r="A135" s="5">
        <v>0</v>
      </c>
      <c r="B135" s="5">
        <v>0.65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0.08</v>
      </c>
      <c r="U135" s="5">
        <v>0</v>
      </c>
      <c r="V135" s="5">
        <v>0</v>
      </c>
      <c r="W135" s="5">
        <v>0</v>
      </c>
      <c r="X135" s="5">
        <v>0.27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0.5</v>
      </c>
      <c r="AE135" s="5">
        <v>0</v>
      </c>
      <c r="AF135" s="5">
        <v>1</v>
      </c>
      <c r="AG135" s="5">
        <v>50</v>
      </c>
      <c r="AH135" s="5">
        <v>69</v>
      </c>
    </row>
    <row r="136" spans="1:34" x14ac:dyDescent="0.3">
      <c r="A136" s="5">
        <v>0</v>
      </c>
      <c r="B136" s="5">
        <v>0.85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0.02</v>
      </c>
      <c r="T136" s="5">
        <v>0</v>
      </c>
      <c r="U136" s="5">
        <v>0</v>
      </c>
      <c r="V136" s="5">
        <v>0</v>
      </c>
      <c r="W136" s="5">
        <v>0</v>
      </c>
      <c r="X136" s="5">
        <v>0.13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0.5</v>
      </c>
      <c r="AE136" s="5">
        <v>0</v>
      </c>
      <c r="AF136" s="5">
        <v>0.5</v>
      </c>
      <c r="AG136" s="5">
        <v>20</v>
      </c>
      <c r="AH136" s="5">
        <v>1100</v>
      </c>
    </row>
    <row r="137" spans="1:34" x14ac:dyDescent="0.3">
      <c r="A137" s="5">
        <v>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0.85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0.02</v>
      </c>
      <c r="T137" s="5">
        <v>0</v>
      </c>
      <c r="U137" s="5">
        <v>0</v>
      </c>
      <c r="V137" s="5">
        <v>0</v>
      </c>
      <c r="W137" s="5">
        <v>0</v>
      </c>
      <c r="X137" s="5">
        <v>0.13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0.5</v>
      </c>
      <c r="AE137" s="5">
        <v>0</v>
      </c>
      <c r="AF137" s="5">
        <v>0.5</v>
      </c>
      <c r="AG137" s="5">
        <v>20</v>
      </c>
      <c r="AH137" s="5">
        <v>600</v>
      </c>
    </row>
    <row r="138" spans="1:34" x14ac:dyDescent="0.3">
      <c r="A138" s="5">
        <v>0</v>
      </c>
      <c r="B138" s="5">
        <v>0.98699999999999999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0.01</v>
      </c>
      <c r="Y138" s="5">
        <v>0</v>
      </c>
      <c r="Z138" s="5">
        <v>3.0000000000000001E-3</v>
      </c>
      <c r="AA138" s="5">
        <v>0</v>
      </c>
      <c r="AB138" s="5">
        <v>0</v>
      </c>
      <c r="AC138" s="5">
        <v>0</v>
      </c>
      <c r="AD138" s="5">
        <v>0.5</v>
      </c>
      <c r="AE138" s="5">
        <v>0</v>
      </c>
      <c r="AF138" s="5">
        <v>0.5</v>
      </c>
      <c r="AG138" s="5">
        <v>50</v>
      </c>
      <c r="AH138" s="5">
        <v>1537.2</v>
      </c>
    </row>
    <row r="139" spans="1:34" x14ac:dyDescent="0.3">
      <c r="A139" s="5">
        <v>0</v>
      </c>
      <c r="B139" s="5">
        <v>0.99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0.01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0.5</v>
      </c>
      <c r="AE139" s="5">
        <v>0</v>
      </c>
      <c r="AF139" s="5">
        <v>0.5</v>
      </c>
      <c r="AG139" s="5">
        <v>50</v>
      </c>
      <c r="AH139" s="5">
        <v>1512.9333333333336</v>
      </c>
    </row>
    <row r="140" spans="1:34" x14ac:dyDescent="0.3">
      <c r="A140" s="5">
        <v>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0.99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0.01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0.5</v>
      </c>
      <c r="AE140" s="5">
        <v>0</v>
      </c>
      <c r="AF140" s="5">
        <v>0.5</v>
      </c>
      <c r="AG140" s="5">
        <v>50</v>
      </c>
      <c r="AH140" s="5">
        <v>979.06666666666672</v>
      </c>
    </row>
    <row r="141" spans="1:34" x14ac:dyDescent="0.3">
      <c r="A141" s="5">
        <v>0</v>
      </c>
      <c r="B141" s="5">
        <v>0.6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0.4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0.5</v>
      </c>
      <c r="AE141" s="5">
        <v>0</v>
      </c>
      <c r="AF141" s="5">
        <v>2</v>
      </c>
      <c r="AG141" s="5">
        <v>50</v>
      </c>
      <c r="AH141" s="5">
        <v>260</v>
      </c>
    </row>
    <row r="142" spans="1:34" x14ac:dyDescent="0.3">
      <c r="A142" s="5">
        <v>0</v>
      </c>
      <c r="B142" s="5">
        <v>0.4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0.6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0.5</v>
      </c>
      <c r="AE142" s="5">
        <v>0</v>
      </c>
      <c r="AF142" s="5">
        <v>2</v>
      </c>
      <c r="AG142" s="5">
        <v>50</v>
      </c>
      <c r="AH142" s="5">
        <v>305</v>
      </c>
    </row>
    <row r="143" spans="1:34" x14ac:dyDescent="0.3">
      <c r="A143" s="5">
        <v>0</v>
      </c>
      <c r="B143" s="5">
        <v>0.2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0.8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0.5</v>
      </c>
      <c r="AE143" s="5">
        <v>0</v>
      </c>
      <c r="AF143" s="5">
        <v>2</v>
      </c>
      <c r="AG143" s="5">
        <v>50</v>
      </c>
      <c r="AH143" s="5">
        <v>250</v>
      </c>
    </row>
    <row r="144" spans="1:34" x14ac:dyDescent="0.3">
      <c r="A144" s="5">
        <v>0</v>
      </c>
      <c r="B144" s="5">
        <v>0.44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0.34</v>
      </c>
      <c r="T144" s="5">
        <v>0</v>
      </c>
      <c r="U144" s="5">
        <v>0</v>
      </c>
      <c r="V144" s="5">
        <v>0</v>
      </c>
      <c r="W144" s="5">
        <v>0</v>
      </c>
      <c r="X144" s="5">
        <v>0.22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0.1</v>
      </c>
      <c r="AE144" s="5">
        <v>0</v>
      </c>
      <c r="AF144" s="5">
        <v>2</v>
      </c>
      <c r="AG144" s="5">
        <v>50</v>
      </c>
      <c r="AH144" s="5">
        <v>780</v>
      </c>
    </row>
    <row r="145" spans="1:34" x14ac:dyDescent="0.3">
      <c r="A145" s="5">
        <v>0</v>
      </c>
      <c r="B145" s="5">
        <v>0.42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0.32</v>
      </c>
      <c r="T145" s="5">
        <v>0</v>
      </c>
      <c r="U145" s="5">
        <v>0</v>
      </c>
      <c r="V145" s="5">
        <v>0</v>
      </c>
      <c r="W145" s="5">
        <v>0</v>
      </c>
      <c r="X145" s="5">
        <v>0.26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0.1</v>
      </c>
      <c r="AE145" s="5">
        <v>0</v>
      </c>
      <c r="AF145" s="5">
        <v>2</v>
      </c>
      <c r="AG145" s="5">
        <v>50</v>
      </c>
      <c r="AH145" s="5">
        <v>610</v>
      </c>
    </row>
    <row r="146" spans="1:34" x14ac:dyDescent="0.3">
      <c r="A146" s="5">
        <v>0</v>
      </c>
      <c r="B146" s="5">
        <v>0.35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0.28000000000000003</v>
      </c>
      <c r="T146" s="5">
        <v>0</v>
      </c>
      <c r="U146" s="5">
        <v>0</v>
      </c>
      <c r="V146" s="5">
        <v>0</v>
      </c>
      <c r="W146" s="5">
        <v>0</v>
      </c>
      <c r="X146" s="5">
        <v>0.37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0.1</v>
      </c>
      <c r="AE146" s="5">
        <v>0</v>
      </c>
      <c r="AF146" s="5">
        <v>2</v>
      </c>
      <c r="AG146" s="5">
        <v>50</v>
      </c>
      <c r="AH146" s="5">
        <v>500</v>
      </c>
    </row>
    <row r="147" spans="1:34" x14ac:dyDescent="0.3">
      <c r="A147" s="5">
        <v>0</v>
      </c>
      <c r="B147" s="5">
        <v>0.45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0.35</v>
      </c>
      <c r="T147" s="5">
        <v>0</v>
      </c>
      <c r="U147" s="5">
        <v>0</v>
      </c>
      <c r="V147" s="5">
        <v>0</v>
      </c>
      <c r="W147" s="5">
        <v>0</v>
      </c>
      <c r="X147" s="5">
        <v>0.2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0.1</v>
      </c>
      <c r="AE147" s="5">
        <v>0</v>
      </c>
      <c r="AF147" s="5">
        <v>2</v>
      </c>
      <c r="AG147" s="5">
        <v>50</v>
      </c>
      <c r="AH147" s="5">
        <v>490</v>
      </c>
    </row>
    <row r="148" spans="1:34" x14ac:dyDescent="0.3">
      <c r="A148" s="5">
        <v>0</v>
      </c>
      <c r="B148" s="5">
        <v>0.49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0.38</v>
      </c>
      <c r="T148" s="5">
        <v>0</v>
      </c>
      <c r="U148" s="5">
        <v>0</v>
      </c>
      <c r="V148" s="5">
        <v>0</v>
      </c>
      <c r="W148" s="5">
        <v>0</v>
      </c>
      <c r="X148" s="5">
        <v>0.13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0.1</v>
      </c>
      <c r="AE148" s="5">
        <v>0</v>
      </c>
      <c r="AF148" s="5">
        <v>2</v>
      </c>
      <c r="AG148" s="5">
        <v>50</v>
      </c>
      <c r="AH148" s="5">
        <v>390</v>
      </c>
    </row>
    <row r="149" spans="1:34" x14ac:dyDescent="0.3">
      <c r="A149" s="5">
        <v>0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0.44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0.34</v>
      </c>
      <c r="T149" s="5">
        <v>0</v>
      </c>
      <c r="U149" s="5">
        <v>0</v>
      </c>
      <c r="V149" s="5">
        <v>0</v>
      </c>
      <c r="W149" s="5">
        <v>0</v>
      </c>
      <c r="X149" s="5">
        <v>0.22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0.1</v>
      </c>
      <c r="AE149" s="5">
        <v>0</v>
      </c>
      <c r="AF149" s="5">
        <v>2</v>
      </c>
      <c r="AG149" s="5">
        <v>50</v>
      </c>
      <c r="AH149" s="5">
        <v>275</v>
      </c>
    </row>
    <row r="150" spans="1:34" x14ac:dyDescent="0.3">
      <c r="A150" s="5">
        <v>0</v>
      </c>
      <c r="B150" s="5">
        <v>0.94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0.06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0.5</v>
      </c>
      <c r="AE150" s="5">
        <v>0</v>
      </c>
      <c r="AF150" s="5">
        <v>1</v>
      </c>
      <c r="AG150" s="5">
        <v>9.7344000000000008</v>
      </c>
      <c r="AH150" s="5">
        <v>225</v>
      </c>
    </row>
    <row r="151" spans="1:34" x14ac:dyDescent="0.3">
      <c r="A151" s="5">
        <v>0</v>
      </c>
      <c r="B151" s="5">
        <v>0.94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0.06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0.5</v>
      </c>
      <c r="AE151" s="5">
        <v>0</v>
      </c>
      <c r="AF151" s="5">
        <v>1</v>
      </c>
      <c r="AG151" s="5">
        <v>20.070400000000003</v>
      </c>
      <c r="AH151" s="5">
        <v>275</v>
      </c>
    </row>
    <row r="152" spans="1:34" x14ac:dyDescent="0.3">
      <c r="A152" s="5">
        <v>0</v>
      </c>
      <c r="B152" s="5">
        <v>0.94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0.06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0.5</v>
      </c>
      <c r="AE152" s="5">
        <v>0</v>
      </c>
      <c r="AF152" s="5">
        <v>1</v>
      </c>
      <c r="AG152" s="5">
        <v>50.126400000000004</v>
      </c>
      <c r="AH152" s="5">
        <v>290</v>
      </c>
    </row>
    <row r="153" spans="1:34" x14ac:dyDescent="0.3">
      <c r="A153" s="5">
        <v>0</v>
      </c>
      <c r="B153" s="5">
        <v>0.94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0.06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0.5</v>
      </c>
      <c r="AE153" s="5">
        <v>0</v>
      </c>
      <c r="AF153" s="5">
        <v>1</v>
      </c>
      <c r="AG153" s="5">
        <v>98.406400000000005</v>
      </c>
      <c r="AH153" s="5">
        <v>338</v>
      </c>
    </row>
    <row r="154" spans="1:34" x14ac:dyDescent="0.3">
      <c r="A154" s="5">
        <v>0</v>
      </c>
      <c r="B154" s="5">
        <v>0.94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0.06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0.5</v>
      </c>
      <c r="AE154" s="5">
        <v>0</v>
      </c>
      <c r="AF154" s="5">
        <v>1</v>
      </c>
      <c r="AG154" s="5">
        <v>198</v>
      </c>
      <c r="AH154" s="5">
        <v>438</v>
      </c>
    </row>
    <row r="155" spans="1:34" x14ac:dyDescent="0.3">
      <c r="A155" s="5">
        <v>0</v>
      </c>
      <c r="B155" s="5">
        <v>0.88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0.06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0.06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0.5</v>
      </c>
      <c r="AE155" s="5">
        <v>0</v>
      </c>
      <c r="AF155" s="5">
        <v>1</v>
      </c>
      <c r="AG155" s="5">
        <v>9.7344000000000008</v>
      </c>
      <c r="AH155" s="5">
        <v>62</v>
      </c>
    </row>
    <row r="156" spans="1:34" x14ac:dyDescent="0.3">
      <c r="A156" s="5">
        <v>0</v>
      </c>
      <c r="B156" s="5">
        <v>0.88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0.06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0.06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0.5</v>
      </c>
      <c r="AE156" s="5">
        <v>0</v>
      </c>
      <c r="AF156" s="5">
        <v>1</v>
      </c>
      <c r="AG156" s="5">
        <v>20.070400000000003</v>
      </c>
      <c r="AH156" s="5">
        <v>75</v>
      </c>
    </row>
    <row r="157" spans="1:34" x14ac:dyDescent="0.3">
      <c r="A157" s="5">
        <v>0</v>
      </c>
      <c r="B157" s="5">
        <v>0.88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0.06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0.06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0.5</v>
      </c>
      <c r="AE157" s="5">
        <v>0</v>
      </c>
      <c r="AF157" s="5">
        <v>1</v>
      </c>
      <c r="AG157" s="5">
        <v>50.126400000000004</v>
      </c>
      <c r="AH157" s="5">
        <v>100</v>
      </c>
    </row>
    <row r="158" spans="1:34" x14ac:dyDescent="0.3">
      <c r="A158" s="5">
        <v>0</v>
      </c>
      <c r="B158" s="5">
        <v>0.88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0.06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0.06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0.5</v>
      </c>
      <c r="AE158" s="5">
        <v>0</v>
      </c>
      <c r="AF158" s="5">
        <v>1</v>
      </c>
      <c r="AG158" s="5">
        <v>98.406400000000005</v>
      </c>
      <c r="AH158" s="5">
        <v>120</v>
      </c>
    </row>
    <row r="159" spans="1:34" x14ac:dyDescent="0.3">
      <c r="A159" s="5">
        <v>0</v>
      </c>
      <c r="B159" s="5">
        <v>0.88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0.06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0.06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0.5</v>
      </c>
      <c r="AE159" s="5">
        <v>0</v>
      </c>
      <c r="AF159" s="5">
        <v>1</v>
      </c>
      <c r="AG159" s="5">
        <v>198</v>
      </c>
      <c r="AH159" s="5">
        <v>142</v>
      </c>
    </row>
    <row r="160" spans="1:34" x14ac:dyDescent="0.3">
      <c r="A160" s="5">
        <v>0</v>
      </c>
      <c r="B160" s="5">
        <v>0.66999999999999993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7.0000000000000007E-2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0.06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0.2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0.5</v>
      </c>
      <c r="AE160" s="5">
        <v>0</v>
      </c>
      <c r="AF160" s="5">
        <v>0.5</v>
      </c>
      <c r="AG160" s="5">
        <v>50</v>
      </c>
      <c r="AH160" s="5">
        <v>420</v>
      </c>
    </row>
    <row r="161" spans="1:34" x14ac:dyDescent="0.3">
      <c r="A161" s="5">
        <v>0</v>
      </c>
      <c r="B161" s="5">
        <v>0.74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0.06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0.2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0.5</v>
      </c>
      <c r="AE161" s="5">
        <v>0</v>
      </c>
      <c r="AF161" s="5">
        <v>0.5</v>
      </c>
      <c r="AG161" s="5">
        <v>50</v>
      </c>
      <c r="AH161" s="5">
        <v>190</v>
      </c>
    </row>
    <row r="162" spans="1:34" x14ac:dyDescent="0.3">
      <c r="A162" s="5">
        <v>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0.37</v>
      </c>
      <c r="I162" s="5">
        <v>0.04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0.59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0.5</v>
      </c>
      <c r="AE162" s="5">
        <v>0</v>
      </c>
      <c r="AF162" s="5">
        <v>1</v>
      </c>
      <c r="AG162" s="5">
        <v>50</v>
      </c>
      <c r="AH162" s="5">
        <v>90</v>
      </c>
    </row>
    <row r="163" spans="1:34" x14ac:dyDescent="0.3">
      <c r="A163" s="5">
        <v>0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0.53</v>
      </c>
      <c r="I163" s="5">
        <v>7.0000000000000007E-2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0.4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0.5</v>
      </c>
      <c r="AE163" s="5">
        <v>0</v>
      </c>
      <c r="AF163" s="5">
        <v>1</v>
      </c>
      <c r="AG163" s="5">
        <v>50</v>
      </c>
      <c r="AH163" s="5">
        <v>50</v>
      </c>
    </row>
    <row r="164" spans="1:34" x14ac:dyDescent="0.3">
      <c r="A164" s="5">
        <v>0</v>
      </c>
      <c r="B164" s="5">
        <v>0</v>
      </c>
      <c r="C164" s="5">
        <v>0</v>
      </c>
      <c r="D164" s="5">
        <v>0</v>
      </c>
      <c r="E164" s="5">
        <v>0.78</v>
      </c>
      <c r="F164" s="5">
        <v>0</v>
      </c>
      <c r="G164" s="5">
        <v>0</v>
      </c>
      <c r="H164" s="5">
        <v>0</v>
      </c>
      <c r="I164" s="5">
        <v>0.06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0.16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0.5</v>
      </c>
      <c r="AE164" s="5">
        <v>0</v>
      </c>
      <c r="AF164" s="5">
        <v>1</v>
      </c>
      <c r="AG164" s="5">
        <v>20</v>
      </c>
      <c r="AH164" s="5">
        <v>11.857707509881422</v>
      </c>
    </row>
    <row r="165" spans="1:34" x14ac:dyDescent="0.3">
      <c r="A165" s="5">
        <v>0</v>
      </c>
      <c r="B165" s="5">
        <v>0</v>
      </c>
      <c r="C165" s="5">
        <v>0</v>
      </c>
      <c r="D165" s="5">
        <v>0</v>
      </c>
      <c r="E165" s="5">
        <v>0.8</v>
      </c>
      <c r="F165" s="5">
        <v>0</v>
      </c>
      <c r="G165" s="5">
        <v>0</v>
      </c>
      <c r="H165" s="5">
        <v>0</v>
      </c>
      <c r="I165" s="5">
        <v>0.06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0.14000000000000001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0.5</v>
      </c>
      <c r="AE165" s="5">
        <v>0</v>
      </c>
      <c r="AF165" s="5">
        <v>1</v>
      </c>
      <c r="AG165" s="5">
        <v>20</v>
      </c>
      <c r="AH165" s="5">
        <v>260.86956521739131</v>
      </c>
    </row>
    <row r="166" spans="1:34" x14ac:dyDescent="0.3">
      <c r="A166" s="5">
        <v>0</v>
      </c>
      <c r="B166" s="5">
        <v>0</v>
      </c>
      <c r="C166" s="5">
        <v>0</v>
      </c>
      <c r="D166" s="5">
        <v>0</v>
      </c>
      <c r="E166" s="5">
        <v>0.64</v>
      </c>
      <c r="F166" s="5">
        <v>0</v>
      </c>
      <c r="G166" s="5">
        <v>0</v>
      </c>
      <c r="H166" s="5">
        <v>0</v>
      </c>
      <c r="I166" s="5">
        <v>0.05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0.31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0.5</v>
      </c>
      <c r="AE166" s="5">
        <v>0</v>
      </c>
      <c r="AF166" s="5">
        <v>1</v>
      </c>
      <c r="AG166" s="5">
        <v>20</v>
      </c>
      <c r="AH166" s="5">
        <v>134.38735177865613</v>
      </c>
    </row>
    <row r="167" spans="1:34" x14ac:dyDescent="0.3">
      <c r="A167" s="5">
        <v>0</v>
      </c>
      <c r="B167" s="5">
        <v>0</v>
      </c>
      <c r="C167" s="5">
        <v>0</v>
      </c>
      <c r="D167" s="5">
        <v>0</v>
      </c>
      <c r="E167" s="5">
        <v>0.81</v>
      </c>
      <c r="F167" s="5">
        <v>0</v>
      </c>
      <c r="G167" s="5">
        <v>0</v>
      </c>
      <c r="H167" s="5">
        <v>0</v>
      </c>
      <c r="I167" s="5">
        <v>0.06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0.13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0.5</v>
      </c>
      <c r="AE167" s="5">
        <v>0</v>
      </c>
      <c r="AF167" s="5">
        <v>1</v>
      </c>
      <c r="AG167" s="5">
        <v>20</v>
      </c>
      <c r="AH167" s="5">
        <v>10.079051383399209</v>
      </c>
    </row>
    <row r="168" spans="1:34" x14ac:dyDescent="0.3">
      <c r="A168" s="5">
        <v>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0.77</v>
      </c>
      <c r="I168" s="5">
        <v>0.03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0.2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1</v>
      </c>
      <c r="AE168" s="5">
        <v>0</v>
      </c>
      <c r="AF168" s="5">
        <v>2</v>
      </c>
      <c r="AG168" s="5">
        <v>50</v>
      </c>
      <c r="AH168" s="5">
        <v>300</v>
      </c>
    </row>
    <row r="169" spans="1:34" x14ac:dyDescent="0.3">
      <c r="A169" s="5">
        <v>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0.67</v>
      </c>
      <c r="I169" s="5">
        <v>0.03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0.25</v>
      </c>
      <c r="Y169" s="5">
        <v>0.05</v>
      </c>
      <c r="Z169" s="5">
        <v>0</v>
      </c>
      <c r="AA169" s="5">
        <v>0</v>
      </c>
      <c r="AB169" s="5">
        <v>0</v>
      </c>
      <c r="AC169" s="5">
        <v>0</v>
      </c>
      <c r="AD169" s="5">
        <v>1</v>
      </c>
      <c r="AE169" s="5">
        <v>0</v>
      </c>
      <c r="AF169" s="5">
        <v>2</v>
      </c>
      <c r="AG169" s="5">
        <v>50</v>
      </c>
      <c r="AH169" s="5">
        <v>320</v>
      </c>
    </row>
    <row r="170" spans="1:34" x14ac:dyDescent="0.3">
      <c r="A170" s="5">
        <v>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0.67</v>
      </c>
      <c r="I170" s="5">
        <v>0.03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0.24</v>
      </c>
      <c r="Y170" s="5">
        <v>0.06</v>
      </c>
      <c r="Z170" s="5">
        <v>0</v>
      </c>
      <c r="AA170" s="5">
        <v>0</v>
      </c>
      <c r="AB170" s="5">
        <v>0</v>
      </c>
      <c r="AC170" s="5">
        <v>0</v>
      </c>
      <c r="AD170" s="5">
        <v>1</v>
      </c>
      <c r="AE170" s="5">
        <v>0</v>
      </c>
      <c r="AF170" s="5">
        <v>2</v>
      </c>
      <c r="AG170" s="5">
        <v>50</v>
      </c>
      <c r="AH170" s="5">
        <v>380</v>
      </c>
    </row>
    <row r="171" spans="1:34" x14ac:dyDescent="0.3">
      <c r="A171" s="5">
        <v>0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0.67</v>
      </c>
      <c r="I171" s="5">
        <v>0.03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0.19</v>
      </c>
      <c r="Y171" s="5">
        <v>0.11</v>
      </c>
      <c r="Z171" s="5">
        <v>0</v>
      </c>
      <c r="AA171" s="5">
        <v>0</v>
      </c>
      <c r="AB171" s="5">
        <v>0</v>
      </c>
      <c r="AC171" s="5">
        <v>0</v>
      </c>
      <c r="AD171" s="5">
        <v>1</v>
      </c>
      <c r="AE171" s="5">
        <v>0</v>
      </c>
      <c r="AF171" s="5">
        <v>2</v>
      </c>
      <c r="AG171" s="5">
        <v>50</v>
      </c>
      <c r="AH171" s="5">
        <v>400</v>
      </c>
    </row>
    <row r="172" spans="1:34" x14ac:dyDescent="0.3">
      <c r="A172" s="5">
        <v>0</v>
      </c>
      <c r="B172" s="5">
        <v>0.77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0.09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0.14000000000000001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1</v>
      </c>
      <c r="AE172" s="5">
        <v>0</v>
      </c>
      <c r="AF172" s="5">
        <v>1</v>
      </c>
      <c r="AG172" s="5">
        <v>20</v>
      </c>
      <c r="AH172" s="5">
        <v>135</v>
      </c>
    </row>
    <row r="173" spans="1:34" x14ac:dyDescent="0.3">
      <c r="A173" s="5">
        <v>0</v>
      </c>
      <c r="B173" s="5">
        <v>0.73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0.13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0.14000000000000001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1</v>
      </c>
      <c r="AE173" s="5">
        <v>0</v>
      </c>
      <c r="AF173" s="5">
        <v>1</v>
      </c>
      <c r="AG173" s="5">
        <v>20</v>
      </c>
      <c r="AH173" s="5">
        <v>40</v>
      </c>
    </row>
    <row r="174" spans="1:34" x14ac:dyDescent="0.3">
      <c r="A174" s="5">
        <v>0</v>
      </c>
      <c r="B174" s="5">
        <v>0.74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0.04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0.22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0.5</v>
      </c>
      <c r="AE174" s="5">
        <v>0</v>
      </c>
      <c r="AF174" s="5">
        <v>0.5</v>
      </c>
      <c r="AG174" s="5">
        <v>20</v>
      </c>
      <c r="AH174" s="5">
        <v>490.19607843137254</v>
      </c>
    </row>
    <row r="175" spans="1:34" x14ac:dyDescent="0.3">
      <c r="A175" s="5">
        <v>0</v>
      </c>
      <c r="B175" s="5">
        <v>0</v>
      </c>
      <c r="C175" s="5">
        <v>0</v>
      </c>
      <c r="D175" s="5">
        <v>0</v>
      </c>
      <c r="E175" s="5">
        <v>0.73</v>
      </c>
      <c r="F175" s="5">
        <v>0</v>
      </c>
      <c r="G175" s="5">
        <v>0</v>
      </c>
      <c r="H175" s="5">
        <v>0</v>
      </c>
      <c r="I175" s="5">
        <v>0</v>
      </c>
      <c r="J175" s="5">
        <v>7.0000000000000007E-2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0.2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0.5</v>
      </c>
      <c r="AE175" s="5">
        <v>0</v>
      </c>
      <c r="AF175" s="5">
        <v>1</v>
      </c>
      <c r="AG175" s="5">
        <v>20</v>
      </c>
      <c r="AH175" s="5">
        <v>615</v>
      </c>
    </row>
    <row r="176" spans="1:34" x14ac:dyDescent="0.3">
      <c r="A176" s="5">
        <v>0</v>
      </c>
      <c r="B176" s="5">
        <v>0</v>
      </c>
      <c r="C176" s="5">
        <v>0</v>
      </c>
      <c r="D176" s="5">
        <v>0</v>
      </c>
      <c r="E176" s="5">
        <v>0.67</v>
      </c>
      <c r="F176" s="5">
        <v>0</v>
      </c>
      <c r="G176" s="5">
        <v>0</v>
      </c>
      <c r="H176" s="5">
        <v>0</v>
      </c>
      <c r="I176" s="5">
        <v>0</v>
      </c>
      <c r="J176" s="5">
        <v>0.13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0.2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0.5</v>
      </c>
      <c r="AE176" s="5">
        <v>0</v>
      </c>
      <c r="AF176" s="5">
        <v>1</v>
      </c>
      <c r="AG176" s="5">
        <v>20</v>
      </c>
      <c r="AH176" s="5">
        <v>785</v>
      </c>
    </row>
    <row r="177" spans="1:34" x14ac:dyDescent="0.3">
      <c r="A177" s="5">
        <v>0</v>
      </c>
      <c r="B177" s="5">
        <v>0</v>
      </c>
      <c r="C177" s="5">
        <v>0</v>
      </c>
      <c r="D177" s="5">
        <v>0</v>
      </c>
      <c r="E177" s="5">
        <v>0.62</v>
      </c>
      <c r="F177" s="5">
        <v>0</v>
      </c>
      <c r="G177" s="5">
        <v>0</v>
      </c>
      <c r="H177" s="5">
        <v>0</v>
      </c>
      <c r="I177" s="5">
        <v>0</v>
      </c>
      <c r="J177" s="5">
        <v>0.18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0.2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0.5</v>
      </c>
      <c r="AE177" s="5">
        <v>0</v>
      </c>
      <c r="AF177" s="5">
        <v>1</v>
      </c>
      <c r="AG177" s="5">
        <v>20</v>
      </c>
      <c r="AH177" s="5">
        <v>863</v>
      </c>
    </row>
    <row r="178" spans="1:34" x14ac:dyDescent="0.3">
      <c r="A178" s="5">
        <v>0</v>
      </c>
      <c r="B178" s="5">
        <v>0</v>
      </c>
      <c r="C178" s="5">
        <v>0</v>
      </c>
      <c r="D178" s="5">
        <v>0</v>
      </c>
      <c r="E178" s="5">
        <v>0.53</v>
      </c>
      <c r="F178" s="5">
        <v>0</v>
      </c>
      <c r="G178" s="5">
        <v>0</v>
      </c>
      <c r="H178" s="5">
        <v>0</v>
      </c>
      <c r="I178" s="5">
        <v>0</v>
      </c>
      <c r="J178" s="5">
        <v>0.27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0.2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0.5</v>
      </c>
      <c r="AE178" s="5">
        <v>0</v>
      </c>
      <c r="AF178" s="5">
        <v>1</v>
      </c>
      <c r="AG178" s="5">
        <v>20</v>
      </c>
      <c r="AH178" s="5">
        <v>525</v>
      </c>
    </row>
    <row r="179" spans="1:34" x14ac:dyDescent="0.3">
      <c r="A179" s="5">
        <v>0</v>
      </c>
      <c r="B179" s="5">
        <v>0</v>
      </c>
      <c r="C179" s="5">
        <v>0</v>
      </c>
      <c r="D179" s="5">
        <v>0</v>
      </c>
      <c r="E179" s="5">
        <v>0.47</v>
      </c>
      <c r="F179" s="5">
        <v>0</v>
      </c>
      <c r="G179" s="5">
        <v>0</v>
      </c>
      <c r="H179" s="5">
        <v>0</v>
      </c>
      <c r="I179" s="5">
        <v>0</v>
      </c>
      <c r="J179" s="5">
        <v>0.33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0.2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0.5</v>
      </c>
      <c r="AE179" s="5">
        <v>0</v>
      </c>
      <c r="AF179" s="5">
        <v>1</v>
      </c>
      <c r="AG179" s="5">
        <v>20</v>
      </c>
      <c r="AH179" s="5">
        <v>461</v>
      </c>
    </row>
    <row r="180" spans="1:34" x14ac:dyDescent="0.3">
      <c r="A180" s="5">
        <v>0</v>
      </c>
      <c r="B180" s="5">
        <v>0</v>
      </c>
      <c r="C180" s="5">
        <v>0</v>
      </c>
      <c r="D180" s="5">
        <v>0</v>
      </c>
      <c r="E180" s="5">
        <v>0.62</v>
      </c>
      <c r="F180" s="5">
        <v>0</v>
      </c>
      <c r="G180" s="5">
        <v>0</v>
      </c>
      <c r="H180" s="5">
        <v>0</v>
      </c>
      <c r="I180" s="5">
        <v>0</v>
      </c>
      <c r="J180" s="5">
        <v>0.19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0.02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0.17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0.5</v>
      </c>
      <c r="AE180" s="5">
        <v>0</v>
      </c>
      <c r="AF180" s="5">
        <v>1</v>
      </c>
      <c r="AG180" s="5">
        <v>20</v>
      </c>
      <c r="AH180" s="5">
        <v>1302</v>
      </c>
    </row>
    <row r="181" spans="1:34" x14ac:dyDescent="0.3">
      <c r="A181" s="5">
        <v>0</v>
      </c>
      <c r="B181" s="5">
        <v>0</v>
      </c>
      <c r="C181" s="5">
        <v>0</v>
      </c>
      <c r="D181" s="5">
        <v>0</v>
      </c>
      <c r="E181" s="5">
        <v>0.63</v>
      </c>
      <c r="F181" s="5">
        <v>0</v>
      </c>
      <c r="G181" s="5">
        <v>0</v>
      </c>
      <c r="H181" s="5">
        <v>0</v>
      </c>
      <c r="I181" s="5">
        <v>0</v>
      </c>
      <c r="J181" s="5">
        <v>0.19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0.04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0.14000000000000001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0.5</v>
      </c>
      <c r="AE181" s="5">
        <v>0</v>
      </c>
      <c r="AF181" s="5">
        <v>1</v>
      </c>
      <c r="AG181" s="5">
        <v>20</v>
      </c>
      <c r="AH181" s="5">
        <v>1113</v>
      </c>
    </row>
    <row r="182" spans="1:34" x14ac:dyDescent="0.3">
      <c r="A182" s="5">
        <v>0</v>
      </c>
      <c r="B182" s="5">
        <v>0</v>
      </c>
      <c r="C182" s="5">
        <v>0</v>
      </c>
      <c r="D182" s="5">
        <v>0</v>
      </c>
      <c r="E182" s="5">
        <v>0.64</v>
      </c>
      <c r="F182" s="5">
        <v>0</v>
      </c>
      <c r="G182" s="5">
        <v>0</v>
      </c>
      <c r="H182" s="5">
        <v>0</v>
      </c>
      <c r="I182" s="5">
        <v>0</v>
      </c>
      <c r="J182" s="5">
        <v>0.19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0.08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0.09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0.5</v>
      </c>
      <c r="AE182" s="5">
        <v>0</v>
      </c>
      <c r="AF182" s="5">
        <v>1</v>
      </c>
      <c r="AG182" s="5">
        <v>20</v>
      </c>
      <c r="AH182" s="5">
        <v>1084</v>
      </c>
    </row>
    <row r="183" spans="1:34" x14ac:dyDescent="0.3">
      <c r="A183" s="5">
        <v>0</v>
      </c>
      <c r="B183" s="5">
        <v>0</v>
      </c>
      <c r="C183" s="5">
        <v>0</v>
      </c>
      <c r="D183" s="5">
        <v>0</v>
      </c>
      <c r="E183" s="5">
        <v>0</v>
      </c>
      <c r="F183" s="5">
        <v>0.56999999999999995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0.22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0.14000000000000001</v>
      </c>
      <c r="Y183" s="5">
        <v>7.0000000000000007E-2</v>
      </c>
      <c r="Z183" s="5">
        <v>0</v>
      </c>
      <c r="AA183" s="5">
        <v>0</v>
      </c>
      <c r="AB183" s="5">
        <v>0</v>
      </c>
      <c r="AC183" s="5">
        <v>0</v>
      </c>
      <c r="AD183" s="5">
        <v>0.5</v>
      </c>
      <c r="AE183" s="5">
        <v>0</v>
      </c>
      <c r="AF183" s="5">
        <v>2</v>
      </c>
      <c r="AG183" s="5">
        <v>20</v>
      </c>
      <c r="AH183" s="5">
        <v>110</v>
      </c>
    </row>
    <row r="184" spans="1:34" x14ac:dyDescent="0.3">
      <c r="A184" s="5">
        <v>0</v>
      </c>
      <c r="B184" s="5">
        <v>0.78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0.02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0.2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0.5</v>
      </c>
      <c r="AE184" s="5">
        <v>0</v>
      </c>
      <c r="AF184" s="5">
        <v>1</v>
      </c>
      <c r="AG184" s="5">
        <v>50</v>
      </c>
      <c r="AH184" s="5">
        <v>280</v>
      </c>
    </row>
    <row r="185" spans="1:34" x14ac:dyDescent="0.3">
      <c r="A185" s="5">
        <v>0</v>
      </c>
      <c r="B185" s="5">
        <v>0.76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0.04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0.2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0.5</v>
      </c>
      <c r="AE185" s="5">
        <v>0</v>
      </c>
      <c r="AF185" s="5">
        <v>1</v>
      </c>
      <c r="AG185" s="5">
        <v>50</v>
      </c>
      <c r="AH185" s="5">
        <v>325</v>
      </c>
    </row>
    <row r="186" spans="1:34" x14ac:dyDescent="0.3">
      <c r="A186" s="5">
        <v>0</v>
      </c>
      <c r="B186" s="5">
        <v>0.74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0.06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0.2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0.5</v>
      </c>
      <c r="AE186" s="5">
        <v>0</v>
      </c>
      <c r="AF186" s="5">
        <v>1</v>
      </c>
      <c r="AG186" s="5">
        <v>50</v>
      </c>
      <c r="AH186" s="5">
        <v>440</v>
      </c>
    </row>
    <row r="187" spans="1:34" x14ac:dyDescent="0.3">
      <c r="A187" s="5">
        <v>0</v>
      </c>
      <c r="B187" s="5">
        <v>0.72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0.08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0.2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0.5</v>
      </c>
      <c r="AE187" s="5">
        <v>0</v>
      </c>
      <c r="AF187" s="5">
        <v>1</v>
      </c>
      <c r="AG187" s="5">
        <v>50</v>
      </c>
      <c r="AH187" s="5">
        <v>403</v>
      </c>
    </row>
    <row r="188" spans="1:34" x14ac:dyDescent="0.3">
      <c r="A188" s="5">
        <v>0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0.8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0.2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0.5</v>
      </c>
      <c r="AE188" s="5">
        <v>0</v>
      </c>
      <c r="AF188" s="5">
        <v>0.5</v>
      </c>
      <c r="AG188" s="5">
        <v>50</v>
      </c>
      <c r="AH188" s="5">
        <v>98.214285714285708</v>
      </c>
    </row>
    <row r="189" spans="1:34" x14ac:dyDescent="0.3">
      <c r="A189" s="5">
        <v>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0.2</v>
      </c>
      <c r="I189" s="5">
        <v>0</v>
      </c>
      <c r="J189" s="5">
        <v>0</v>
      </c>
      <c r="K189" s="5">
        <v>0</v>
      </c>
      <c r="L189" s="5">
        <v>0.57000000000000006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0.23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0.5</v>
      </c>
      <c r="AE189" s="5">
        <v>0</v>
      </c>
      <c r="AF189" s="5">
        <v>0.5</v>
      </c>
      <c r="AG189" s="5">
        <v>50</v>
      </c>
      <c r="AH189" s="5">
        <v>148.57142857142858</v>
      </c>
    </row>
    <row r="190" spans="1:34" x14ac:dyDescent="0.3">
      <c r="A190" s="5">
        <v>0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0.4</v>
      </c>
      <c r="I190" s="5">
        <v>0</v>
      </c>
      <c r="J190" s="5">
        <v>0</v>
      </c>
      <c r="K190" s="5">
        <v>0</v>
      </c>
      <c r="L190" s="5">
        <v>0.37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0.23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0.5</v>
      </c>
      <c r="AE190" s="5">
        <v>0</v>
      </c>
      <c r="AF190" s="5">
        <v>0.5</v>
      </c>
      <c r="AG190" s="5">
        <v>50</v>
      </c>
      <c r="AH190" s="5">
        <v>332.14285714285717</v>
      </c>
    </row>
    <row r="191" spans="1:34" x14ac:dyDescent="0.3">
      <c r="A191" s="5">
        <v>0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0.6</v>
      </c>
      <c r="I191" s="5">
        <v>0</v>
      </c>
      <c r="J191" s="5">
        <v>0</v>
      </c>
      <c r="K191" s="5">
        <v>0</v>
      </c>
      <c r="L191" s="5">
        <v>0.19000000000000003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0.21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0.5</v>
      </c>
      <c r="AE191" s="5">
        <v>0</v>
      </c>
      <c r="AF191" s="5">
        <v>0.5</v>
      </c>
      <c r="AG191" s="5">
        <v>50</v>
      </c>
      <c r="AH191" s="5">
        <v>197.14285714285711</v>
      </c>
    </row>
    <row r="192" spans="1:34" x14ac:dyDescent="0.3">
      <c r="A192" s="5">
        <v>0</v>
      </c>
      <c r="B192" s="5">
        <v>0</v>
      </c>
      <c r="C192" s="5">
        <v>0</v>
      </c>
      <c r="D192" s="5">
        <v>0</v>
      </c>
      <c r="E192" s="5">
        <v>0.55000000000000004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0.25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0.13</v>
      </c>
      <c r="Y192" s="5">
        <v>7.0000000000000007E-2</v>
      </c>
      <c r="Z192" s="5">
        <v>0</v>
      </c>
      <c r="AA192" s="5">
        <v>0</v>
      </c>
      <c r="AB192" s="5">
        <v>0</v>
      </c>
      <c r="AC192" s="5">
        <v>0</v>
      </c>
      <c r="AD192" s="5">
        <v>0.5</v>
      </c>
      <c r="AE192" s="5">
        <v>0</v>
      </c>
      <c r="AF192" s="5">
        <v>1</v>
      </c>
      <c r="AG192" s="5">
        <v>20</v>
      </c>
      <c r="AH192" s="5">
        <v>120</v>
      </c>
    </row>
    <row r="193" spans="1:34" x14ac:dyDescent="0.3">
      <c r="A193" s="5">
        <v>0</v>
      </c>
      <c r="B193" s="5">
        <v>0</v>
      </c>
      <c r="C193" s="5">
        <v>0</v>
      </c>
      <c r="D193" s="5">
        <v>0</v>
      </c>
      <c r="E193" s="5">
        <v>0.7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0.25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0.03</v>
      </c>
      <c r="Y193" s="5">
        <v>0.02</v>
      </c>
      <c r="Z193" s="5">
        <v>0</v>
      </c>
      <c r="AA193" s="5">
        <v>0</v>
      </c>
      <c r="AB193" s="5">
        <v>0</v>
      </c>
      <c r="AC193" s="5">
        <v>0</v>
      </c>
      <c r="AD193" s="5">
        <v>0.5</v>
      </c>
      <c r="AE193" s="5">
        <v>0</v>
      </c>
      <c r="AF193" s="5">
        <v>1</v>
      </c>
      <c r="AG193" s="5">
        <v>20</v>
      </c>
      <c r="AH193" s="5">
        <v>75</v>
      </c>
    </row>
    <row r="194" spans="1:34" x14ac:dyDescent="0.3">
      <c r="A194" s="5">
        <v>0</v>
      </c>
      <c r="B194" s="5">
        <v>0</v>
      </c>
      <c r="C194" s="5">
        <v>0</v>
      </c>
      <c r="D194" s="5">
        <v>0</v>
      </c>
      <c r="E194" s="5">
        <v>0.65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0.25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0.06</v>
      </c>
      <c r="Y194" s="5">
        <v>0.04</v>
      </c>
      <c r="Z194" s="5">
        <v>0</v>
      </c>
      <c r="AA194" s="5">
        <v>0</v>
      </c>
      <c r="AB194" s="5">
        <v>0</v>
      </c>
      <c r="AC194" s="5">
        <v>0</v>
      </c>
      <c r="AD194" s="5">
        <v>0.5</v>
      </c>
      <c r="AE194" s="5">
        <v>0</v>
      </c>
      <c r="AF194" s="5">
        <v>1</v>
      </c>
      <c r="AG194" s="5">
        <v>20</v>
      </c>
      <c r="AH194" s="5">
        <v>140</v>
      </c>
    </row>
    <row r="195" spans="1:34" x14ac:dyDescent="0.3">
      <c r="A195" s="5">
        <v>0</v>
      </c>
      <c r="B195" s="5">
        <v>0</v>
      </c>
      <c r="C195" s="5">
        <v>0</v>
      </c>
      <c r="D195" s="5">
        <v>0</v>
      </c>
      <c r="E195" s="5">
        <v>0.45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0.25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0.19</v>
      </c>
      <c r="Y195" s="5">
        <v>0.11</v>
      </c>
      <c r="Z195" s="5">
        <v>0</v>
      </c>
      <c r="AA195" s="5">
        <v>0</v>
      </c>
      <c r="AB195" s="5">
        <v>0</v>
      </c>
      <c r="AC195" s="5">
        <v>0</v>
      </c>
      <c r="AD195" s="5">
        <v>0.5</v>
      </c>
      <c r="AE195" s="5">
        <v>0</v>
      </c>
      <c r="AF195" s="5">
        <v>1</v>
      </c>
      <c r="AG195" s="5">
        <v>20</v>
      </c>
      <c r="AH195" s="5">
        <v>85</v>
      </c>
    </row>
    <row r="196" spans="1:34" x14ac:dyDescent="0.3">
      <c r="A196" s="5">
        <v>0</v>
      </c>
      <c r="B196" s="5">
        <v>0</v>
      </c>
      <c r="C196" s="5">
        <v>0</v>
      </c>
      <c r="D196" s="5">
        <v>0</v>
      </c>
      <c r="E196" s="5">
        <v>0.35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0.25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0.26</v>
      </c>
      <c r="Y196" s="5">
        <v>0.14000000000000001</v>
      </c>
      <c r="Z196" s="5">
        <v>0</v>
      </c>
      <c r="AA196" s="5">
        <v>0</v>
      </c>
      <c r="AB196" s="5">
        <v>0</v>
      </c>
      <c r="AC196" s="5">
        <v>0</v>
      </c>
      <c r="AD196" s="5">
        <v>0.5</v>
      </c>
      <c r="AE196" s="5">
        <v>0</v>
      </c>
      <c r="AF196" s="5">
        <v>1</v>
      </c>
      <c r="AG196" s="5">
        <v>20</v>
      </c>
      <c r="AH196" s="5">
        <v>38</v>
      </c>
    </row>
    <row r="197" spans="1:34" x14ac:dyDescent="0.3">
      <c r="A197" s="5">
        <v>0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0.52</v>
      </c>
      <c r="I197" s="5">
        <v>0</v>
      </c>
      <c r="J197" s="5">
        <v>0</v>
      </c>
      <c r="K197" s="5">
        <v>0</v>
      </c>
      <c r="L197" s="5">
        <v>0.18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0.3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0.5</v>
      </c>
      <c r="AE197" s="5">
        <v>0</v>
      </c>
      <c r="AF197" s="5">
        <v>0.5</v>
      </c>
      <c r="AG197" s="5">
        <v>50</v>
      </c>
      <c r="AH197" s="5">
        <v>996.8</v>
      </c>
    </row>
    <row r="198" spans="1:34" x14ac:dyDescent="0.3">
      <c r="A198" s="5">
        <v>0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0.72000000000000008</v>
      </c>
      <c r="I198" s="5">
        <v>0</v>
      </c>
      <c r="J198" s="5">
        <v>0</v>
      </c>
      <c r="K198" s="5">
        <v>0</v>
      </c>
      <c r="L198" s="5">
        <v>0.18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0.1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0.5</v>
      </c>
      <c r="AE198" s="5">
        <v>0</v>
      </c>
      <c r="AF198" s="5">
        <v>0.5</v>
      </c>
      <c r="AG198" s="5">
        <v>50</v>
      </c>
      <c r="AH198" s="5">
        <v>635.04</v>
      </c>
    </row>
    <row r="199" spans="1:34" x14ac:dyDescent="0.3">
      <c r="A199" s="5">
        <v>0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0.37</v>
      </c>
      <c r="I199" s="5">
        <v>0</v>
      </c>
      <c r="J199" s="5">
        <v>0</v>
      </c>
      <c r="K199" s="5">
        <v>0</v>
      </c>
      <c r="L199" s="5">
        <v>0.18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0.3</v>
      </c>
      <c r="Y199" s="5">
        <v>0.15</v>
      </c>
      <c r="Z199" s="5">
        <v>0</v>
      </c>
      <c r="AA199" s="5">
        <v>0</v>
      </c>
      <c r="AB199" s="5">
        <v>0</v>
      </c>
      <c r="AC199" s="5">
        <v>0</v>
      </c>
      <c r="AD199" s="5">
        <v>0.5</v>
      </c>
      <c r="AE199" s="5">
        <v>0</v>
      </c>
      <c r="AF199" s="5">
        <v>0.5</v>
      </c>
      <c r="AG199" s="5">
        <v>50</v>
      </c>
      <c r="AH199" s="5">
        <v>1137.7399999999998</v>
      </c>
    </row>
    <row r="200" spans="1:34" x14ac:dyDescent="0.3">
      <c r="A200" s="5">
        <v>0</v>
      </c>
      <c r="B200" s="5">
        <v>0</v>
      </c>
      <c r="C200" s="5">
        <v>0</v>
      </c>
      <c r="D200" s="5">
        <v>0</v>
      </c>
      <c r="E200" s="5">
        <v>0.74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0.11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0.15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1</v>
      </c>
      <c r="AF200" s="5">
        <v>1</v>
      </c>
      <c r="AG200" s="5">
        <v>100</v>
      </c>
      <c r="AH200" s="5">
        <v>431</v>
      </c>
    </row>
    <row r="201" spans="1:34" x14ac:dyDescent="0.3">
      <c r="A201" s="5">
        <v>0</v>
      </c>
      <c r="B201" s="5">
        <v>0</v>
      </c>
      <c r="C201" s="5">
        <v>0</v>
      </c>
      <c r="D201" s="5">
        <v>0</v>
      </c>
      <c r="E201" s="5">
        <v>0.66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0.11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0.15</v>
      </c>
      <c r="Y201" s="5">
        <v>0.08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1</v>
      </c>
      <c r="AF201" s="5">
        <v>1</v>
      </c>
      <c r="AG201" s="5">
        <v>100</v>
      </c>
      <c r="AH201" s="5">
        <v>906</v>
      </c>
    </row>
    <row r="202" spans="1:34" x14ac:dyDescent="0.3">
      <c r="A202" s="5">
        <v>0</v>
      </c>
      <c r="B202" s="5">
        <v>0</v>
      </c>
      <c r="C202" s="5">
        <v>0</v>
      </c>
      <c r="D202" s="5">
        <v>0</v>
      </c>
      <c r="E202" s="5">
        <v>0.75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0.15</v>
      </c>
      <c r="Y202" s="5">
        <v>0.1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1</v>
      </c>
      <c r="AF202" s="5">
        <v>1</v>
      </c>
      <c r="AG202" s="5">
        <v>100</v>
      </c>
      <c r="AH202" s="5">
        <v>362</v>
      </c>
    </row>
    <row r="203" spans="1:34" x14ac:dyDescent="0.3">
      <c r="A203" s="5">
        <v>0</v>
      </c>
      <c r="B203" s="5">
        <v>0.73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0.05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0.22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</v>
      </c>
      <c r="AE203" s="5">
        <v>0</v>
      </c>
      <c r="AF203" s="5">
        <v>2</v>
      </c>
      <c r="AG203" s="5">
        <v>20</v>
      </c>
      <c r="AH203" s="5">
        <v>1224</v>
      </c>
    </row>
    <row r="204" spans="1:34" x14ac:dyDescent="0.3">
      <c r="A204" s="5">
        <v>0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0.74</v>
      </c>
      <c r="I204" s="5">
        <v>0</v>
      </c>
      <c r="J204" s="5">
        <v>0</v>
      </c>
      <c r="K204" s="5">
        <v>0</v>
      </c>
      <c r="L204" s="5">
        <v>0</v>
      </c>
      <c r="M204" s="5">
        <v>0.05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0.21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1</v>
      </c>
      <c r="AE204" s="5">
        <v>0</v>
      </c>
      <c r="AF204" s="5">
        <v>2</v>
      </c>
      <c r="AG204" s="5">
        <v>20</v>
      </c>
      <c r="AH204" s="5">
        <v>435</v>
      </c>
    </row>
    <row r="205" spans="1:34" x14ac:dyDescent="0.3">
      <c r="A205" s="5">
        <v>0</v>
      </c>
      <c r="B205" s="5">
        <v>0.17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0.2</v>
      </c>
      <c r="Y205" s="5">
        <v>0</v>
      </c>
      <c r="Z205" s="5">
        <v>0</v>
      </c>
      <c r="AA205" s="5">
        <v>0.63</v>
      </c>
      <c r="AB205" s="5">
        <v>0</v>
      </c>
      <c r="AC205" s="5">
        <v>0</v>
      </c>
      <c r="AD205" s="5">
        <v>0.5</v>
      </c>
      <c r="AE205" s="5">
        <v>0</v>
      </c>
      <c r="AF205" s="5">
        <v>1</v>
      </c>
      <c r="AG205" s="5">
        <v>20</v>
      </c>
      <c r="AH205" s="5">
        <v>415.49999999999994</v>
      </c>
    </row>
    <row r="206" spans="1:34" x14ac:dyDescent="0.3">
      <c r="A206" s="5">
        <v>0</v>
      </c>
      <c r="B206" s="5">
        <v>0.38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0.2</v>
      </c>
      <c r="Y206" s="5">
        <v>0</v>
      </c>
      <c r="Z206" s="5">
        <v>0</v>
      </c>
      <c r="AA206" s="5">
        <v>0.42</v>
      </c>
      <c r="AB206" s="5">
        <v>0</v>
      </c>
      <c r="AC206" s="5">
        <v>0</v>
      </c>
      <c r="AD206" s="5">
        <v>0.5</v>
      </c>
      <c r="AE206" s="5">
        <v>0</v>
      </c>
      <c r="AF206" s="5">
        <v>1</v>
      </c>
      <c r="AG206" s="5">
        <v>20</v>
      </c>
      <c r="AH206" s="5">
        <v>365</v>
      </c>
    </row>
    <row r="207" spans="1:34" x14ac:dyDescent="0.3">
      <c r="A207" s="5">
        <v>0</v>
      </c>
      <c r="B207" s="5">
        <v>0.2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0.2</v>
      </c>
      <c r="Y207" s="5">
        <v>0</v>
      </c>
      <c r="Z207" s="5">
        <v>0</v>
      </c>
      <c r="AA207" s="5">
        <v>0.6</v>
      </c>
      <c r="AB207" s="5">
        <v>0</v>
      </c>
      <c r="AC207" s="5">
        <v>0</v>
      </c>
      <c r="AD207" s="5">
        <v>0.5</v>
      </c>
      <c r="AE207" s="5">
        <v>0</v>
      </c>
      <c r="AF207" s="5">
        <v>1</v>
      </c>
      <c r="AG207" s="5">
        <v>20</v>
      </c>
      <c r="AH207" s="5">
        <v>285</v>
      </c>
    </row>
    <row r="208" spans="1:34" x14ac:dyDescent="0.3">
      <c r="A208" s="5">
        <v>0</v>
      </c>
      <c r="B208" s="5">
        <v>0.12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0.2</v>
      </c>
      <c r="Y208" s="5">
        <v>0</v>
      </c>
      <c r="Z208" s="5">
        <v>0</v>
      </c>
      <c r="AA208" s="5">
        <v>0.68</v>
      </c>
      <c r="AB208" s="5">
        <v>0</v>
      </c>
      <c r="AC208" s="5">
        <v>0</v>
      </c>
      <c r="AD208" s="5">
        <v>0.5</v>
      </c>
      <c r="AE208" s="5">
        <v>0</v>
      </c>
      <c r="AF208" s="5">
        <v>1</v>
      </c>
      <c r="AG208" s="5">
        <v>5</v>
      </c>
      <c r="AH208" s="5">
        <v>211.49999999999997</v>
      </c>
    </row>
    <row r="209" spans="1:34" x14ac:dyDescent="0.3">
      <c r="A209" s="5">
        <v>0</v>
      </c>
      <c r="B209" s="5">
        <v>0.23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0.2</v>
      </c>
      <c r="Y209" s="5">
        <v>0</v>
      </c>
      <c r="Z209" s="5">
        <v>0</v>
      </c>
      <c r="AA209" s="5">
        <v>0.57000000000000006</v>
      </c>
      <c r="AB209" s="5">
        <v>0</v>
      </c>
      <c r="AC209" s="5">
        <v>0</v>
      </c>
      <c r="AD209" s="5">
        <v>0.5</v>
      </c>
      <c r="AE209" s="5">
        <v>0</v>
      </c>
      <c r="AF209" s="5">
        <v>1</v>
      </c>
      <c r="AG209" s="5">
        <v>5</v>
      </c>
      <c r="AH209" s="5">
        <v>226</v>
      </c>
    </row>
    <row r="210" spans="1:34" x14ac:dyDescent="0.3">
      <c r="A210" s="5">
        <v>0</v>
      </c>
      <c r="B210" s="5">
        <v>0.41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0.2</v>
      </c>
      <c r="Y210" s="5">
        <v>0</v>
      </c>
      <c r="Z210" s="5">
        <v>0</v>
      </c>
      <c r="AA210" s="5">
        <v>0.39000000000000007</v>
      </c>
      <c r="AB210" s="5">
        <v>0</v>
      </c>
      <c r="AC210" s="5">
        <v>0</v>
      </c>
      <c r="AD210" s="5">
        <v>0.5</v>
      </c>
      <c r="AE210" s="5">
        <v>0</v>
      </c>
      <c r="AF210" s="5">
        <v>1</v>
      </c>
      <c r="AG210" s="5">
        <v>5</v>
      </c>
      <c r="AH210" s="5">
        <v>238.99999999999997</v>
      </c>
    </row>
    <row r="211" spans="1:34" x14ac:dyDescent="0.3">
      <c r="A211" s="5">
        <v>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0.73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0.09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0.18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0.5</v>
      </c>
      <c r="AE211" s="5">
        <v>0</v>
      </c>
      <c r="AF211" s="5">
        <v>1</v>
      </c>
      <c r="AG211" s="5">
        <v>20</v>
      </c>
      <c r="AH211" s="5">
        <v>700</v>
      </c>
    </row>
    <row r="212" spans="1:34" x14ac:dyDescent="0.3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0.67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0.17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0.16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0.5</v>
      </c>
      <c r="AE212" s="5">
        <v>0</v>
      </c>
      <c r="AF212" s="5">
        <v>1</v>
      </c>
      <c r="AG212" s="5">
        <v>20</v>
      </c>
      <c r="AH212" s="5">
        <v>1093</v>
      </c>
    </row>
    <row r="213" spans="1:34" x14ac:dyDescent="0.3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0.62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0.23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0.15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0.5</v>
      </c>
      <c r="AE213" s="5">
        <v>0</v>
      </c>
      <c r="AF213" s="5">
        <v>1</v>
      </c>
      <c r="AG213" s="5">
        <v>20</v>
      </c>
      <c r="AH213" s="5">
        <v>550</v>
      </c>
    </row>
    <row r="214" spans="1:34" x14ac:dyDescent="0.3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0.7</v>
      </c>
      <c r="I214" s="5">
        <v>0</v>
      </c>
      <c r="J214" s="5">
        <v>0</v>
      </c>
      <c r="K214" s="5">
        <v>0.05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0.25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0.5</v>
      </c>
      <c r="AE214" s="5">
        <v>0</v>
      </c>
      <c r="AF214" s="5">
        <v>0.1</v>
      </c>
      <c r="AG214" s="5">
        <v>10</v>
      </c>
      <c r="AH214" s="5">
        <v>23.333333333333336</v>
      </c>
    </row>
    <row r="215" spans="1:34" x14ac:dyDescent="0.3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0.7</v>
      </c>
      <c r="I215" s="5">
        <v>0</v>
      </c>
      <c r="J215" s="5">
        <v>0</v>
      </c>
      <c r="K215" s="5">
        <v>0.05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0.25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0.5</v>
      </c>
      <c r="AE215" s="5">
        <v>0</v>
      </c>
      <c r="AF215" s="5">
        <v>0.2</v>
      </c>
      <c r="AG215" s="5">
        <v>10</v>
      </c>
      <c r="AH215" s="5">
        <v>45</v>
      </c>
    </row>
    <row r="216" spans="1:34" x14ac:dyDescent="0.3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0.7</v>
      </c>
      <c r="I216" s="5">
        <v>0</v>
      </c>
      <c r="J216" s="5">
        <v>0</v>
      </c>
      <c r="K216" s="5">
        <v>0.05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0.25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0.5</v>
      </c>
      <c r="AE216" s="5">
        <v>0</v>
      </c>
      <c r="AF216" s="5">
        <v>0.3</v>
      </c>
      <c r="AG216" s="5">
        <v>10</v>
      </c>
      <c r="AH216" s="5">
        <v>68.333333333333343</v>
      </c>
    </row>
    <row r="217" spans="1:34" x14ac:dyDescent="0.3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0.7</v>
      </c>
      <c r="I217" s="5">
        <v>0</v>
      </c>
      <c r="J217" s="5">
        <v>0</v>
      </c>
      <c r="K217" s="5">
        <v>0.05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0.25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0.5</v>
      </c>
      <c r="AE217" s="5">
        <v>0</v>
      </c>
      <c r="AF217" s="5">
        <v>0.4</v>
      </c>
      <c r="AG217" s="5">
        <v>10</v>
      </c>
      <c r="AH217" s="5">
        <v>87.166666666666671</v>
      </c>
    </row>
    <row r="218" spans="1:34" x14ac:dyDescent="0.3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0.7</v>
      </c>
      <c r="I218" s="5">
        <v>0</v>
      </c>
      <c r="J218" s="5">
        <v>0</v>
      </c>
      <c r="K218" s="5">
        <v>0.05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0.25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0.5</v>
      </c>
      <c r="AE218" s="5">
        <v>0</v>
      </c>
      <c r="AF218" s="5">
        <v>0.5</v>
      </c>
      <c r="AG218" s="5">
        <v>10</v>
      </c>
      <c r="AH218" s="5">
        <v>102.00000000000001</v>
      </c>
    </row>
    <row r="219" spans="1:34" x14ac:dyDescent="0.3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0.7</v>
      </c>
      <c r="I219" s="5">
        <v>0</v>
      </c>
      <c r="J219" s="5">
        <v>0</v>
      </c>
      <c r="K219" s="5">
        <v>0.05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0.25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0.5</v>
      </c>
      <c r="AE219" s="5">
        <v>0</v>
      </c>
      <c r="AF219" s="5">
        <v>0.6</v>
      </c>
      <c r="AG219" s="5">
        <v>10</v>
      </c>
      <c r="AH219" s="5">
        <v>113.83333333333333</v>
      </c>
    </row>
    <row r="220" spans="1:34" x14ac:dyDescent="0.3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0.7</v>
      </c>
      <c r="I220" s="5">
        <v>0</v>
      </c>
      <c r="J220" s="5">
        <v>0</v>
      </c>
      <c r="K220" s="5">
        <v>0.05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0.25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0.5</v>
      </c>
      <c r="AE220" s="5">
        <v>0</v>
      </c>
      <c r="AF220" s="5">
        <v>0.6</v>
      </c>
      <c r="AG220" s="5">
        <v>100</v>
      </c>
      <c r="AH220" s="5">
        <v>140</v>
      </c>
    </row>
    <row r="221" spans="1:34" x14ac:dyDescent="0.3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0.7</v>
      </c>
      <c r="I221" s="5">
        <v>0</v>
      </c>
      <c r="J221" s="5">
        <v>0</v>
      </c>
      <c r="K221" s="5">
        <v>0.05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0.25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0.5</v>
      </c>
      <c r="AE221" s="5">
        <v>0</v>
      </c>
      <c r="AF221" s="5">
        <v>0.6</v>
      </c>
      <c r="AG221" s="5">
        <v>80</v>
      </c>
      <c r="AH221" s="5">
        <v>135</v>
      </c>
    </row>
    <row r="222" spans="1:34" x14ac:dyDescent="0.3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0.7</v>
      </c>
      <c r="I222" s="5">
        <v>0</v>
      </c>
      <c r="J222" s="5">
        <v>0</v>
      </c>
      <c r="K222" s="5">
        <v>0.05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0.25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0.5</v>
      </c>
      <c r="AE222" s="5">
        <v>0</v>
      </c>
      <c r="AF222" s="5">
        <v>0.6</v>
      </c>
      <c r="AG222" s="5">
        <v>60</v>
      </c>
      <c r="AH222" s="5">
        <v>131.66666666666669</v>
      </c>
    </row>
    <row r="223" spans="1:34" x14ac:dyDescent="0.3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0.7</v>
      </c>
      <c r="I223" s="5">
        <v>0</v>
      </c>
      <c r="J223" s="5">
        <v>0</v>
      </c>
      <c r="K223" s="5">
        <v>0.05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0.25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0.5</v>
      </c>
      <c r="AE223" s="5">
        <v>0</v>
      </c>
      <c r="AF223" s="5">
        <v>0.6</v>
      </c>
      <c r="AG223" s="5">
        <v>40</v>
      </c>
      <c r="AH223" s="5">
        <v>123.33333333333334</v>
      </c>
    </row>
    <row r="224" spans="1:34" x14ac:dyDescent="0.3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0.7</v>
      </c>
      <c r="I224" s="5">
        <v>0</v>
      </c>
      <c r="J224" s="5">
        <v>0</v>
      </c>
      <c r="K224" s="5">
        <v>0.05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0.25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0.5</v>
      </c>
      <c r="AE224" s="5">
        <v>0</v>
      </c>
      <c r="AF224" s="5">
        <v>0.6</v>
      </c>
      <c r="AG224" s="5">
        <v>20</v>
      </c>
      <c r="AH224" s="5">
        <v>116.66666666666667</v>
      </c>
    </row>
    <row r="225" spans="1:34" x14ac:dyDescent="0.3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0.7</v>
      </c>
      <c r="I225" s="5">
        <v>0</v>
      </c>
      <c r="J225" s="5">
        <v>0</v>
      </c>
      <c r="K225" s="5">
        <v>0.05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0.25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0.5</v>
      </c>
      <c r="AE225" s="5">
        <v>0</v>
      </c>
      <c r="AF225" s="5">
        <v>0.6</v>
      </c>
      <c r="AG225" s="5">
        <v>5</v>
      </c>
      <c r="AH225" s="5">
        <v>128</v>
      </c>
    </row>
    <row r="226" spans="1:34" x14ac:dyDescent="0.3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0.7</v>
      </c>
      <c r="I226" s="5">
        <v>0</v>
      </c>
      <c r="J226" s="5">
        <v>0</v>
      </c>
      <c r="K226" s="5">
        <v>0.05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0.25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0.5</v>
      </c>
      <c r="AE226" s="5">
        <v>0</v>
      </c>
      <c r="AF226" s="5">
        <v>0.6</v>
      </c>
      <c r="AG226" s="5">
        <v>2.5</v>
      </c>
      <c r="AH226" s="5">
        <v>100</v>
      </c>
    </row>
    <row r="227" spans="1:34" x14ac:dyDescent="0.3">
      <c r="A227" s="5">
        <v>0</v>
      </c>
      <c r="B227" s="5">
        <v>0</v>
      </c>
      <c r="C227" s="5">
        <v>0</v>
      </c>
      <c r="D227" s="5">
        <v>0</v>
      </c>
      <c r="E227" s="5">
        <v>0.6399999999999999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0.16000000000000003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0.2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0.5</v>
      </c>
      <c r="AE227" s="5">
        <v>0</v>
      </c>
      <c r="AF227" s="5">
        <v>1</v>
      </c>
      <c r="AG227" s="5">
        <v>50</v>
      </c>
      <c r="AH227" s="5">
        <v>610</v>
      </c>
    </row>
    <row r="228" spans="1:34" x14ac:dyDescent="0.3">
      <c r="A228" s="5">
        <v>0</v>
      </c>
      <c r="B228" s="5">
        <v>0</v>
      </c>
      <c r="C228" s="5">
        <v>0</v>
      </c>
      <c r="D228" s="5">
        <v>0</v>
      </c>
      <c r="E228" s="5">
        <v>0.60000000000000009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0.2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0.2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0.5</v>
      </c>
      <c r="AE228" s="5">
        <v>0</v>
      </c>
      <c r="AF228" s="5">
        <v>1</v>
      </c>
      <c r="AG228" s="5">
        <v>50</v>
      </c>
      <c r="AH228" s="5">
        <v>780</v>
      </c>
    </row>
    <row r="229" spans="1:34" x14ac:dyDescent="0.3">
      <c r="A229" s="5">
        <v>0</v>
      </c>
      <c r="B229" s="5">
        <v>0</v>
      </c>
      <c r="C229" s="5">
        <v>0</v>
      </c>
      <c r="D229" s="5">
        <v>0</v>
      </c>
      <c r="E229" s="5">
        <v>0.56000000000000005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0.24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0.2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0.5</v>
      </c>
      <c r="AE229" s="5">
        <v>0</v>
      </c>
      <c r="AF229" s="5">
        <v>1</v>
      </c>
      <c r="AG229" s="5">
        <v>50</v>
      </c>
      <c r="AH229" s="5">
        <v>970</v>
      </c>
    </row>
    <row r="230" spans="1:34" x14ac:dyDescent="0.3">
      <c r="A230" s="5">
        <v>0</v>
      </c>
      <c r="B230" s="5">
        <v>0</v>
      </c>
      <c r="C230" s="5">
        <v>0</v>
      </c>
      <c r="D230" s="5">
        <v>0</v>
      </c>
      <c r="E230" s="5">
        <v>0.47999999999999993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0.32000000000000006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0.2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0.5</v>
      </c>
      <c r="AE230" s="5">
        <v>0</v>
      </c>
      <c r="AF230" s="5">
        <v>1</v>
      </c>
      <c r="AG230" s="5">
        <v>50</v>
      </c>
      <c r="AH230" s="5">
        <v>803</v>
      </c>
    </row>
    <row r="231" spans="1:34" x14ac:dyDescent="0.3">
      <c r="A231" s="5">
        <v>0</v>
      </c>
      <c r="B231" s="5">
        <v>0</v>
      </c>
      <c r="C231" s="5">
        <v>0</v>
      </c>
      <c r="D231" s="5">
        <v>0</v>
      </c>
      <c r="E231" s="5">
        <v>0.39999999999999997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0.4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0.2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0.5</v>
      </c>
      <c r="AE231" s="5">
        <v>0</v>
      </c>
      <c r="AF231" s="5">
        <v>1</v>
      </c>
      <c r="AG231" s="5">
        <v>50</v>
      </c>
      <c r="AH231" s="5">
        <v>625</v>
      </c>
    </row>
    <row r="232" spans="1:34" x14ac:dyDescent="0.3">
      <c r="A232" s="5">
        <v>0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0.48999999999999994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0.33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0.18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0.5</v>
      </c>
      <c r="AE232" s="5">
        <v>0</v>
      </c>
      <c r="AF232" s="5">
        <v>1</v>
      </c>
      <c r="AG232" s="5">
        <v>25</v>
      </c>
      <c r="AH232" s="5">
        <v>300</v>
      </c>
    </row>
    <row r="233" spans="1:34" x14ac:dyDescent="0.3">
      <c r="A233" s="5">
        <v>0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0.49999999999999989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0.34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0.16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0.5</v>
      </c>
      <c r="AE233" s="5">
        <v>0</v>
      </c>
      <c r="AF233" s="5">
        <v>1</v>
      </c>
      <c r="AG233" s="5">
        <v>25</v>
      </c>
      <c r="AH233" s="5">
        <v>410</v>
      </c>
    </row>
    <row r="234" spans="1:34" x14ac:dyDescent="0.3">
      <c r="A234" s="5">
        <v>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0.59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0.27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0.14000000000000001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0.5</v>
      </c>
      <c r="AE234" s="5">
        <v>0</v>
      </c>
      <c r="AF234" s="5">
        <v>1</v>
      </c>
      <c r="AG234" s="5">
        <v>25</v>
      </c>
      <c r="AH234" s="5">
        <v>282</v>
      </c>
    </row>
    <row r="235" spans="1:34" x14ac:dyDescent="0.3">
      <c r="A235" s="5">
        <v>0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0.8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0.15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0.05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1</v>
      </c>
      <c r="AE235" s="5">
        <v>0</v>
      </c>
      <c r="AF235" s="5">
        <v>1</v>
      </c>
      <c r="AG235" s="5">
        <v>50</v>
      </c>
      <c r="AH235" s="5">
        <v>180</v>
      </c>
    </row>
    <row r="236" spans="1:34" x14ac:dyDescent="0.3">
      <c r="A236" s="5">
        <v>0</v>
      </c>
      <c r="B236" s="5">
        <v>0.15</v>
      </c>
      <c r="C236" s="5">
        <v>0</v>
      </c>
      <c r="D236" s="5">
        <v>0</v>
      </c>
      <c r="E236" s="5">
        <v>0.44999999999999996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0.26</v>
      </c>
      <c r="Y236" s="5">
        <v>0.14000000000000001</v>
      </c>
      <c r="Z236" s="5">
        <v>0</v>
      </c>
      <c r="AA236" s="5">
        <v>0</v>
      </c>
      <c r="AB236" s="5">
        <v>0</v>
      </c>
      <c r="AC236" s="5">
        <v>0</v>
      </c>
      <c r="AD236" s="5">
        <v>1</v>
      </c>
      <c r="AE236" s="5">
        <v>0</v>
      </c>
      <c r="AF236" s="5">
        <v>1</v>
      </c>
      <c r="AG236" s="5">
        <v>50</v>
      </c>
      <c r="AH236" s="5">
        <v>25</v>
      </c>
    </row>
    <row r="237" spans="1:34" x14ac:dyDescent="0.3">
      <c r="A237" s="5">
        <v>0</v>
      </c>
      <c r="B237" s="5">
        <v>0.3</v>
      </c>
      <c r="C237" s="5">
        <v>0</v>
      </c>
      <c r="D237" s="5">
        <v>0</v>
      </c>
      <c r="E237" s="5">
        <v>0.3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0.26</v>
      </c>
      <c r="Y237" s="5">
        <v>0.14000000000000001</v>
      </c>
      <c r="Z237" s="5">
        <v>0</v>
      </c>
      <c r="AA237" s="5">
        <v>0</v>
      </c>
      <c r="AB237" s="5">
        <v>0</v>
      </c>
      <c r="AC237" s="5">
        <v>0</v>
      </c>
      <c r="AD237" s="5">
        <v>1</v>
      </c>
      <c r="AE237" s="5">
        <v>0</v>
      </c>
      <c r="AF237" s="5">
        <v>1</v>
      </c>
      <c r="AG237" s="5">
        <v>50</v>
      </c>
      <c r="AH237" s="5">
        <v>41.666666666666664</v>
      </c>
    </row>
    <row r="238" spans="1:34" x14ac:dyDescent="0.3">
      <c r="A238" s="5">
        <v>0</v>
      </c>
      <c r="B238" s="5">
        <v>0.44999999999999996</v>
      </c>
      <c r="C238" s="5">
        <v>0</v>
      </c>
      <c r="D238" s="5">
        <v>0</v>
      </c>
      <c r="E238" s="5">
        <v>0.15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0.26</v>
      </c>
      <c r="Y238" s="5">
        <v>0.14000000000000001</v>
      </c>
      <c r="Z238" s="5">
        <v>0</v>
      </c>
      <c r="AA238" s="5">
        <v>0</v>
      </c>
      <c r="AB238" s="5">
        <v>0</v>
      </c>
      <c r="AC238" s="5">
        <v>0</v>
      </c>
      <c r="AD238" s="5">
        <v>1</v>
      </c>
      <c r="AE238" s="5">
        <v>0</v>
      </c>
      <c r="AF238" s="5">
        <v>1</v>
      </c>
      <c r="AG238" s="5">
        <v>50</v>
      </c>
      <c r="AH238" s="5">
        <v>15</v>
      </c>
    </row>
    <row r="239" spans="1:34" x14ac:dyDescent="0.3">
      <c r="A239" s="5">
        <v>0</v>
      </c>
      <c r="B239" s="5">
        <v>0.70000000000000007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0.09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0.21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0.5</v>
      </c>
      <c r="AE239" s="5">
        <v>0</v>
      </c>
      <c r="AF239" s="5">
        <v>0.5</v>
      </c>
      <c r="AG239" s="5">
        <v>50</v>
      </c>
      <c r="AH239" s="5">
        <v>372</v>
      </c>
    </row>
    <row r="240" spans="1:34" x14ac:dyDescent="0.3">
      <c r="A240" s="5">
        <v>0</v>
      </c>
      <c r="B240" s="5">
        <v>0.62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0.17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0.21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0.5</v>
      </c>
      <c r="AE240" s="5">
        <v>0</v>
      </c>
      <c r="AF240" s="5">
        <v>0.5</v>
      </c>
      <c r="AG240" s="5">
        <v>50</v>
      </c>
      <c r="AH240" s="5">
        <v>610</v>
      </c>
    </row>
    <row r="241" spans="1:34" x14ac:dyDescent="0.3">
      <c r="A241" s="5">
        <v>0</v>
      </c>
      <c r="B241" s="5">
        <v>0.51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0.27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0.22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0.5</v>
      </c>
      <c r="AE241" s="5">
        <v>0</v>
      </c>
      <c r="AF241" s="5">
        <v>0.5</v>
      </c>
      <c r="AG241" s="5">
        <v>50</v>
      </c>
      <c r="AH241" s="5">
        <v>280</v>
      </c>
    </row>
    <row r="242" spans="1:34" x14ac:dyDescent="0.3">
      <c r="A242" s="5">
        <v>0</v>
      </c>
      <c r="B242" s="5">
        <v>0.56000000000000005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0.04</v>
      </c>
      <c r="W242" s="5">
        <v>0</v>
      </c>
      <c r="X242" s="5">
        <v>0.4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0.1</v>
      </c>
      <c r="AF242" s="5">
        <v>1</v>
      </c>
      <c r="AG242" s="5">
        <v>50</v>
      </c>
      <c r="AH242" s="5">
        <v>210</v>
      </c>
    </row>
    <row r="243" spans="1:34" x14ac:dyDescent="0.3">
      <c r="A243" s="5">
        <v>0</v>
      </c>
      <c r="B243" s="5">
        <v>0.42000000000000004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0.14000000000000001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0.04</v>
      </c>
      <c r="W243" s="5">
        <v>0</v>
      </c>
      <c r="X243" s="5">
        <v>0.4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0.1</v>
      </c>
      <c r="AF243" s="5">
        <v>1</v>
      </c>
      <c r="AG243" s="5">
        <v>50</v>
      </c>
      <c r="AH243" s="5">
        <v>360</v>
      </c>
    </row>
    <row r="244" spans="1:34" x14ac:dyDescent="0.3">
      <c r="A244" s="5">
        <v>0</v>
      </c>
      <c r="B244" s="5">
        <v>7.0000000000000007E-2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0.17</v>
      </c>
      <c r="Y244" s="5">
        <v>0</v>
      </c>
      <c r="Z244" s="5">
        <v>0</v>
      </c>
      <c r="AA244" s="5">
        <v>0.76</v>
      </c>
      <c r="AB244" s="5">
        <v>0</v>
      </c>
      <c r="AC244" s="5">
        <v>0</v>
      </c>
      <c r="AD244" s="5">
        <v>0.5</v>
      </c>
      <c r="AE244" s="5">
        <v>0</v>
      </c>
      <c r="AF244" s="5">
        <v>1</v>
      </c>
      <c r="AG244" s="5">
        <v>50</v>
      </c>
      <c r="AH244" s="5">
        <v>324</v>
      </c>
    </row>
    <row r="245" spans="1:34" x14ac:dyDescent="0.3">
      <c r="A245" s="5">
        <v>0</v>
      </c>
      <c r="B245" s="5">
        <v>0.86399999999999999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3.6000000000000004E-2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0.1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0.5</v>
      </c>
      <c r="AE245" s="5">
        <v>0</v>
      </c>
      <c r="AF245" s="5">
        <v>0.5</v>
      </c>
      <c r="AG245" s="5">
        <v>20</v>
      </c>
      <c r="AH245" s="5">
        <v>47</v>
      </c>
    </row>
    <row r="246" spans="1:34" x14ac:dyDescent="0.3">
      <c r="A246" s="5">
        <v>0</v>
      </c>
      <c r="B246" s="5">
        <v>0.85680000000000001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4.3200000000000002E-2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0.1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0.5</v>
      </c>
      <c r="AE246" s="5">
        <v>0</v>
      </c>
      <c r="AF246" s="5">
        <v>0.5</v>
      </c>
      <c r="AG246" s="5">
        <v>20</v>
      </c>
      <c r="AH246" s="5">
        <v>161</v>
      </c>
    </row>
    <row r="247" spans="1:34" x14ac:dyDescent="0.3">
      <c r="A247" s="5">
        <v>0</v>
      </c>
      <c r="B247" s="5">
        <v>0.84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0.06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0.1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0.5</v>
      </c>
      <c r="AE247" s="5">
        <v>0</v>
      </c>
      <c r="AF247" s="5">
        <v>0.5</v>
      </c>
      <c r="AG247" s="5">
        <v>20</v>
      </c>
      <c r="AH247" s="5">
        <v>119</v>
      </c>
    </row>
    <row r="248" spans="1:34" x14ac:dyDescent="0.3">
      <c r="A248" s="5">
        <v>0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0.83</v>
      </c>
      <c r="I248" s="5">
        <v>0</v>
      </c>
      <c r="J248" s="5">
        <v>7.0000000000000007E-2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0.1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0.5</v>
      </c>
      <c r="AE248" s="5">
        <v>0</v>
      </c>
      <c r="AF248" s="5">
        <v>0.5</v>
      </c>
      <c r="AG248" s="5">
        <v>20</v>
      </c>
      <c r="AH248" s="5">
        <v>87</v>
      </c>
    </row>
    <row r="249" spans="1:34" x14ac:dyDescent="0.3">
      <c r="A249" s="5">
        <v>0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0.78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0.15</v>
      </c>
      <c r="Y249" s="5">
        <v>7.0000000000000007E-2</v>
      </c>
      <c r="Z249" s="5">
        <v>0</v>
      </c>
      <c r="AA249" s="5">
        <v>0</v>
      </c>
      <c r="AB249" s="5">
        <v>0</v>
      </c>
      <c r="AC249" s="5">
        <v>0</v>
      </c>
      <c r="AD249" s="5">
        <v>0.5</v>
      </c>
      <c r="AE249" s="5">
        <v>0</v>
      </c>
      <c r="AF249" s="5">
        <v>1</v>
      </c>
      <c r="AG249" s="5">
        <v>50</v>
      </c>
      <c r="AH249" s="5">
        <v>40.333333333333336</v>
      </c>
    </row>
    <row r="250" spans="1:34" x14ac:dyDescent="0.3">
      <c r="A250" s="5">
        <v>0</v>
      </c>
      <c r="B250" s="5">
        <v>0</v>
      </c>
      <c r="C250" s="5">
        <v>0</v>
      </c>
      <c r="D250" s="5">
        <v>0</v>
      </c>
      <c r="E250" s="5">
        <v>0.78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0.16</v>
      </c>
      <c r="Y250" s="5">
        <v>0.06</v>
      </c>
      <c r="Z250" s="5">
        <v>0</v>
      </c>
      <c r="AA250" s="5">
        <v>0</v>
      </c>
      <c r="AB250" s="5">
        <v>0</v>
      </c>
      <c r="AC250" s="5">
        <v>0</v>
      </c>
      <c r="AD250" s="5">
        <v>0.5</v>
      </c>
      <c r="AE250" s="5">
        <v>0</v>
      </c>
      <c r="AF250" s="5">
        <v>1</v>
      </c>
      <c r="AG250" s="5">
        <v>50</v>
      </c>
      <c r="AH250" s="5">
        <v>60.637499999999996</v>
      </c>
    </row>
    <row r="251" spans="1:34" x14ac:dyDescent="0.3">
      <c r="A251" s="5">
        <v>0</v>
      </c>
      <c r="B251" s="5">
        <v>0</v>
      </c>
      <c r="C251" s="5">
        <v>0</v>
      </c>
      <c r="D251" s="5">
        <v>0</v>
      </c>
      <c r="E251" s="5">
        <v>0.76</v>
      </c>
      <c r="F251" s="5">
        <v>0</v>
      </c>
      <c r="G251" s="5">
        <v>0</v>
      </c>
      <c r="H251" s="5">
        <v>0</v>
      </c>
      <c r="I251" s="5">
        <v>0.05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0.14000000000000001</v>
      </c>
      <c r="Y251" s="5">
        <v>0.05</v>
      </c>
      <c r="Z251" s="5">
        <v>0</v>
      </c>
      <c r="AA251" s="5">
        <v>0</v>
      </c>
      <c r="AB251" s="5">
        <v>0</v>
      </c>
      <c r="AC251" s="5">
        <v>0</v>
      </c>
      <c r="AD251" s="5">
        <v>0.5</v>
      </c>
      <c r="AE251" s="5">
        <v>0</v>
      </c>
      <c r="AF251" s="5">
        <v>1</v>
      </c>
      <c r="AG251" s="5">
        <v>50</v>
      </c>
      <c r="AH251" s="5">
        <v>112.23571428571428</v>
      </c>
    </row>
    <row r="252" spans="1:34" x14ac:dyDescent="0.3">
      <c r="A252" s="5">
        <v>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0.83</v>
      </c>
      <c r="H252" s="5">
        <v>0</v>
      </c>
      <c r="I252" s="5">
        <v>0.04</v>
      </c>
      <c r="J252" s="5">
        <v>0.01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0.12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0.5</v>
      </c>
      <c r="AE252" s="5">
        <v>0</v>
      </c>
      <c r="AF252" s="5">
        <v>1</v>
      </c>
      <c r="AG252" s="5">
        <v>50</v>
      </c>
      <c r="AH252" s="5">
        <v>505</v>
      </c>
    </row>
    <row r="253" spans="1:34" x14ac:dyDescent="0.3">
      <c r="A253" s="5">
        <v>0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0.81</v>
      </c>
      <c r="H253" s="5">
        <v>0</v>
      </c>
      <c r="I253" s="5">
        <v>0.04</v>
      </c>
      <c r="J253" s="5">
        <v>0.01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0.14000000000000001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0.5</v>
      </c>
      <c r="AE253" s="5">
        <v>0</v>
      </c>
      <c r="AF253" s="5">
        <v>1</v>
      </c>
      <c r="AG253" s="5">
        <v>50</v>
      </c>
      <c r="AH253" s="5">
        <v>469</v>
      </c>
    </row>
    <row r="254" spans="1:34" x14ac:dyDescent="0.3">
      <c r="A254" s="5">
        <v>0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0.67</v>
      </c>
      <c r="I254" s="5">
        <v>0</v>
      </c>
      <c r="J254" s="5">
        <v>0</v>
      </c>
      <c r="K254" s="5">
        <v>0.01</v>
      </c>
      <c r="L254" s="5">
        <v>0.20999999999999996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0.11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0.5</v>
      </c>
      <c r="AE254" s="5">
        <v>0</v>
      </c>
      <c r="AF254" s="5">
        <v>1</v>
      </c>
      <c r="AG254" s="5">
        <v>50</v>
      </c>
      <c r="AH254" s="5">
        <v>425</v>
      </c>
    </row>
    <row r="255" spans="1:34" x14ac:dyDescent="0.3">
      <c r="A255" s="5">
        <v>0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0.67</v>
      </c>
      <c r="I255" s="5">
        <v>0</v>
      </c>
      <c r="J255" s="5">
        <v>0</v>
      </c>
      <c r="K255" s="5">
        <v>0.02</v>
      </c>
      <c r="L255" s="5">
        <v>0.19999999999999996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0.11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0.5</v>
      </c>
      <c r="AE255" s="5">
        <v>0</v>
      </c>
      <c r="AF255" s="5">
        <v>1</v>
      </c>
      <c r="AG255" s="5">
        <v>50</v>
      </c>
      <c r="AH255" s="5">
        <v>674</v>
      </c>
    </row>
    <row r="256" spans="1:34" x14ac:dyDescent="0.3">
      <c r="A256" s="5">
        <v>0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0.67</v>
      </c>
      <c r="I256" s="5">
        <v>0</v>
      </c>
      <c r="J256" s="5">
        <v>0</v>
      </c>
      <c r="K256" s="5">
        <v>0.04</v>
      </c>
      <c r="L256" s="5">
        <v>0.18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0.11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0.5</v>
      </c>
      <c r="AE256" s="5">
        <v>0</v>
      </c>
      <c r="AF256" s="5">
        <v>1</v>
      </c>
      <c r="AG256" s="5">
        <v>50</v>
      </c>
      <c r="AH256" s="5">
        <v>600</v>
      </c>
    </row>
    <row r="257" spans="1:34" x14ac:dyDescent="0.3">
      <c r="A257" s="5">
        <v>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0.67</v>
      </c>
      <c r="I257" s="5">
        <v>0</v>
      </c>
      <c r="J257" s="5">
        <v>0</v>
      </c>
      <c r="K257" s="5">
        <v>0</v>
      </c>
      <c r="L257" s="5">
        <v>0.22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0.11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0.5</v>
      </c>
      <c r="AE257" s="5">
        <v>0</v>
      </c>
      <c r="AF257" s="5">
        <v>1</v>
      </c>
      <c r="AG257" s="5">
        <v>50</v>
      </c>
      <c r="AH257" s="5">
        <v>449</v>
      </c>
    </row>
    <row r="258" spans="1:34" x14ac:dyDescent="0.3">
      <c r="A258" s="5">
        <v>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0.56000000000000005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0.2</v>
      </c>
      <c r="Y258" s="5">
        <v>0</v>
      </c>
      <c r="Z258" s="5">
        <v>0.04</v>
      </c>
      <c r="AA258" s="5">
        <v>0.2</v>
      </c>
      <c r="AB258" s="5">
        <v>0</v>
      </c>
      <c r="AC258" s="5">
        <v>0</v>
      </c>
      <c r="AD258" s="5">
        <v>0.5</v>
      </c>
      <c r="AE258" s="5">
        <v>0</v>
      </c>
      <c r="AF258" s="5">
        <v>0.5</v>
      </c>
      <c r="AG258" s="5">
        <v>50</v>
      </c>
      <c r="AH258" s="5">
        <v>450</v>
      </c>
    </row>
    <row r="259" spans="1:34" x14ac:dyDescent="0.3">
      <c r="A259" s="5">
        <v>0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0.56000000000000005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0.2</v>
      </c>
      <c r="Y259" s="5">
        <v>0</v>
      </c>
      <c r="Z259" s="5">
        <v>0.08</v>
      </c>
      <c r="AA259" s="5">
        <v>0.16</v>
      </c>
      <c r="AB259" s="5">
        <v>0</v>
      </c>
      <c r="AC259" s="5">
        <v>0</v>
      </c>
      <c r="AD259" s="5">
        <v>0.5</v>
      </c>
      <c r="AE259" s="5">
        <v>0</v>
      </c>
      <c r="AF259" s="5">
        <v>0.5</v>
      </c>
      <c r="AG259" s="5">
        <v>50</v>
      </c>
      <c r="AH259" s="5">
        <v>400</v>
      </c>
    </row>
    <row r="260" spans="1:34" x14ac:dyDescent="0.3">
      <c r="A260" s="5">
        <v>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0.56000000000000005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0.2</v>
      </c>
      <c r="Y260" s="5">
        <v>0</v>
      </c>
      <c r="Z260" s="5">
        <v>0.11</v>
      </c>
      <c r="AA260" s="5">
        <v>0.13</v>
      </c>
      <c r="AB260" s="5">
        <v>0</v>
      </c>
      <c r="AC260" s="5">
        <v>0</v>
      </c>
      <c r="AD260" s="5">
        <v>0.5</v>
      </c>
      <c r="AE260" s="5">
        <v>0</v>
      </c>
      <c r="AF260" s="5">
        <v>0.5</v>
      </c>
      <c r="AG260" s="5">
        <v>50</v>
      </c>
      <c r="AH260" s="5">
        <v>350</v>
      </c>
    </row>
    <row r="261" spans="1:34" x14ac:dyDescent="0.3">
      <c r="A261" s="5">
        <v>0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0.64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0.2</v>
      </c>
      <c r="Y261" s="5">
        <v>0</v>
      </c>
      <c r="Z261" s="5">
        <v>0.03</v>
      </c>
      <c r="AA261" s="5">
        <v>0.13</v>
      </c>
      <c r="AB261" s="5">
        <v>0</v>
      </c>
      <c r="AC261" s="5">
        <v>0</v>
      </c>
      <c r="AD261" s="5">
        <v>0.5</v>
      </c>
      <c r="AE261" s="5">
        <v>0</v>
      </c>
      <c r="AF261" s="5">
        <v>0.5</v>
      </c>
      <c r="AG261" s="5">
        <v>50</v>
      </c>
      <c r="AH261" s="5">
        <v>380</v>
      </c>
    </row>
    <row r="262" spans="1:34" x14ac:dyDescent="0.3">
      <c r="A262" s="5">
        <v>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0.48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0.2</v>
      </c>
      <c r="Y262" s="5">
        <v>0</v>
      </c>
      <c r="Z262" s="5">
        <v>0.05</v>
      </c>
      <c r="AA262" s="5">
        <v>0.27</v>
      </c>
      <c r="AB262" s="5">
        <v>0</v>
      </c>
      <c r="AC262" s="5">
        <v>0</v>
      </c>
      <c r="AD262" s="5">
        <v>0.5</v>
      </c>
      <c r="AE262" s="5">
        <v>0</v>
      </c>
      <c r="AF262" s="5">
        <v>0.5</v>
      </c>
      <c r="AG262" s="5">
        <v>50</v>
      </c>
      <c r="AH262" s="5">
        <v>325</v>
      </c>
    </row>
    <row r="263" spans="1:34" x14ac:dyDescent="0.3">
      <c r="A263" s="5">
        <v>0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0.56000000000000005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0.2</v>
      </c>
      <c r="Y263" s="5">
        <v>0</v>
      </c>
      <c r="Z263" s="5">
        <v>0</v>
      </c>
      <c r="AA263" s="5">
        <v>0.24</v>
      </c>
      <c r="AB263" s="5">
        <v>0</v>
      </c>
      <c r="AC263" s="5">
        <v>0</v>
      </c>
      <c r="AD263" s="5">
        <v>0.5</v>
      </c>
      <c r="AE263" s="5">
        <v>0</v>
      </c>
      <c r="AF263" s="5">
        <v>0.5</v>
      </c>
      <c r="AG263" s="5">
        <v>50</v>
      </c>
      <c r="AH263" s="5">
        <v>380</v>
      </c>
    </row>
    <row r="264" spans="1:34" x14ac:dyDescent="0.3">
      <c r="A264" s="5">
        <v>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0.5</v>
      </c>
      <c r="I264" s="5">
        <v>0</v>
      </c>
      <c r="J264" s="5">
        <v>0</v>
      </c>
      <c r="K264" s="5">
        <v>0</v>
      </c>
      <c r="L264" s="5">
        <v>0.3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0.2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0.5</v>
      </c>
      <c r="AE264" s="5">
        <v>0</v>
      </c>
      <c r="AF264" s="5">
        <v>0.5</v>
      </c>
      <c r="AG264" s="5">
        <v>50</v>
      </c>
      <c r="AH264" s="5">
        <v>428</v>
      </c>
    </row>
    <row r="265" spans="1:34" x14ac:dyDescent="0.3">
      <c r="A265" s="5">
        <v>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0.5</v>
      </c>
      <c r="I265" s="5">
        <v>0</v>
      </c>
      <c r="J265" s="5">
        <v>0</v>
      </c>
      <c r="K265" s="5">
        <v>0</v>
      </c>
      <c r="L265" s="5">
        <v>0.25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0.2</v>
      </c>
      <c r="Y265" s="5">
        <v>0</v>
      </c>
      <c r="Z265" s="5">
        <v>0.05</v>
      </c>
      <c r="AA265" s="5">
        <v>0</v>
      </c>
      <c r="AB265" s="5">
        <v>0</v>
      </c>
      <c r="AC265" s="5">
        <v>0</v>
      </c>
      <c r="AD265" s="5">
        <v>0.5</v>
      </c>
      <c r="AE265" s="5">
        <v>0</v>
      </c>
      <c r="AF265" s="5">
        <v>0.5</v>
      </c>
      <c r="AG265" s="5">
        <v>50</v>
      </c>
      <c r="AH265" s="5">
        <v>502</v>
      </c>
    </row>
    <row r="266" spans="1:34" x14ac:dyDescent="0.3">
      <c r="A266" s="5">
        <v>0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0.73</v>
      </c>
      <c r="H266" s="5">
        <v>0</v>
      </c>
      <c r="I266" s="5">
        <v>0.1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0.17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0.5</v>
      </c>
      <c r="AE266" s="5">
        <v>0</v>
      </c>
      <c r="AF266" s="5">
        <v>1</v>
      </c>
      <c r="AG266" s="5">
        <v>50</v>
      </c>
      <c r="AH266" s="5">
        <v>800</v>
      </c>
    </row>
    <row r="267" spans="1:34" x14ac:dyDescent="0.3">
      <c r="A267" s="5">
        <v>0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0.8</v>
      </c>
      <c r="H267" s="5">
        <v>0</v>
      </c>
      <c r="I267" s="5">
        <v>0.05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0.15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0.5</v>
      </c>
      <c r="AE267" s="5">
        <v>0</v>
      </c>
      <c r="AF267" s="5">
        <v>1</v>
      </c>
      <c r="AG267" s="5">
        <v>50</v>
      </c>
      <c r="AH267" s="5">
        <v>350</v>
      </c>
    </row>
    <row r="268" spans="1:34" x14ac:dyDescent="0.3">
      <c r="A268" s="5">
        <v>0</v>
      </c>
      <c r="B268" s="5">
        <v>0.27</v>
      </c>
      <c r="C268" s="5">
        <v>0</v>
      </c>
      <c r="D268" s="5">
        <v>0</v>
      </c>
      <c r="E268" s="5">
        <v>0.54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0.19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0.5</v>
      </c>
      <c r="AE268" s="5">
        <v>0</v>
      </c>
      <c r="AF268" s="5">
        <v>1</v>
      </c>
      <c r="AG268" s="5">
        <v>50</v>
      </c>
      <c r="AH268" s="5">
        <v>168</v>
      </c>
    </row>
    <row r="269" spans="1:34" x14ac:dyDescent="0.3">
      <c r="A269" s="5">
        <v>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0.8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4.9000000000000002E-2</v>
      </c>
      <c r="T269" s="5">
        <v>0</v>
      </c>
      <c r="U269" s="5">
        <v>0</v>
      </c>
      <c r="V269" s="5">
        <v>0</v>
      </c>
      <c r="W269" s="5">
        <v>0</v>
      </c>
      <c r="X269" s="5">
        <v>0.15</v>
      </c>
      <c r="Y269" s="5">
        <v>1E-3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0.1</v>
      </c>
      <c r="AF269" s="5">
        <v>1</v>
      </c>
      <c r="AG269" s="5">
        <v>50</v>
      </c>
      <c r="AH269" s="5">
        <v>1350</v>
      </c>
    </row>
    <row r="270" spans="1:34" x14ac:dyDescent="0.3">
      <c r="A270" s="5">
        <v>0</v>
      </c>
      <c r="B270" s="5">
        <v>0</v>
      </c>
      <c r="C270" s="5">
        <v>0</v>
      </c>
      <c r="D270" s="5">
        <v>0</v>
      </c>
      <c r="E270" s="5">
        <v>0.86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0.05</v>
      </c>
      <c r="W270" s="5">
        <v>0</v>
      </c>
      <c r="X270" s="5">
        <v>0.09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0.5</v>
      </c>
      <c r="AE270" s="5">
        <v>0</v>
      </c>
      <c r="AF270" s="5">
        <v>1</v>
      </c>
      <c r="AG270" s="5">
        <v>50</v>
      </c>
      <c r="AH270" s="5">
        <v>385</v>
      </c>
    </row>
    <row r="271" spans="1:34" x14ac:dyDescent="0.3">
      <c r="A271" s="5">
        <v>0</v>
      </c>
      <c r="B271" s="5">
        <v>0</v>
      </c>
      <c r="C271" s="5">
        <v>0</v>
      </c>
      <c r="D271" s="5">
        <v>0</v>
      </c>
      <c r="E271" s="5">
        <v>0.63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0.2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0.17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0.5</v>
      </c>
      <c r="AE271" s="5">
        <v>0</v>
      </c>
      <c r="AF271" s="5">
        <v>1</v>
      </c>
      <c r="AG271" s="5">
        <v>50</v>
      </c>
      <c r="AH271" s="5">
        <v>600</v>
      </c>
    </row>
    <row r="272" spans="1:34" x14ac:dyDescent="0.3">
      <c r="A272" s="5">
        <v>0</v>
      </c>
      <c r="B272" s="5">
        <v>0</v>
      </c>
      <c r="C272" s="5">
        <v>0</v>
      </c>
      <c r="D272" s="5">
        <v>0</v>
      </c>
      <c r="E272" s="5">
        <v>0.63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0.2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0.04</v>
      </c>
      <c r="T272" s="5">
        <v>0</v>
      </c>
      <c r="U272" s="5">
        <v>0</v>
      </c>
      <c r="V272" s="5">
        <v>0</v>
      </c>
      <c r="W272" s="5">
        <v>0</v>
      </c>
      <c r="X272" s="5">
        <v>0.13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0.5</v>
      </c>
      <c r="AE272" s="5">
        <v>0</v>
      </c>
      <c r="AF272" s="5">
        <v>1</v>
      </c>
      <c r="AG272" s="5">
        <v>50</v>
      </c>
      <c r="AH272" s="5">
        <v>800</v>
      </c>
    </row>
    <row r="273" spans="1:34" x14ac:dyDescent="0.3">
      <c r="A273" s="5">
        <v>0</v>
      </c>
      <c r="B273" s="5">
        <v>0</v>
      </c>
      <c r="C273" s="5">
        <v>0</v>
      </c>
      <c r="D273" s="5">
        <v>0</v>
      </c>
      <c r="E273" s="5">
        <v>0.64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0.21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7.0000000000000007E-2</v>
      </c>
      <c r="T273" s="5">
        <v>0</v>
      </c>
      <c r="U273" s="5">
        <v>0</v>
      </c>
      <c r="V273" s="5">
        <v>0</v>
      </c>
      <c r="W273" s="5">
        <v>0</v>
      </c>
      <c r="X273" s="5">
        <v>0.08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0.5</v>
      </c>
      <c r="AE273" s="5">
        <v>0</v>
      </c>
      <c r="AF273" s="5">
        <v>1</v>
      </c>
      <c r="AG273" s="5">
        <v>50</v>
      </c>
      <c r="AH273" s="5">
        <v>1280</v>
      </c>
    </row>
    <row r="274" spans="1:34" x14ac:dyDescent="0.3">
      <c r="A274" s="5">
        <v>0</v>
      </c>
      <c r="B274" s="5">
        <v>0</v>
      </c>
      <c r="C274" s="5">
        <v>0</v>
      </c>
      <c r="D274" s="5">
        <v>0</v>
      </c>
      <c r="E274" s="5">
        <v>0.64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0.21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0.11</v>
      </c>
      <c r="T274" s="5">
        <v>0</v>
      </c>
      <c r="U274" s="5">
        <v>0</v>
      </c>
      <c r="V274" s="5">
        <v>0</v>
      </c>
      <c r="W274" s="5">
        <v>0</v>
      </c>
      <c r="X274" s="5">
        <v>0.04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0.5</v>
      </c>
      <c r="AE274" s="5">
        <v>0</v>
      </c>
      <c r="AF274" s="5">
        <v>1</v>
      </c>
      <c r="AG274" s="5">
        <v>50</v>
      </c>
      <c r="AH274" s="5">
        <v>600</v>
      </c>
    </row>
    <row r="275" spans="1:34" x14ac:dyDescent="0.3">
      <c r="A275" s="5">
        <v>0</v>
      </c>
      <c r="B275" s="5">
        <v>0</v>
      </c>
      <c r="C275" s="5">
        <v>0</v>
      </c>
      <c r="D275" s="5">
        <v>0</v>
      </c>
      <c r="E275" s="5">
        <v>0.8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0.05</v>
      </c>
      <c r="T275" s="5">
        <v>0</v>
      </c>
      <c r="U275" s="5">
        <v>0</v>
      </c>
      <c r="V275" s="5">
        <v>0</v>
      </c>
      <c r="W275" s="5">
        <v>0</v>
      </c>
      <c r="X275" s="5">
        <v>0.15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0.5</v>
      </c>
      <c r="AE275" s="5">
        <v>0</v>
      </c>
      <c r="AF275" s="5">
        <v>0.5</v>
      </c>
      <c r="AG275" s="5">
        <v>50</v>
      </c>
      <c r="AH275" s="5">
        <v>203</v>
      </c>
    </row>
    <row r="276" spans="1:34" x14ac:dyDescent="0.3">
      <c r="A276" s="5">
        <v>0</v>
      </c>
      <c r="B276" s="5">
        <v>0</v>
      </c>
      <c r="C276" s="5">
        <v>0</v>
      </c>
      <c r="D276" s="5">
        <v>0</v>
      </c>
      <c r="E276" s="5">
        <v>0.8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0.04</v>
      </c>
      <c r="T276" s="5">
        <v>0</v>
      </c>
      <c r="U276" s="5">
        <v>0</v>
      </c>
      <c r="V276" s="5">
        <v>0</v>
      </c>
      <c r="W276" s="5">
        <v>0</v>
      </c>
      <c r="X276" s="5">
        <v>0.16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0.5</v>
      </c>
      <c r="AE276" s="5">
        <v>0</v>
      </c>
      <c r="AF276" s="5">
        <v>0.5</v>
      </c>
      <c r="AG276" s="5">
        <v>50</v>
      </c>
      <c r="AH276" s="5">
        <v>330</v>
      </c>
    </row>
    <row r="277" spans="1:34" x14ac:dyDescent="0.3">
      <c r="A277" s="5">
        <v>0</v>
      </c>
      <c r="B277" s="5">
        <v>0</v>
      </c>
      <c r="C277" s="5">
        <v>0</v>
      </c>
      <c r="D277" s="5">
        <v>0</v>
      </c>
      <c r="E277" s="5">
        <v>0.8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0.03</v>
      </c>
      <c r="T277" s="5">
        <v>0</v>
      </c>
      <c r="U277" s="5">
        <v>0</v>
      </c>
      <c r="V277" s="5">
        <v>0</v>
      </c>
      <c r="W277" s="5">
        <v>0</v>
      </c>
      <c r="X277" s="5">
        <v>0.17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0.5</v>
      </c>
      <c r="AE277" s="5">
        <v>0</v>
      </c>
      <c r="AF277" s="5">
        <v>0.5</v>
      </c>
      <c r="AG277" s="5">
        <v>50</v>
      </c>
      <c r="AH277" s="5">
        <v>666</v>
      </c>
    </row>
    <row r="278" spans="1:34" x14ac:dyDescent="0.3">
      <c r="A278" s="5">
        <v>0</v>
      </c>
      <c r="B278" s="5">
        <v>0</v>
      </c>
      <c r="C278" s="5">
        <v>0</v>
      </c>
      <c r="D278" s="5">
        <v>0</v>
      </c>
      <c r="E278" s="5">
        <v>0.8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0.02</v>
      </c>
      <c r="T278" s="5">
        <v>0</v>
      </c>
      <c r="U278" s="5">
        <v>0</v>
      </c>
      <c r="V278" s="5">
        <v>0</v>
      </c>
      <c r="W278" s="5">
        <v>0</v>
      </c>
      <c r="X278" s="5">
        <v>0.18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0.5</v>
      </c>
      <c r="AE278" s="5">
        <v>0</v>
      </c>
      <c r="AF278" s="5">
        <v>0.5</v>
      </c>
      <c r="AG278" s="5">
        <v>50</v>
      </c>
      <c r="AH278" s="5">
        <v>1247</v>
      </c>
    </row>
    <row r="279" spans="1:34" x14ac:dyDescent="0.3">
      <c r="A279" s="5">
        <v>0</v>
      </c>
      <c r="B279" s="5">
        <v>0</v>
      </c>
      <c r="C279" s="5">
        <v>0</v>
      </c>
      <c r="D279" s="5">
        <v>0</v>
      </c>
      <c r="E279" s="5">
        <v>0.8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0.01</v>
      </c>
      <c r="T279" s="5">
        <v>0</v>
      </c>
      <c r="U279" s="5">
        <v>0</v>
      </c>
      <c r="V279" s="5">
        <v>0</v>
      </c>
      <c r="W279" s="5">
        <v>0</v>
      </c>
      <c r="X279" s="5">
        <v>0.19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0.5</v>
      </c>
      <c r="AE279" s="5">
        <v>0</v>
      </c>
      <c r="AF279" s="5">
        <v>0.5</v>
      </c>
      <c r="AG279" s="5">
        <v>50</v>
      </c>
      <c r="AH279" s="5">
        <v>556</v>
      </c>
    </row>
    <row r="280" spans="1:34" x14ac:dyDescent="0.3">
      <c r="A280" s="5">
        <v>0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0.95</v>
      </c>
      <c r="I280" s="5">
        <v>0</v>
      </c>
      <c r="J280" s="5">
        <v>0</v>
      </c>
      <c r="K280" s="5">
        <v>0</v>
      </c>
      <c r="L280" s="5">
        <v>0.03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0.02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0.1</v>
      </c>
      <c r="AF280" s="5">
        <v>1</v>
      </c>
      <c r="AG280" s="5">
        <v>50</v>
      </c>
      <c r="AH280" s="5">
        <v>304</v>
      </c>
    </row>
    <row r="281" spans="1:34" x14ac:dyDescent="0.3">
      <c r="A281" s="5">
        <v>0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0.95</v>
      </c>
      <c r="I281" s="5">
        <v>0</v>
      </c>
      <c r="J281" s="5">
        <v>0</v>
      </c>
      <c r="K281" s="5">
        <v>0</v>
      </c>
      <c r="L281" s="5">
        <v>0.03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1.24E-2</v>
      </c>
      <c r="X281" s="5">
        <v>7.6E-3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0.1</v>
      </c>
      <c r="AF281" s="5">
        <v>1</v>
      </c>
      <c r="AG281" s="5">
        <v>50</v>
      </c>
      <c r="AH281" s="5">
        <v>140</v>
      </c>
    </row>
    <row r="282" spans="1:34" x14ac:dyDescent="0.3">
      <c r="A282" s="5">
        <v>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0.95</v>
      </c>
      <c r="I282" s="5">
        <v>0</v>
      </c>
      <c r="J282" s="5">
        <v>0</v>
      </c>
      <c r="K282" s="5">
        <v>0</v>
      </c>
      <c r="L282" s="5">
        <v>0.03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6.9999999999999993E-3</v>
      </c>
      <c r="X282" s="5">
        <v>1.3000000000000001E-2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0.1</v>
      </c>
      <c r="AF282" s="5">
        <v>1</v>
      </c>
      <c r="AG282" s="5">
        <v>50</v>
      </c>
      <c r="AH282" s="5">
        <v>532</v>
      </c>
    </row>
    <row r="283" spans="1:34" x14ac:dyDescent="0.3">
      <c r="A283" s="5">
        <v>0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0.95</v>
      </c>
      <c r="I283" s="5">
        <v>0</v>
      </c>
      <c r="J283" s="5">
        <v>0</v>
      </c>
      <c r="K283" s="5">
        <v>0</v>
      </c>
      <c r="L283" s="5">
        <v>0.03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3.0000000000000001E-3</v>
      </c>
      <c r="X283" s="5">
        <v>1.7000000000000001E-2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0.1</v>
      </c>
      <c r="AF283" s="5">
        <v>1</v>
      </c>
      <c r="AG283" s="5">
        <v>50</v>
      </c>
      <c r="AH283" s="5">
        <v>853</v>
      </c>
    </row>
    <row r="284" spans="1:34" x14ac:dyDescent="0.3">
      <c r="A284" s="5">
        <v>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0.83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7.0000000000000007E-2</v>
      </c>
      <c r="T284" s="5">
        <v>0</v>
      </c>
      <c r="U284" s="5">
        <v>0</v>
      </c>
      <c r="V284" s="5">
        <v>0</v>
      </c>
      <c r="W284" s="5">
        <v>0</v>
      </c>
      <c r="X284" s="5">
        <v>0.1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0.1</v>
      </c>
      <c r="AE284" s="5">
        <v>0</v>
      </c>
      <c r="AF284" s="5">
        <v>0.5</v>
      </c>
      <c r="AG284" s="5">
        <v>50</v>
      </c>
      <c r="AH284" s="5">
        <v>1390</v>
      </c>
    </row>
    <row r="285" spans="1:34" x14ac:dyDescent="0.3">
      <c r="A285" s="5">
        <v>0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0.83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0.06</v>
      </c>
      <c r="T285" s="5">
        <v>0</v>
      </c>
      <c r="U285" s="5">
        <v>0</v>
      </c>
      <c r="V285" s="5">
        <v>0</v>
      </c>
      <c r="W285" s="5">
        <v>0</v>
      </c>
      <c r="X285" s="5">
        <v>0.11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0.1</v>
      </c>
      <c r="AE285" s="5">
        <v>0</v>
      </c>
      <c r="AF285" s="5">
        <v>0.5</v>
      </c>
      <c r="AG285" s="5">
        <v>50</v>
      </c>
      <c r="AH285" s="5">
        <v>1940</v>
      </c>
    </row>
    <row r="286" spans="1:34" x14ac:dyDescent="0.3">
      <c r="A286" s="5">
        <v>0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0.83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0.05</v>
      </c>
      <c r="T286" s="5">
        <v>0</v>
      </c>
      <c r="U286" s="5">
        <v>0</v>
      </c>
      <c r="V286" s="5">
        <v>0</v>
      </c>
      <c r="W286" s="5">
        <v>0</v>
      </c>
      <c r="X286" s="5">
        <v>0.12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0.1</v>
      </c>
      <c r="AE286" s="5">
        <v>0</v>
      </c>
      <c r="AF286" s="5">
        <v>0.5</v>
      </c>
      <c r="AG286" s="5">
        <v>50</v>
      </c>
      <c r="AH286" s="5">
        <v>1630</v>
      </c>
    </row>
    <row r="287" spans="1:34" x14ac:dyDescent="0.3">
      <c r="A287" s="5">
        <v>0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0.83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0.04</v>
      </c>
      <c r="T287" s="5">
        <v>0</v>
      </c>
      <c r="U287" s="5">
        <v>0</v>
      </c>
      <c r="V287" s="5">
        <v>0</v>
      </c>
      <c r="W287" s="5">
        <v>0</v>
      </c>
      <c r="X287" s="5">
        <v>0.13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0.1</v>
      </c>
      <c r="AE287" s="5">
        <v>0</v>
      </c>
      <c r="AF287" s="5">
        <v>0.5</v>
      </c>
      <c r="AG287" s="5">
        <v>50</v>
      </c>
      <c r="AH287" s="5">
        <v>1480</v>
      </c>
    </row>
    <row r="288" spans="1:34" x14ac:dyDescent="0.3">
      <c r="A288" s="5">
        <v>0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0.79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0.02</v>
      </c>
      <c r="S288" s="5">
        <v>0</v>
      </c>
      <c r="T288" s="5">
        <v>0</v>
      </c>
      <c r="U288" s="5">
        <v>7.0000000000000007E-2</v>
      </c>
      <c r="V288" s="5">
        <v>0</v>
      </c>
      <c r="W288" s="5">
        <v>0</v>
      </c>
      <c r="X288" s="5">
        <v>0.12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0.1</v>
      </c>
      <c r="AF288" s="5">
        <v>1</v>
      </c>
      <c r="AG288" s="5">
        <v>20</v>
      </c>
      <c r="AH288" s="5">
        <v>900</v>
      </c>
    </row>
    <row r="289" spans="1:34" x14ac:dyDescent="0.3">
      <c r="A289" s="5">
        <v>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0.82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0.04</v>
      </c>
      <c r="S289" s="5">
        <v>0.01</v>
      </c>
      <c r="T289" s="5">
        <v>0</v>
      </c>
      <c r="U289" s="5">
        <v>0</v>
      </c>
      <c r="V289" s="5">
        <v>0</v>
      </c>
      <c r="W289" s="5">
        <v>0</v>
      </c>
      <c r="X289" s="5">
        <v>0.13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0.1</v>
      </c>
      <c r="AF289" s="5">
        <v>1</v>
      </c>
      <c r="AG289" s="5">
        <v>50</v>
      </c>
      <c r="AH289" s="5">
        <v>1560</v>
      </c>
    </row>
    <row r="290" spans="1:34" x14ac:dyDescent="0.3">
      <c r="A290" s="5">
        <v>0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0.83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0.04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0.13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0.1</v>
      </c>
      <c r="AF290" s="5">
        <v>1</v>
      </c>
      <c r="AG290" s="5">
        <v>50</v>
      </c>
      <c r="AH290" s="5">
        <v>770</v>
      </c>
    </row>
    <row r="291" spans="1:34" x14ac:dyDescent="0.3">
      <c r="A291" s="5">
        <v>0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0.6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0.06</v>
      </c>
      <c r="T291" s="5">
        <v>0</v>
      </c>
      <c r="U291" s="5">
        <v>0</v>
      </c>
      <c r="V291" s="5">
        <v>0</v>
      </c>
      <c r="W291" s="5">
        <v>0</v>
      </c>
      <c r="X291" s="5">
        <v>0.23</v>
      </c>
      <c r="Y291" s="5">
        <v>0</v>
      </c>
      <c r="Z291" s="5">
        <v>0</v>
      </c>
      <c r="AA291" s="5">
        <v>0.11</v>
      </c>
      <c r="AB291" s="5">
        <v>0</v>
      </c>
      <c r="AC291" s="5">
        <v>0</v>
      </c>
      <c r="AD291" s="5">
        <v>0.5</v>
      </c>
      <c r="AE291" s="5">
        <v>0</v>
      </c>
      <c r="AF291" s="5">
        <v>0.5</v>
      </c>
      <c r="AG291" s="5">
        <v>50</v>
      </c>
      <c r="AH291" s="5">
        <v>721</v>
      </c>
    </row>
    <row r="292" spans="1:34" x14ac:dyDescent="0.3">
      <c r="A292" s="5">
        <v>0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0.82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0.11</v>
      </c>
      <c r="T292" s="5">
        <v>0</v>
      </c>
      <c r="U292" s="5">
        <v>0</v>
      </c>
      <c r="V292" s="5">
        <v>0</v>
      </c>
      <c r="W292" s="5">
        <v>0</v>
      </c>
      <c r="X292" s="5">
        <v>7.0000000000000007E-2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0.5</v>
      </c>
      <c r="AE292" s="5">
        <v>0</v>
      </c>
      <c r="AF292" s="5">
        <v>0.5</v>
      </c>
      <c r="AG292" s="5">
        <v>50</v>
      </c>
      <c r="AH292" s="5">
        <v>203</v>
      </c>
    </row>
    <row r="293" spans="1:34" x14ac:dyDescent="0.3">
      <c r="A293" s="5">
        <v>0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0.4</v>
      </c>
      <c r="I293" s="5">
        <v>0.02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0.09</v>
      </c>
      <c r="T293" s="5">
        <v>0</v>
      </c>
      <c r="U293" s="5">
        <v>0</v>
      </c>
      <c r="V293" s="5">
        <v>0</v>
      </c>
      <c r="W293" s="5">
        <v>0</v>
      </c>
      <c r="X293" s="5">
        <v>0.49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0.5</v>
      </c>
      <c r="AE293" s="5">
        <v>0</v>
      </c>
      <c r="AF293" s="5">
        <v>1</v>
      </c>
      <c r="AG293" s="5">
        <v>100</v>
      </c>
      <c r="AH293" s="5">
        <v>3110</v>
      </c>
    </row>
    <row r="294" spans="1:34" x14ac:dyDescent="0.3">
      <c r="A294" s="5">
        <v>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0.83</v>
      </c>
      <c r="I294" s="5">
        <v>0.01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0.03</v>
      </c>
      <c r="T294" s="5">
        <v>0</v>
      </c>
      <c r="U294" s="5">
        <v>0</v>
      </c>
      <c r="V294" s="5">
        <v>0</v>
      </c>
      <c r="W294" s="5">
        <v>0</v>
      </c>
      <c r="X294" s="5">
        <v>0.13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0.5</v>
      </c>
      <c r="AE294" s="5">
        <v>0</v>
      </c>
      <c r="AF294" s="5">
        <v>1</v>
      </c>
      <c r="AG294" s="5">
        <v>100</v>
      </c>
      <c r="AH294" s="5">
        <v>1710</v>
      </c>
    </row>
    <row r="295" spans="1:34" x14ac:dyDescent="0.3">
      <c r="A295" s="5">
        <v>0</v>
      </c>
      <c r="B295" s="5">
        <v>0.67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7.0000000000000007E-2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0.08</v>
      </c>
      <c r="U295" s="5">
        <v>0</v>
      </c>
      <c r="V295" s="5">
        <v>0</v>
      </c>
      <c r="W295" s="5">
        <v>0</v>
      </c>
      <c r="X295" s="5">
        <v>0.11</v>
      </c>
      <c r="Y295" s="5">
        <v>7.0000000000000007E-2</v>
      </c>
      <c r="Z295" s="5">
        <v>0</v>
      </c>
      <c r="AA295" s="5">
        <v>0</v>
      </c>
      <c r="AB295" s="5">
        <v>0</v>
      </c>
      <c r="AC295" s="5">
        <v>0</v>
      </c>
      <c r="AD295" s="5">
        <v>0.5</v>
      </c>
      <c r="AE295" s="5">
        <v>0</v>
      </c>
      <c r="AF295" s="5">
        <v>1</v>
      </c>
      <c r="AG295" s="5">
        <v>20</v>
      </c>
      <c r="AH295" s="5">
        <v>1277</v>
      </c>
    </row>
    <row r="296" spans="1:34" x14ac:dyDescent="0.3">
      <c r="A296" s="5">
        <v>0</v>
      </c>
      <c r="B296" s="5">
        <v>0.67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7.0000000000000007E-2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0.08</v>
      </c>
      <c r="U296" s="5">
        <v>0</v>
      </c>
      <c r="V296" s="5">
        <v>0</v>
      </c>
      <c r="W296" s="5">
        <v>0</v>
      </c>
      <c r="X296" s="5">
        <v>0.11</v>
      </c>
      <c r="Y296" s="5">
        <v>7.0000000000000007E-2</v>
      </c>
      <c r="Z296" s="5">
        <v>0</v>
      </c>
      <c r="AA296" s="5">
        <v>0</v>
      </c>
      <c r="AB296" s="5">
        <v>0</v>
      </c>
      <c r="AC296" s="5">
        <v>0</v>
      </c>
      <c r="AD296" s="5">
        <v>0.5</v>
      </c>
      <c r="AE296" s="5">
        <v>0</v>
      </c>
      <c r="AF296" s="5">
        <v>1</v>
      </c>
      <c r="AG296" s="5">
        <v>50</v>
      </c>
      <c r="AH296" s="5">
        <v>1536.0000000000002</v>
      </c>
    </row>
    <row r="297" spans="1:34" x14ac:dyDescent="0.3">
      <c r="A297" s="5">
        <v>0</v>
      </c>
      <c r="B297" s="5">
        <v>0.67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7.0000000000000007E-2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0.08</v>
      </c>
      <c r="U297" s="5">
        <v>0</v>
      </c>
      <c r="V297" s="5">
        <v>0</v>
      </c>
      <c r="W297" s="5">
        <v>0</v>
      </c>
      <c r="X297" s="5">
        <v>0.11</v>
      </c>
      <c r="Y297" s="5">
        <v>7.0000000000000007E-2</v>
      </c>
      <c r="Z297" s="5">
        <v>0</v>
      </c>
      <c r="AA297" s="5">
        <v>0</v>
      </c>
      <c r="AB297" s="5">
        <v>0</v>
      </c>
      <c r="AC297" s="5">
        <v>0</v>
      </c>
      <c r="AD297" s="5">
        <v>0.5</v>
      </c>
      <c r="AE297" s="5">
        <v>0</v>
      </c>
      <c r="AF297" s="5">
        <v>1</v>
      </c>
      <c r="AG297" s="5">
        <v>100</v>
      </c>
      <c r="AH297" s="5">
        <v>1823.9999999999998</v>
      </c>
    </row>
    <row r="298" spans="1:34" x14ac:dyDescent="0.3">
      <c r="A298" s="5">
        <v>0</v>
      </c>
      <c r="B298" s="5">
        <v>0.67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7.0000000000000007E-2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0.08</v>
      </c>
      <c r="U298" s="5">
        <v>0</v>
      </c>
      <c r="V298" s="5">
        <v>0</v>
      </c>
      <c r="W298" s="5">
        <v>0</v>
      </c>
      <c r="X298" s="5">
        <v>0.11</v>
      </c>
      <c r="Y298" s="5">
        <v>7.0000000000000007E-2</v>
      </c>
      <c r="Z298" s="5">
        <v>0</v>
      </c>
      <c r="AA298" s="5">
        <v>0</v>
      </c>
      <c r="AB298" s="5">
        <v>0</v>
      </c>
      <c r="AC298" s="5">
        <v>0</v>
      </c>
      <c r="AD298" s="5">
        <v>0.5</v>
      </c>
      <c r="AE298" s="5">
        <v>0</v>
      </c>
      <c r="AF298" s="5">
        <v>1</v>
      </c>
      <c r="AG298" s="5">
        <v>200</v>
      </c>
      <c r="AH298" s="5">
        <v>2112</v>
      </c>
    </row>
    <row r="299" spans="1:34" x14ac:dyDescent="0.3">
      <c r="A299" s="5">
        <v>0</v>
      </c>
      <c r="B299" s="5">
        <v>0.72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0.09</v>
      </c>
      <c r="U299" s="5">
        <v>0</v>
      </c>
      <c r="V299" s="5">
        <v>0</v>
      </c>
      <c r="W299" s="5">
        <v>0</v>
      </c>
      <c r="X299" s="5">
        <v>0.12</v>
      </c>
      <c r="Y299" s="5">
        <v>7.0000000000000007E-2</v>
      </c>
      <c r="Z299" s="5">
        <v>0</v>
      </c>
      <c r="AA299" s="5">
        <v>0</v>
      </c>
      <c r="AB299" s="5">
        <v>0</v>
      </c>
      <c r="AC299" s="5">
        <v>0</v>
      </c>
      <c r="AD299" s="5">
        <v>0.5</v>
      </c>
      <c r="AE299" s="5">
        <v>0</v>
      </c>
      <c r="AF299" s="5">
        <v>1</v>
      </c>
      <c r="AG299" s="5">
        <v>20</v>
      </c>
      <c r="AH299" s="5">
        <v>451</v>
      </c>
    </row>
    <row r="300" spans="1:34" x14ac:dyDescent="0.3">
      <c r="A300" s="5">
        <v>0</v>
      </c>
      <c r="B300" s="5">
        <v>0.73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7.0000000000000007E-2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0.12</v>
      </c>
      <c r="Y300" s="5">
        <v>0.08</v>
      </c>
      <c r="Z300" s="5">
        <v>0</v>
      </c>
      <c r="AA300" s="5">
        <v>0</v>
      </c>
      <c r="AB300" s="5">
        <v>0</v>
      </c>
      <c r="AC300" s="5">
        <v>0</v>
      </c>
      <c r="AD300" s="5">
        <v>0.5</v>
      </c>
      <c r="AE300" s="5">
        <v>0</v>
      </c>
      <c r="AF300" s="5">
        <v>1</v>
      </c>
      <c r="AG300" s="5">
        <v>20</v>
      </c>
      <c r="AH300" s="5">
        <v>587</v>
      </c>
    </row>
    <row r="301" spans="1:34" x14ac:dyDescent="0.3">
      <c r="A301" s="5">
        <v>0</v>
      </c>
      <c r="B301" s="5">
        <v>0</v>
      </c>
      <c r="C301" s="5">
        <v>0</v>
      </c>
      <c r="D301" s="5">
        <v>0</v>
      </c>
      <c r="E301" s="5">
        <v>0.79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0.06</v>
      </c>
      <c r="U301" s="5">
        <v>0</v>
      </c>
      <c r="V301" s="5">
        <v>0</v>
      </c>
      <c r="W301" s="5">
        <v>0</v>
      </c>
      <c r="X301" s="5">
        <v>0.15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0.5</v>
      </c>
      <c r="AE301" s="5">
        <v>0</v>
      </c>
      <c r="AF301" s="5">
        <v>1</v>
      </c>
      <c r="AG301" s="5">
        <v>100</v>
      </c>
      <c r="AH301" s="5">
        <v>43.336944745395456</v>
      </c>
    </row>
    <row r="302" spans="1:34" x14ac:dyDescent="0.3">
      <c r="A302" s="5">
        <v>0</v>
      </c>
      <c r="B302" s="5">
        <v>0</v>
      </c>
      <c r="C302" s="5">
        <v>0</v>
      </c>
      <c r="D302" s="5">
        <v>0</v>
      </c>
      <c r="E302" s="5">
        <v>0.82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0.03</v>
      </c>
      <c r="U302" s="5">
        <v>0</v>
      </c>
      <c r="V302" s="5">
        <v>0</v>
      </c>
      <c r="W302" s="5">
        <v>0</v>
      </c>
      <c r="X302" s="5">
        <v>0.15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0.5</v>
      </c>
      <c r="AE302" s="5">
        <v>0</v>
      </c>
      <c r="AF302" s="5">
        <v>1</v>
      </c>
      <c r="AG302" s="5">
        <v>100</v>
      </c>
      <c r="AH302" s="5">
        <v>123.98311193491915</v>
      </c>
    </row>
    <row r="303" spans="1:34" x14ac:dyDescent="0.3">
      <c r="A303" s="5">
        <v>0</v>
      </c>
      <c r="B303" s="5">
        <v>0</v>
      </c>
      <c r="C303" s="5">
        <v>0</v>
      </c>
      <c r="D303" s="5">
        <v>0</v>
      </c>
      <c r="E303" s="5">
        <v>0.87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0.13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0.5</v>
      </c>
      <c r="AE303" s="5">
        <v>0</v>
      </c>
      <c r="AF303" s="5">
        <v>1</v>
      </c>
      <c r="AG303" s="5">
        <v>100</v>
      </c>
      <c r="AH303" s="5">
        <v>54.893463344167579</v>
      </c>
    </row>
    <row r="304" spans="1:34" x14ac:dyDescent="0.3">
      <c r="A304" s="5">
        <v>0</v>
      </c>
      <c r="B304" s="5">
        <v>0</v>
      </c>
      <c r="C304" s="5">
        <v>0</v>
      </c>
      <c r="D304" s="5">
        <v>0</v>
      </c>
      <c r="E304" s="5">
        <v>0.53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0.2</v>
      </c>
      <c r="Y304" s="5">
        <v>0.1</v>
      </c>
      <c r="Z304" s="5">
        <v>0.17</v>
      </c>
      <c r="AA304" s="5">
        <v>0</v>
      </c>
      <c r="AB304" s="5">
        <v>0</v>
      </c>
      <c r="AC304" s="5">
        <v>0</v>
      </c>
      <c r="AD304" s="5">
        <v>0.5</v>
      </c>
      <c r="AE304" s="5">
        <v>0</v>
      </c>
      <c r="AF304" s="5">
        <v>1</v>
      </c>
      <c r="AG304" s="5">
        <v>20</v>
      </c>
      <c r="AH304" s="5">
        <v>1630</v>
      </c>
    </row>
    <row r="305" spans="1:34" x14ac:dyDescent="0.3">
      <c r="A305" s="5">
        <v>0</v>
      </c>
      <c r="B305" s="5">
        <v>0</v>
      </c>
      <c r="C305" s="5">
        <v>0</v>
      </c>
      <c r="D305" s="5">
        <v>0</v>
      </c>
      <c r="E305" s="5">
        <v>0.59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0.22</v>
      </c>
      <c r="Y305" s="5">
        <v>0</v>
      </c>
      <c r="Z305" s="5">
        <v>0.19</v>
      </c>
      <c r="AA305" s="5">
        <v>0</v>
      </c>
      <c r="AB305" s="5">
        <v>0</v>
      </c>
      <c r="AC305" s="5">
        <v>0</v>
      </c>
      <c r="AD305" s="5">
        <v>0.5</v>
      </c>
      <c r="AE305" s="5">
        <v>0</v>
      </c>
      <c r="AF305" s="5">
        <v>1</v>
      </c>
      <c r="AG305" s="5">
        <v>20</v>
      </c>
      <c r="AH305" s="5">
        <v>1259</v>
      </c>
    </row>
    <row r="306" spans="1:34" x14ac:dyDescent="0.3">
      <c r="A306" s="5">
        <v>0</v>
      </c>
      <c r="B306" s="5">
        <v>0</v>
      </c>
      <c r="C306" s="5">
        <v>0</v>
      </c>
      <c r="D306" s="5">
        <v>0</v>
      </c>
      <c r="E306" s="5">
        <v>0</v>
      </c>
      <c r="F306" s="5">
        <v>0.87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0.09</v>
      </c>
      <c r="Y306" s="5">
        <v>0.04</v>
      </c>
      <c r="Z306" s="5">
        <v>0</v>
      </c>
      <c r="AA306" s="5">
        <v>0</v>
      </c>
      <c r="AB306" s="5">
        <v>0</v>
      </c>
      <c r="AC306" s="5">
        <v>0</v>
      </c>
      <c r="AD306" s="5">
        <v>0.5</v>
      </c>
      <c r="AE306" s="5">
        <v>0</v>
      </c>
      <c r="AF306" s="5">
        <v>0.5</v>
      </c>
      <c r="AG306" s="5">
        <v>20</v>
      </c>
      <c r="AH306" s="5">
        <v>120</v>
      </c>
    </row>
    <row r="307" spans="1:34" x14ac:dyDescent="0.3">
      <c r="A307" s="5">
        <v>0</v>
      </c>
      <c r="B307" s="5">
        <v>0</v>
      </c>
      <c r="C307" s="5">
        <v>0</v>
      </c>
      <c r="D307" s="5">
        <v>0</v>
      </c>
      <c r="E307" s="5">
        <v>0</v>
      </c>
      <c r="F307" s="5">
        <v>0.84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0.06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7.0000000000000007E-2</v>
      </c>
      <c r="Y307" s="5">
        <v>0.03</v>
      </c>
      <c r="Z307" s="5">
        <v>0</v>
      </c>
      <c r="AA307" s="5">
        <v>0</v>
      </c>
      <c r="AB307" s="5">
        <v>0</v>
      </c>
      <c r="AC307" s="5">
        <v>0</v>
      </c>
      <c r="AD307" s="5">
        <v>0.5</v>
      </c>
      <c r="AE307" s="5">
        <v>0</v>
      </c>
      <c r="AF307" s="5">
        <v>0.5</v>
      </c>
      <c r="AG307" s="5">
        <v>20</v>
      </c>
      <c r="AH307" s="5">
        <v>62.333333333333336</v>
      </c>
    </row>
    <row r="308" spans="1:34" x14ac:dyDescent="0.3">
      <c r="A308" s="5">
        <v>0</v>
      </c>
      <c r="B308" s="5">
        <v>0</v>
      </c>
      <c r="C308" s="5">
        <v>0</v>
      </c>
      <c r="D308" s="5">
        <v>0</v>
      </c>
      <c r="E308" s="5">
        <v>0</v>
      </c>
      <c r="F308" s="5">
        <v>0.63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0.22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0.11</v>
      </c>
      <c r="Y308" s="5">
        <v>0.04</v>
      </c>
      <c r="Z308" s="5">
        <v>0</v>
      </c>
      <c r="AA308" s="5">
        <v>0</v>
      </c>
      <c r="AB308" s="5">
        <v>0</v>
      </c>
      <c r="AC308" s="5">
        <v>0</v>
      </c>
      <c r="AD308" s="5">
        <v>0.5</v>
      </c>
      <c r="AE308" s="5">
        <v>0</v>
      </c>
      <c r="AF308" s="5">
        <v>0.5</v>
      </c>
      <c r="AG308" s="5">
        <v>20</v>
      </c>
      <c r="AH308" s="5">
        <v>70.666666666666657</v>
      </c>
    </row>
    <row r="309" spans="1:34" x14ac:dyDescent="0.3">
      <c r="A309" s="5">
        <v>0</v>
      </c>
      <c r="B309" s="5">
        <v>0</v>
      </c>
      <c r="C309" s="5">
        <v>0</v>
      </c>
      <c r="D309" s="5">
        <v>0</v>
      </c>
      <c r="E309" s="5">
        <v>0</v>
      </c>
      <c r="F309" s="5">
        <v>0.56999999999999995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0.28000000000000003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0.11</v>
      </c>
      <c r="Y309" s="5">
        <v>0.04</v>
      </c>
      <c r="Z309" s="5">
        <v>0</v>
      </c>
      <c r="AA309" s="5">
        <v>0</v>
      </c>
      <c r="AB309" s="5">
        <v>0</v>
      </c>
      <c r="AC309" s="5">
        <v>0</v>
      </c>
      <c r="AD309" s="5">
        <v>0.5</v>
      </c>
      <c r="AE309" s="5">
        <v>0</v>
      </c>
      <c r="AF309" s="5">
        <v>0.5</v>
      </c>
      <c r="AG309" s="5">
        <v>20</v>
      </c>
      <c r="AH309" s="5">
        <v>100.66666666666667</v>
      </c>
    </row>
    <row r="310" spans="1:34" x14ac:dyDescent="0.3">
      <c r="A310" s="5">
        <v>0</v>
      </c>
      <c r="B310" s="5">
        <v>0</v>
      </c>
      <c r="C310" s="5">
        <v>0</v>
      </c>
      <c r="D310" s="5">
        <v>0</v>
      </c>
      <c r="E310" s="5">
        <v>0</v>
      </c>
      <c r="F310" s="5">
        <v>0.54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0.34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0.09</v>
      </c>
      <c r="Y310" s="5">
        <v>0.03</v>
      </c>
      <c r="Z310" s="5">
        <v>0</v>
      </c>
      <c r="AA310" s="5">
        <v>0</v>
      </c>
      <c r="AB310" s="5">
        <v>0</v>
      </c>
      <c r="AC310" s="5">
        <v>0</v>
      </c>
      <c r="AD310" s="5">
        <v>0.5</v>
      </c>
      <c r="AE310" s="5">
        <v>0</v>
      </c>
      <c r="AF310" s="5">
        <v>0.5</v>
      </c>
      <c r="AG310" s="5">
        <v>20</v>
      </c>
      <c r="AH310" s="5">
        <v>112.66666666666667</v>
      </c>
    </row>
    <row r="311" spans="1:34" x14ac:dyDescent="0.3">
      <c r="A311" s="5">
        <v>0</v>
      </c>
      <c r="B311" s="5">
        <v>0</v>
      </c>
      <c r="C311" s="5">
        <v>0</v>
      </c>
      <c r="D311" s="5">
        <v>0</v>
      </c>
      <c r="E311" s="5">
        <v>0</v>
      </c>
      <c r="F311" s="5">
        <v>0.46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0.4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0.1</v>
      </c>
      <c r="Y311" s="5">
        <v>0.04</v>
      </c>
      <c r="Z311" s="5">
        <v>0</v>
      </c>
      <c r="AA311" s="5">
        <v>0</v>
      </c>
      <c r="AB311" s="5">
        <v>0</v>
      </c>
      <c r="AC311" s="5">
        <v>0</v>
      </c>
      <c r="AD311" s="5">
        <v>0.5</v>
      </c>
      <c r="AE311" s="5">
        <v>0</v>
      </c>
      <c r="AF311" s="5">
        <v>0.5</v>
      </c>
      <c r="AG311" s="5">
        <v>20</v>
      </c>
      <c r="AH311" s="5">
        <v>90.666666666666671</v>
      </c>
    </row>
    <row r="312" spans="1:34" x14ac:dyDescent="0.3">
      <c r="A312" s="5">
        <v>0</v>
      </c>
      <c r="B312" s="5">
        <v>0</v>
      </c>
      <c r="C312" s="5">
        <v>0</v>
      </c>
      <c r="D312" s="5">
        <v>0</v>
      </c>
      <c r="E312" s="5">
        <v>0</v>
      </c>
      <c r="F312" s="5">
        <v>0.32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0.52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0.12</v>
      </c>
      <c r="Y312" s="5">
        <v>0.04</v>
      </c>
      <c r="Z312" s="5">
        <v>0</v>
      </c>
      <c r="AA312" s="5">
        <v>0</v>
      </c>
      <c r="AB312" s="5">
        <v>0</v>
      </c>
      <c r="AC312" s="5">
        <v>0</v>
      </c>
      <c r="AD312" s="5">
        <v>0.5</v>
      </c>
      <c r="AE312" s="5">
        <v>0</v>
      </c>
      <c r="AF312" s="5">
        <v>0.5</v>
      </c>
      <c r="AG312" s="5">
        <v>20</v>
      </c>
      <c r="AH312" s="5">
        <v>67</v>
      </c>
    </row>
    <row r="313" spans="1:34" x14ac:dyDescent="0.3">
      <c r="A313" s="5">
        <v>0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0.8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0.05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0.15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0.5</v>
      </c>
      <c r="AE313" s="5">
        <v>0</v>
      </c>
      <c r="AF313" s="5">
        <v>0.5</v>
      </c>
      <c r="AG313" s="5">
        <v>50</v>
      </c>
      <c r="AH313" s="5">
        <v>828</v>
      </c>
    </row>
    <row r="314" spans="1:34" x14ac:dyDescent="0.3">
      <c r="A314" s="5">
        <v>0</v>
      </c>
      <c r="B314" s="5">
        <v>0</v>
      </c>
      <c r="C314" s="5">
        <v>0</v>
      </c>
      <c r="D314" s="5">
        <v>0</v>
      </c>
      <c r="E314" s="5">
        <v>0.8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0.05</v>
      </c>
      <c r="V314" s="5">
        <v>0</v>
      </c>
      <c r="W314" s="5">
        <v>0</v>
      </c>
      <c r="X314" s="5">
        <v>0.15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0.1</v>
      </c>
      <c r="AF314" s="5">
        <v>0.5</v>
      </c>
      <c r="AG314" s="5">
        <v>100</v>
      </c>
      <c r="AH314" s="5">
        <v>658</v>
      </c>
    </row>
    <row r="315" spans="1:34" x14ac:dyDescent="0.3">
      <c r="A315" s="5">
        <v>0</v>
      </c>
      <c r="B315" s="5">
        <v>0</v>
      </c>
      <c r="C315" s="5">
        <v>0</v>
      </c>
      <c r="D315" s="5">
        <v>0</v>
      </c>
      <c r="E315" s="5">
        <v>0.8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7.0000000000000007E-2</v>
      </c>
      <c r="V315" s="5">
        <v>0</v>
      </c>
      <c r="W315" s="5">
        <v>0</v>
      </c>
      <c r="X315" s="5">
        <v>0.13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0.1</v>
      </c>
      <c r="AF315" s="5">
        <v>0.5</v>
      </c>
      <c r="AG315" s="5">
        <v>100</v>
      </c>
      <c r="AH315" s="5">
        <v>933</v>
      </c>
    </row>
    <row r="316" spans="1:34" x14ac:dyDescent="0.3">
      <c r="A316" s="5">
        <v>0</v>
      </c>
      <c r="B316" s="5">
        <v>0</v>
      </c>
      <c r="C316" s="5">
        <v>0</v>
      </c>
      <c r="D316" s="5">
        <v>0</v>
      </c>
      <c r="E316" s="5">
        <v>0.8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0.1</v>
      </c>
      <c r="V316" s="5">
        <v>0</v>
      </c>
      <c r="W316" s="5">
        <v>0</v>
      </c>
      <c r="X316" s="5">
        <v>0.1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0.1</v>
      </c>
      <c r="AF316" s="5">
        <v>0.5</v>
      </c>
      <c r="AG316" s="5">
        <v>100</v>
      </c>
      <c r="AH316" s="5">
        <v>1091</v>
      </c>
    </row>
    <row r="317" spans="1:34" x14ac:dyDescent="0.3">
      <c r="A317" s="5">
        <v>0</v>
      </c>
      <c r="B317" s="5">
        <v>0</v>
      </c>
      <c r="C317" s="5">
        <v>0</v>
      </c>
      <c r="D317" s="5">
        <v>0</v>
      </c>
      <c r="E317" s="5">
        <v>0.8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0.2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0.1</v>
      </c>
      <c r="AF317" s="5">
        <v>0.5</v>
      </c>
      <c r="AG317" s="5">
        <v>100</v>
      </c>
      <c r="AH317" s="5">
        <v>435</v>
      </c>
    </row>
    <row r="318" spans="1:34" x14ac:dyDescent="0.3">
      <c r="A318" s="5">
        <v>0</v>
      </c>
      <c r="B318" s="5">
        <v>0.22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0.27</v>
      </c>
      <c r="X318" s="5">
        <v>0.51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0.1</v>
      </c>
      <c r="AE318" s="5">
        <v>0</v>
      </c>
      <c r="AF318" s="5">
        <v>0.5</v>
      </c>
      <c r="AG318" s="5">
        <v>50</v>
      </c>
      <c r="AH318" s="5">
        <v>404</v>
      </c>
    </row>
    <row r="319" spans="1:34" x14ac:dyDescent="0.3">
      <c r="A319" s="5">
        <v>0</v>
      </c>
      <c r="B319" s="5">
        <v>0.22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0.61</v>
      </c>
      <c r="X319" s="5">
        <v>0.17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0.1</v>
      </c>
      <c r="AE319" s="5">
        <v>0</v>
      </c>
      <c r="AF319" s="5">
        <v>0.5</v>
      </c>
      <c r="AG319" s="5">
        <v>50</v>
      </c>
      <c r="AH319" s="5">
        <v>289</v>
      </c>
    </row>
    <row r="320" spans="1:34" x14ac:dyDescent="0.3">
      <c r="A320" s="5">
        <v>0</v>
      </c>
      <c r="B320" s="5">
        <v>0.22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0.4</v>
      </c>
      <c r="X320" s="5">
        <v>0.38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0.1</v>
      </c>
      <c r="AE320" s="5">
        <v>0</v>
      </c>
      <c r="AF320" s="5">
        <v>0.5</v>
      </c>
      <c r="AG320" s="5">
        <v>50</v>
      </c>
      <c r="AH320" s="5">
        <v>185</v>
      </c>
    </row>
    <row r="321" spans="1:34" x14ac:dyDescent="0.3">
      <c r="A321" s="5">
        <v>0</v>
      </c>
      <c r="B321" s="5">
        <v>0</v>
      </c>
      <c r="C321" s="5">
        <v>0</v>
      </c>
      <c r="D321" s="5">
        <v>0</v>
      </c>
      <c r="E321" s="5">
        <v>0.91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0.02</v>
      </c>
      <c r="W321" s="5">
        <v>0</v>
      </c>
      <c r="X321" s="5">
        <v>7.0000000000000007E-2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0.5</v>
      </c>
      <c r="AE321" s="5">
        <v>0</v>
      </c>
      <c r="AF321" s="5">
        <v>1</v>
      </c>
      <c r="AG321" s="5">
        <v>50</v>
      </c>
      <c r="AH321" s="5">
        <v>390</v>
      </c>
    </row>
    <row r="322" spans="1:34" x14ac:dyDescent="0.3">
      <c r="A322" s="5">
        <v>0</v>
      </c>
      <c r="B322" s="5">
        <v>0</v>
      </c>
      <c r="C322" s="5">
        <v>0</v>
      </c>
      <c r="D322" s="5">
        <v>0</v>
      </c>
      <c r="E322" s="5">
        <v>0.94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0.03</v>
      </c>
      <c r="W322" s="5">
        <v>0</v>
      </c>
      <c r="X322" s="5">
        <v>0.03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0.5</v>
      </c>
      <c r="AE322" s="5">
        <v>0</v>
      </c>
      <c r="AF322" s="5">
        <v>1</v>
      </c>
      <c r="AG322" s="5">
        <v>50</v>
      </c>
      <c r="AH322" s="5">
        <v>274</v>
      </c>
    </row>
    <row r="323" spans="1:34" x14ac:dyDescent="0.3">
      <c r="A323" s="5">
        <v>0</v>
      </c>
      <c r="B323" s="5">
        <v>0.8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0.05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0.15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1</v>
      </c>
      <c r="AE323" s="5">
        <v>0</v>
      </c>
      <c r="AF323" s="5">
        <v>2</v>
      </c>
      <c r="AG323" s="5">
        <v>10</v>
      </c>
      <c r="AH323" s="5">
        <v>2661.751794871795</v>
      </c>
    </row>
    <row r="324" spans="1:34" x14ac:dyDescent="0.3">
      <c r="A324" s="5">
        <v>0</v>
      </c>
      <c r="B324" s="5">
        <v>0.8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0.05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0.15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1</v>
      </c>
      <c r="AE324" s="5">
        <v>0</v>
      </c>
      <c r="AF324" s="5">
        <v>2</v>
      </c>
      <c r="AG324" s="5">
        <v>20</v>
      </c>
      <c r="AH324" s="5">
        <v>3092.6358974358977</v>
      </c>
    </row>
    <row r="325" spans="1:34" x14ac:dyDescent="0.3">
      <c r="A325" s="5">
        <v>0</v>
      </c>
      <c r="B325" s="5">
        <v>0.8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0.05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0.15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1</v>
      </c>
      <c r="AE325" s="5">
        <v>0</v>
      </c>
      <c r="AF325" s="5">
        <v>2</v>
      </c>
      <c r="AG325" s="5">
        <v>30</v>
      </c>
      <c r="AH325" s="5">
        <v>3426.2235897435894</v>
      </c>
    </row>
    <row r="326" spans="1:34" x14ac:dyDescent="0.3">
      <c r="A326" s="5">
        <v>0</v>
      </c>
      <c r="B326" s="5">
        <v>0.8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0.05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0.15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1</v>
      </c>
      <c r="AE326" s="5">
        <v>0</v>
      </c>
      <c r="AF326" s="5">
        <v>2</v>
      </c>
      <c r="AG326" s="5">
        <v>40</v>
      </c>
      <c r="AH326" s="5">
        <v>3822.3589743589741</v>
      </c>
    </row>
    <row r="327" spans="1:34" x14ac:dyDescent="0.3">
      <c r="A327" s="5">
        <v>0</v>
      </c>
      <c r="B327" s="5">
        <v>0.8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0.05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0.15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1</v>
      </c>
      <c r="AE327" s="5">
        <v>0</v>
      </c>
      <c r="AF327" s="5">
        <v>2</v>
      </c>
      <c r="AG327" s="5">
        <v>50</v>
      </c>
      <c r="AH327" s="5">
        <v>3926.6051282051276</v>
      </c>
    </row>
    <row r="328" spans="1:34" x14ac:dyDescent="0.3">
      <c r="A328" s="5">
        <v>0</v>
      </c>
      <c r="B328" s="5">
        <v>0.8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0.05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0.15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1</v>
      </c>
      <c r="AE328" s="5">
        <v>0</v>
      </c>
      <c r="AF328" s="5">
        <v>2</v>
      </c>
      <c r="AG328" s="5">
        <v>60</v>
      </c>
      <c r="AH328" s="5">
        <v>4065.6</v>
      </c>
    </row>
    <row r="329" spans="1:34" x14ac:dyDescent="0.3">
      <c r="A329" s="5">
        <v>0</v>
      </c>
      <c r="B329" s="5">
        <v>0.8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0.05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0.15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1</v>
      </c>
      <c r="AE329" s="5">
        <v>0</v>
      </c>
      <c r="AF329" s="5">
        <v>2</v>
      </c>
      <c r="AG329" s="5">
        <v>70</v>
      </c>
      <c r="AH329" s="5">
        <v>4155.9466666666667</v>
      </c>
    </row>
    <row r="330" spans="1:34" x14ac:dyDescent="0.3">
      <c r="A330" s="5">
        <v>0</v>
      </c>
      <c r="B330" s="5">
        <v>0.8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0.05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0.15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1</v>
      </c>
      <c r="AE330" s="5">
        <v>0</v>
      </c>
      <c r="AF330" s="5">
        <v>2</v>
      </c>
      <c r="AG330" s="5">
        <v>80</v>
      </c>
      <c r="AH330" s="5">
        <v>4281.042051282051</v>
      </c>
    </row>
    <row r="331" spans="1:34" x14ac:dyDescent="0.3">
      <c r="A331" s="5">
        <v>0</v>
      </c>
      <c r="B331" s="5">
        <v>0.8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0.05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0.15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1</v>
      </c>
      <c r="AE331" s="5">
        <v>0</v>
      </c>
      <c r="AF331" s="5">
        <v>2</v>
      </c>
      <c r="AG331" s="5">
        <v>90</v>
      </c>
      <c r="AH331" s="5">
        <v>4385.288205128204</v>
      </c>
    </row>
    <row r="332" spans="1:34" x14ac:dyDescent="0.3">
      <c r="A332" s="5">
        <v>0</v>
      </c>
      <c r="B332" s="5">
        <v>0.8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0.05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0.15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1</v>
      </c>
      <c r="AE332" s="5">
        <v>0</v>
      </c>
      <c r="AF332" s="5">
        <v>2</v>
      </c>
      <c r="AG332" s="5">
        <v>100</v>
      </c>
      <c r="AH332" s="5">
        <v>4552.082051282051</v>
      </c>
    </row>
    <row r="333" spans="1:34" x14ac:dyDescent="0.3">
      <c r="A333" s="5">
        <v>0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0.67999999999999994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0.02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0.2</v>
      </c>
      <c r="Y333" s="5">
        <v>0.1</v>
      </c>
      <c r="Z333" s="5">
        <v>0</v>
      </c>
      <c r="AA333" s="5">
        <v>0</v>
      </c>
      <c r="AB333" s="5">
        <v>0</v>
      </c>
      <c r="AC333" s="5">
        <v>0</v>
      </c>
      <c r="AD333" s="5">
        <v>0.5</v>
      </c>
      <c r="AE333" s="5">
        <v>0</v>
      </c>
      <c r="AF333" s="5">
        <v>0.5</v>
      </c>
      <c r="AG333" s="5">
        <v>20</v>
      </c>
      <c r="AH333" s="5">
        <v>83.937823834196891</v>
      </c>
    </row>
    <row r="334" spans="1:34" x14ac:dyDescent="0.3">
      <c r="A334" s="5">
        <v>0</v>
      </c>
      <c r="B334" s="5">
        <v>0.43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0.09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0.21</v>
      </c>
      <c r="T334" s="5">
        <v>0</v>
      </c>
      <c r="U334" s="5">
        <v>0</v>
      </c>
      <c r="V334" s="5">
        <v>0</v>
      </c>
      <c r="W334" s="5">
        <v>0</v>
      </c>
      <c r="X334" s="5">
        <v>0.27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0.5</v>
      </c>
      <c r="AE334" s="5">
        <v>0</v>
      </c>
      <c r="AF334" s="5">
        <v>1</v>
      </c>
      <c r="AG334" s="5">
        <v>10</v>
      </c>
      <c r="AH334" s="5">
        <v>448</v>
      </c>
    </row>
    <row r="335" spans="1:34" x14ac:dyDescent="0.3">
      <c r="A335" s="5">
        <v>0</v>
      </c>
      <c r="B335" s="5">
        <v>0.43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0.09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0.21</v>
      </c>
      <c r="T335" s="5">
        <v>0</v>
      </c>
      <c r="U335" s="5">
        <v>0</v>
      </c>
      <c r="V335" s="5">
        <v>0</v>
      </c>
      <c r="W335" s="5">
        <v>0</v>
      </c>
      <c r="X335" s="5">
        <v>0.27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0.5</v>
      </c>
      <c r="AE335" s="5">
        <v>0</v>
      </c>
      <c r="AF335" s="5">
        <v>1</v>
      </c>
      <c r="AG335" s="5">
        <v>20</v>
      </c>
      <c r="AH335" s="5">
        <v>616</v>
      </c>
    </row>
    <row r="336" spans="1:34" x14ac:dyDescent="0.3">
      <c r="A336" s="5">
        <v>0</v>
      </c>
      <c r="B336" s="5">
        <v>0.43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0.09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0.21</v>
      </c>
      <c r="T336" s="5">
        <v>0</v>
      </c>
      <c r="U336" s="5">
        <v>0</v>
      </c>
      <c r="V336" s="5">
        <v>0</v>
      </c>
      <c r="W336" s="5">
        <v>0</v>
      </c>
      <c r="X336" s="5">
        <v>0.27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0.5</v>
      </c>
      <c r="AE336" s="5">
        <v>0</v>
      </c>
      <c r="AF336" s="5">
        <v>1</v>
      </c>
      <c r="AG336" s="5">
        <v>30</v>
      </c>
      <c r="AH336" s="5">
        <v>760</v>
      </c>
    </row>
    <row r="337" spans="1:34" x14ac:dyDescent="0.3">
      <c r="A337" s="5">
        <v>0</v>
      </c>
      <c r="B337" s="5">
        <v>0.43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0.09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0.21</v>
      </c>
      <c r="T337" s="5">
        <v>0</v>
      </c>
      <c r="U337" s="5">
        <v>0</v>
      </c>
      <c r="V337" s="5">
        <v>0</v>
      </c>
      <c r="W337" s="5">
        <v>0</v>
      </c>
      <c r="X337" s="5">
        <v>0.27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0.5</v>
      </c>
      <c r="AE337" s="5">
        <v>0</v>
      </c>
      <c r="AF337" s="5">
        <v>1</v>
      </c>
      <c r="AG337" s="5">
        <v>40</v>
      </c>
      <c r="AH337" s="5">
        <v>840</v>
      </c>
    </row>
    <row r="338" spans="1:34" x14ac:dyDescent="0.3">
      <c r="A338" s="5">
        <v>0</v>
      </c>
      <c r="B338" s="5">
        <v>0.43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0.09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0.21</v>
      </c>
      <c r="T338" s="5">
        <v>0</v>
      </c>
      <c r="U338" s="5">
        <v>0</v>
      </c>
      <c r="V338" s="5">
        <v>0</v>
      </c>
      <c r="W338" s="5">
        <v>0</v>
      </c>
      <c r="X338" s="5">
        <v>0.27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0.5</v>
      </c>
      <c r="AE338" s="5">
        <v>0</v>
      </c>
      <c r="AF338" s="5">
        <v>1</v>
      </c>
      <c r="AG338" s="5">
        <v>50</v>
      </c>
      <c r="AH338" s="5">
        <v>919.99999999999989</v>
      </c>
    </row>
    <row r="339" spans="1:34" x14ac:dyDescent="0.3">
      <c r="A339" s="5">
        <v>0</v>
      </c>
      <c r="B339" s="5">
        <v>0.43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0.09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0.21</v>
      </c>
      <c r="T339" s="5">
        <v>0</v>
      </c>
      <c r="U339" s="5">
        <v>0</v>
      </c>
      <c r="V339" s="5">
        <v>0</v>
      </c>
      <c r="W339" s="5">
        <v>0</v>
      </c>
      <c r="X339" s="5">
        <v>0.27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0.5</v>
      </c>
      <c r="AE339" s="5">
        <v>0</v>
      </c>
      <c r="AF339" s="5">
        <v>1</v>
      </c>
      <c r="AG339" s="5">
        <v>60</v>
      </c>
      <c r="AH339" s="5">
        <v>1000</v>
      </c>
    </row>
    <row r="340" spans="1:34" x14ac:dyDescent="0.3">
      <c r="A340" s="5">
        <v>0</v>
      </c>
      <c r="B340" s="5">
        <v>0.43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0.09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0.21</v>
      </c>
      <c r="T340" s="5">
        <v>0</v>
      </c>
      <c r="U340" s="5">
        <v>0</v>
      </c>
      <c r="V340" s="5">
        <v>0</v>
      </c>
      <c r="W340" s="5">
        <v>0</v>
      </c>
      <c r="X340" s="5">
        <v>0.27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0.5</v>
      </c>
      <c r="AE340" s="5">
        <v>0</v>
      </c>
      <c r="AF340" s="5">
        <v>1</v>
      </c>
      <c r="AG340" s="5">
        <v>70</v>
      </c>
      <c r="AH340" s="5">
        <v>1059.9999999999998</v>
      </c>
    </row>
    <row r="341" spans="1:34" x14ac:dyDescent="0.3">
      <c r="A341" s="5">
        <v>0</v>
      </c>
      <c r="B341" s="5">
        <v>0.43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0.09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0.21</v>
      </c>
      <c r="T341" s="5">
        <v>0</v>
      </c>
      <c r="U341" s="5">
        <v>0</v>
      </c>
      <c r="V341" s="5">
        <v>0</v>
      </c>
      <c r="W341" s="5">
        <v>0</v>
      </c>
      <c r="X341" s="5">
        <v>0.27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0.5</v>
      </c>
      <c r="AE341" s="5">
        <v>0</v>
      </c>
      <c r="AF341" s="5">
        <v>1</v>
      </c>
      <c r="AG341" s="5">
        <v>80</v>
      </c>
      <c r="AH341" s="5">
        <v>1111.9999999999998</v>
      </c>
    </row>
    <row r="342" spans="1:34" x14ac:dyDescent="0.3">
      <c r="A342" s="5">
        <v>0</v>
      </c>
      <c r="B342" s="5">
        <v>0.43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0.09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0.21</v>
      </c>
      <c r="T342" s="5">
        <v>0</v>
      </c>
      <c r="U342" s="5">
        <v>0</v>
      </c>
      <c r="V342" s="5">
        <v>0</v>
      </c>
      <c r="W342" s="5">
        <v>0</v>
      </c>
      <c r="X342" s="5">
        <v>0.27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0.5</v>
      </c>
      <c r="AE342" s="5">
        <v>0</v>
      </c>
      <c r="AF342" s="5">
        <v>1</v>
      </c>
      <c r="AG342" s="5">
        <v>90</v>
      </c>
      <c r="AH342" s="5">
        <v>1160</v>
      </c>
    </row>
    <row r="343" spans="1:34" x14ac:dyDescent="0.3">
      <c r="A343" s="5">
        <v>0</v>
      </c>
      <c r="B343" s="5">
        <v>0.43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0.09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0.21</v>
      </c>
      <c r="T343" s="5">
        <v>0</v>
      </c>
      <c r="U343" s="5">
        <v>0</v>
      </c>
      <c r="V343" s="5">
        <v>0</v>
      </c>
      <c r="W343" s="5">
        <v>0</v>
      </c>
      <c r="X343" s="5">
        <v>0.27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0.5</v>
      </c>
      <c r="AE343" s="5">
        <v>0</v>
      </c>
      <c r="AF343" s="5">
        <v>1</v>
      </c>
      <c r="AG343" s="5">
        <v>100</v>
      </c>
      <c r="AH343" s="5">
        <v>1200</v>
      </c>
    </row>
    <row r="344" spans="1:34" x14ac:dyDescent="0.3">
      <c r="A344" s="5">
        <v>0</v>
      </c>
      <c r="B344" s="5">
        <v>0</v>
      </c>
      <c r="C344" s="5">
        <v>0.6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0.4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0.5</v>
      </c>
      <c r="AE344" s="5">
        <v>0</v>
      </c>
      <c r="AF344" s="5">
        <v>0.5</v>
      </c>
      <c r="AG344" s="5">
        <v>50</v>
      </c>
      <c r="AH344" s="5">
        <v>308.56</v>
      </c>
    </row>
    <row r="345" spans="1:34" x14ac:dyDescent="0.3">
      <c r="A345" s="5">
        <v>0</v>
      </c>
      <c r="B345" s="5">
        <v>0.42499999999999999</v>
      </c>
      <c r="C345" s="5">
        <v>0.42499999999999999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0.15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0.5</v>
      </c>
      <c r="AE345" s="5">
        <v>0</v>
      </c>
      <c r="AF345" s="5">
        <v>1</v>
      </c>
      <c r="AG345" s="5">
        <v>50</v>
      </c>
      <c r="AH345" s="5">
        <v>529</v>
      </c>
    </row>
    <row r="346" spans="1:34" x14ac:dyDescent="0.3">
      <c r="A346" s="5">
        <v>0</v>
      </c>
      <c r="B346" s="5">
        <v>0.7846153846153846</v>
      </c>
      <c r="C346" s="5">
        <v>6.5384615384615388E-2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0.15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0.5</v>
      </c>
      <c r="AE346" s="5">
        <v>0</v>
      </c>
      <c r="AF346" s="5">
        <v>1</v>
      </c>
      <c r="AG346" s="5">
        <v>50</v>
      </c>
      <c r="AH346" s="5">
        <v>179</v>
      </c>
    </row>
    <row r="347" spans="1:34" x14ac:dyDescent="0.3">
      <c r="A347" s="5">
        <v>0</v>
      </c>
      <c r="B347" s="5">
        <v>0.56666666666666665</v>
      </c>
      <c r="C347" s="5">
        <v>0.28333333333333333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0.15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0.5</v>
      </c>
      <c r="AE347" s="5">
        <v>0</v>
      </c>
      <c r="AF347" s="5">
        <v>1</v>
      </c>
      <c r="AG347" s="5">
        <v>50</v>
      </c>
      <c r="AH347" s="5">
        <v>413</v>
      </c>
    </row>
    <row r="348" spans="1:34" x14ac:dyDescent="0.3">
      <c r="A348" s="5">
        <v>0</v>
      </c>
      <c r="B348" s="5">
        <v>0.45</v>
      </c>
      <c r="C348" s="5">
        <v>0.45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0.05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0.05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0.5</v>
      </c>
      <c r="AE348" s="5">
        <v>0</v>
      </c>
      <c r="AF348" s="5">
        <v>0.5</v>
      </c>
      <c r="AG348" s="5">
        <v>50</v>
      </c>
      <c r="AH348" s="5">
        <v>437</v>
      </c>
    </row>
    <row r="349" spans="1:34" x14ac:dyDescent="0.3">
      <c r="A349" s="5">
        <v>0</v>
      </c>
      <c r="B349" s="5">
        <v>0</v>
      </c>
      <c r="C349" s="5">
        <v>0.83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0.17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0.5</v>
      </c>
      <c r="AE349" s="5">
        <v>0</v>
      </c>
      <c r="AF349" s="5">
        <v>0.5</v>
      </c>
      <c r="AG349" s="5">
        <v>50</v>
      </c>
      <c r="AH349" s="5">
        <v>139</v>
      </c>
    </row>
    <row r="350" spans="1:34" x14ac:dyDescent="0.3">
      <c r="A350" s="5">
        <v>0</v>
      </c>
      <c r="B350" s="5">
        <v>0</v>
      </c>
      <c r="C350" s="5">
        <v>0.68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0.32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0.5</v>
      </c>
      <c r="AE350" s="5">
        <v>0</v>
      </c>
      <c r="AF350" s="5">
        <v>0.5</v>
      </c>
      <c r="AG350" s="5">
        <v>50</v>
      </c>
      <c r="AH350" s="5">
        <v>147</v>
      </c>
    </row>
    <row r="351" spans="1:34" x14ac:dyDescent="0.3">
      <c r="A351" s="5">
        <v>0</v>
      </c>
      <c r="B351" s="5">
        <v>0</v>
      </c>
      <c r="C351" s="5">
        <v>0.66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0.34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0.5</v>
      </c>
      <c r="AE351" s="5">
        <v>0</v>
      </c>
      <c r="AF351" s="5">
        <v>0.5</v>
      </c>
      <c r="AG351" s="5">
        <v>50</v>
      </c>
      <c r="AH351" s="5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5"/>
  <sheetViews>
    <sheetView workbookViewId="0">
      <selection activeCell="B1" sqref="B1:B1048576"/>
    </sheetView>
  </sheetViews>
  <sheetFormatPr defaultRowHeight="14.4" x14ac:dyDescent="0.3"/>
  <cols>
    <col min="1" max="1" width="9.109375" style="5"/>
  </cols>
  <sheetData>
    <row r="1" spans="1:5" x14ac:dyDescent="0.3">
      <c r="A1" s="3" t="s">
        <v>334</v>
      </c>
    </row>
    <row r="2" spans="1:5" x14ac:dyDescent="0.3">
      <c r="A2" s="5">
        <v>412</v>
      </c>
      <c r="B2">
        <v>0</v>
      </c>
      <c r="E2">
        <f>COUNTIF(B:B, "0")</f>
        <v>323</v>
      </c>
    </row>
    <row r="3" spans="1:5" x14ac:dyDescent="0.3">
      <c r="A3" s="5">
        <v>559</v>
      </c>
      <c r="B3">
        <v>0</v>
      </c>
      <c r="E3">
        <f>COUNTIF(B:B, "1")</f>
        <v>41</v>
      </c>
    </row>
    <row r="4" spans="1:5" x14ac:dyDescent="0.3">
      <c r="A4" s="5">
        <v>512</v>
      </c>
      <c r="B4">
        <v>0</v>
      </c>
    </row>
    <row r="5" spans="1:5" x14ac:dyDescent="0.3">
      <c r="A5" s="5">
        <v>477</v>
      </c>
      <c r="B5">
        <v>0</v>
      </c>
    </row>
    <row r="6" spans="1:5" x14ac:dyDescent="0.3">
      <c r="A6" s="5">
        <v>138</v>
      </c>
      <c r="B6">
        <v>0</v>
      </c>
    </row>
    <row r="7" spans="1:5" x14ac:dyDescent="0.3">
      <c r="A7" s="5">
        <v>444</v>
      </c>
      <c r="B7">
        <v>0</v>
      </c>
    </row>
    <row r="8" spans="1:5" x14ac:dyDescent="0.3">
      <c r="A8" s="5">
        <v>323</v>
      </c>
      <c r="B8">
        <v>0</v>
      </c>
    </row>
    <row r="9" spans="1:5" x14ac:dyDescent="0.3">
      <c r="A9" s="5">
        <v>575</v>
      </c>
      <c r="B9">
        <v>0</v>
      </c>
    </row>
    <row r="10" spans="1:5" x14ac:dyDescent="0.3">
      <c r="A10" s="5">
        <v>100</v>
      </c>
      <c r="B10">
        <v>0</v>
      </c>
    </row>
    <row r="11" spans="1:5" x14ac:dyDescent="0.3">
      <c r="A11" s="5">
        <v>150</v>
      </c>
      <c r="B11">
        <v>0</v>
      </c>
    </row>
    <row r="12" spans="1:5" x14ac:dyDescent="0.3">
      <c r="A12" s="5">
        <v>87</v>
      </c>
      <c r="B12">
        <v>0</v>
      </c>
    </row>
    <row r="13" spans="1:5" x14ac:dyDescent="0.3">
      <c r="A13" s="5">
        <v>250</v>
      </c>
      <c r="B13">
        <v>0</v>
      </c>
    </row>
    <row r="14" spans="1:5" x14ac:dyDescent="0.3">
      <c r="A14" s="5">
        <v>217</v>
      </c>
      <c r="B14">
        <v>0</v>
      </c>
    </row>
    <row r="15" spans="1:5" x14ac:dyDescent="0.3">
      <c r="A15" s="5">
        <v>319</v>
      </c>
      <c r="B15">
        <v>0</v>
      </c>
    </row>
    <row r="16" spans="1:5" x14ac:dyDescent="0.3">
      <c r="A16" s="5">
        <v>488</v>
      </c>
      <c r="B16">
        <v>0</v>
      </c>
    </row>
    <row r="17" spans="1:2" x14ac:dyDescent="0.3">
      <c r="A17" s="5">
        <v>419</v>
      </c>
      <c r="B17">
        <v>0</v>
      </c>
    </row>
    <row r="18" spans="1:2" x14ac:dyDescent="0.3">
      <c r="A18" s="5">
        <v>212</v>
      </c>
      <c r="B18">
        <v>0</v>
      </c>
    </row>
    <row r="19" spans="1:2" x14ac:dyDescent="0.3">
      <c r="A19" s="5">
        <v>90</v>
      </c>
      <c r="B19">
        <v>0</v>
      </c>
    </row>
    <row r="20" spans="1:2" x14ac:dyDescent="0.3">
      <c r="A20" s="5">
        <v>413</v>
      </c>
      <c r="B20">
        <v>0</v>
      </c>
    </row>
    <row r="21" spans="1:2" x14ac:dyDescent="0.3">
      <c r="A21" s="5">
        <v>340</v>
      </c>
      <c r="B21">
        <v>0</v>
      </c>
    </row>
    <row r="22" spans="1:2" x14ac:dyDescent="0.3">
      <c r="A22" s="5">
        <v>250</v>
      </c>
      <c r="B22">
        <v>0</v>
      </c>
    </row>
    <row r="23" spans="1:2" x14ac:dyDescent="0.3">
      <c r="A23" s="5">
        <v>390</v>
      </c>
      <c r="B23">
        <v>0</v>
      </c>
    </row>
    <row r="24" spans="1:2" x14ac:dyDescent="0.3">
      <c r="A24" s="5">
        <v>300</v>
      </c>
      <c r="B24">
        <v>0</v>
      </c>
    </row>
    <row r="25" spans="1:2" x14ac:dyDescent="0.3">
      <c r="A25" s="5">
        <v>276</v>
      </c>
      <c r="B25">
        <v>0</v>
      </c>
    </row>
    <row r="26" spans="1:2" x14ac:dyDescent="0.3">
      <c r="A26" s="5">
        <v>194.85294117647061</v>
      </c>
      <c r="B26">
        <v>0</v>
      </c>
    </row>
    <row r="27" spans="1:2" x14ac:dyDescent="0.3">
      <c r="A27" s="5">
        <v>12.762295081967213</v>
      </c>
      <c r="B27">
        <v>0</v>
      </c>
    </row>
    <row r="28" spans="1:2" x14ac:dyDescent="0.3">
      <c r="A28" s="5">
        <v>249.61224489795919</v>
      </c>
      <c r="B28">
        <v>0</v>
      </c>
    </row>
    <row r="29" spans="1:2" x14ac:dyDescent="0.3">
      <c r="A29" s="5">
        <v>306.01492537313436</v>
      </c>
      <c r="B29">
        <v>0</v>
      </c>
    </row>
    <row r="30" spans="1:2" x14ac:dyDescent="0.3">
      <c r="A30" s="5">
        <v>478.57246376811599</v>
      </c>
      <c r="B30">
        <v>0</v>
      </c>
    </row>
    <row r="31" spans="1:2" x14ac:dyDescent="0.3">
      <c r="A31" s="5">
        <v>575.14285714285711</v>
      </c>
      <c r="B31">
        <v>0</v>
      </c>
    </row>
    <row r="32" spans="1:2" x14ac:dyDescent="0.3">
      <c r="A32" s="5">
        <v>668.70588235294122</v>
      </c>
      <c r="B32">
        <v>0</v>
      </c>
    </row>
    <row r="33" spans="1:2" x14ac:dyDescent="0.3">
      <c r="A33" s="5">
        <v>812</v>
      </c>
      <c r="B33">
        <v>0</v>
      </c>
    </row>
    <row r="34" spans="1:2" x14ac:dyDescent="0.3">
      <c r="A34" s="5">
        <v>771.3364485981308</v>
      </c>
      <c r="B34">
        <v>0</v>
      </c>
    </row>
    <row r="35" spans="1:2" x14ac:dyDescent="0.3">
      <c r="A35" s="5">
        <v>314.41739130434786</v>
      </c>
      <c r="B35">
        <v>0</v>
      </c>
    </row>
    <row r="36" spans="1:2" x14ac:dyDescent="0.3">
      <c r="A36" s="5">
        <v>140</v>
      </c>
      <c r="B36">
        <v>0</v>
      </c>
    </row>
    <row r="37" spans="1:2" x14ac:dyDescent="0.3">
      <c r="A37" s="5">
        <v>150</v>
      </c>
      <c r="B37">
        <v>0</v>
      </c>
    </row>
    <row r="38" spans="1:2" x14ac:dyDescent="0.3">
      <c r="A38" s="5">
        <v>180</v>
      </c>
      <c r="B38">
        <v>0</v>
      </c>
    </row>
    <row r="39" spans="1:2" x14ac:dyDescent="0.3">
      <c r="A39" s="5">
        <v>392.85714285714283</v>
      </c>
      <c r="B39">
        <v>0</v>
      </c>
    </row>
    <row r="40" spans="1:2" x14ac:dyDescent="0.3">
      <c r="A40" s="5">
        <v>3.5714285714285712</v>
      </c>
      <c r="B40">
        <v>0</v>
      </c>
    </row>
    <row r="41" spans="1:2" x14ac:dyDescent="0.3">
      <c r="A41" s="5">
        <v>7.1428571428571423</v>
      </c>
      <c r="B41">
        <v>0</v>
      </c>
    </row>
    <row r="42" spans="1:2" x14ac:dyDescent="0.3">
      <c r="A42" s="5">
        <v>44.285714285714285</v>
      </c>
      <c r="B42">
        <v>0</v>
      </c>
    </row>
    <row r="43" spans="1:2" x14ac:dyDescent="0.3">
      <c r="A43" s="5">
        <v>85.714285714285708</v>
      </c>
      <c r="B43">
        <v>0</v>
      </c>
    </row>
    <row r="44" spans="1:2" x14ac:dyDescent="0.3">
      <c r="A44" s="5">
        <v>142.85714285714283</v>
      </c>
      <c r="B44">
        <v>0</v>
      </c>
    </row>
    <row r="45" spans="1:2" x14ac:dyDescent="0.3">
      <c r="A45" s="5">
        <v>133.33333333333334</v>
      </c>
      <c r="B45">
        <v>0</v>
      </c>
    </row>
    <row r="46" spans="1:2" x14ac:dyDescent="0.3">
      <c r="A46" s="5">
        <v>199.99999999999997</v>
      </c>
      <c r="B46">
        <v>0</v>
      </c>
    </row>
    <row r="47" spans="1:2" x14ac:dyDescent="0.3">
      <c r="A47" s="5">
        <v>172.72727272727272</v>
      </c>
      <c r="B47">
        <v>0</v>
      </c>
    </row>
    <row r="48" spans="1:2" x14ac:dyDescent="0.3">
      <c r="A48" s="5">
        <v>275</v>
      </c>
      <c r="B48">
        <v>0</v>
      </c>
    </row>
    <row r="49" spans="1:2" x14ac:dyDescent="0.3">
      <c r="A49" s="5">
        <v>190</v>
      </c>
      <c r="B49">
        <v>0</v>
      </c>
    </row>
    <row r="50" spans="1:2" x14ac:dyDescent="0.3">
      <c r="A50" s="5">
        <v>110</v>
      </c>
      <c r="B50">
        <v>0</v>
      </c>
    </row>
    <row r="51" spans="1:2" x14ac:dyDescent="0.3">
      <c r="A51" s="5">
        <v>55</v>
      </c>
      <c r="B51">
        <v>0</v>
      </c>
    </row>
    <row r="52" spans="1:2" x14ac:dyDescent="0.3">
      <c r="A52" s="5">
        <v>40</v>
      </c>
      <c r="B52">
        <v>0</v>
      </c>
    </row>
    <row r="53" spans="1:2" x14ac:dyDescent="0.3">
      <c r="A53" s="5">
        <v>120</v>
      </c>
      <c r="B53">
        <v>0</v>
      </c>
    </row>
    <row r="54" spans="1:2" x14ac:dyDescent="0.3">
      <c r="A54" s="5">
        <v>100</v>
      </c>
      <c r="B54">
        <v>0</v>
      </c>
    </row>
    <row r="55" spans="1:2" x14ac:dyDescent="0.3">
      <c r="A55" s="5">
        <v>162</v>
      </c>
      <c r="B55">
        <v>0</v>
      </c>
    </row>
    <row r="56" spans="1:2" x14ac:dyDescent="0.3">
      <c r="A56" s="5">
        <v>218</v>
      </c>
      <c r="B56">
        <v>0</v>
      </c>
    </row>
    <row r="57" spans="1:2" x14ac:dyDescent="0.3">
      <c r="A57" s="5">
        <v>279</v>
      </c>
      <c r="B57">
        <v>0</v>
      </c>
    </row>
    <row r="58" spans="1:2" x14ac:dyDescent="0.3">
      <c r="A58" s="5">
        <v>360</v>
      </c>
      <c r="B58">
        <v>0</v>
      </c>
    </row>
    <row r="59" spans="1:2" x14ac:dyDescent="0.3">
      <c r="A59" s="5">
        <v>81.632653061224488</v>
      </c>
      <c r="B59">
        <v>0</v>
      </c>
    </row>
    <row r="60" spans="1:2" x14ac:dyDescent="0.3">
      <c r="A60" s="5">
        <v>117.34693877551021</v>
      </c>
      <c r="B60">
        <v>0</v>
      </c>
    </row>
    <row r="61" spans="1:2" x14ac:dyDescent="0.3">
      <c r="A61" s="5">
        <v>876.47058823529414</v>
      </c>
      <c r="B61">
        <v>0</v>
      </c>
    </row>
    <row r="62" spans="1:2" x14ac:dyDescent="0.3">
      <c r="A62" s="5">
        <v>555.55555555555554</v>
      </c>
      <c r="B62">
        <v>0</v>
      </c>
    </row>
    <row r="63" spans="1:2" x14ac:dyDescent="0.3">
      <c r="A63" s="5">
        <v>433.33333333333337</v>
      </c>
      <c r="B63">
        <v>0</v>
      </c>
    </row>
    <row r="64" spans="1:2" x14ac:dyDescent="0.3">
      <c r="A64" s="5">
        <v>249.09090909090912</v>
      </c>
      <c r="B64">
        <v>0</v>
      </c>
    </row>
    <row r="65" spans="1:2" x14ac:dyDescent="0.3">
      <c r="A65" s="5">
        <v>241.37931034482759</v>
      </c>
      <c r="B65">
        <v>0</v>
      </c>
    </row>
    <row r="66" spans="1:2" x14ac:dyDescent="0.3">
      <c r="A66" s="5">
        <v>585.71428571428567</v>
      </c>
      <c r="B66">
        <v>0</v>
      </c>
    </row>
    <row r="67" spans="1:2" x14ac:dyDescent="0.3">
      <c r="A67" s="5">
        <v>118</v>
      </c>
      <c r="B67">
        <v>0</v>
      </c>
    </row>
    <row r="68" spans="1:2" x14ac:dyDescent="0.3">
      <c r="A68" s="5">
        <v>162</v>
      </c>
      <c r="B68">
        <v>0</v>
      </c>
    </row>
    <row r="69" spans="1:2" x14ac:dyDescent="0.3">
      <c r="A69" s="5">
        <v>428</v>
      </c>
      <c r="B69">
        <v>0</v>
      </c>
    </row>
    <row r="70" spans="1:2" x14ac:dyDescent="0.3">
      <c r="A70" s="5">
        <v>337</v>
      </c>
      <c r="B70">
        <v>0</v>
      </c>
    </row>
    <row r="71" spans="1:2" x14ac:dyDescent="0.3">
      <c r="A71" s="5">
        <v>146</v>
      </c>
      <c r="B71">
        <v>0</v>
      </c>
    </row>
    <row r="72" spans="1:2" x14ac:dyDescent="0.3">
      <c r="A72" s="5">
        <v>92</v>
      </c>
      <c r="B72">
        <v>0</v>
      </c>
    </row>
    <row r="73" spans="1:2" x14ac:dyDescent="0.3">
      <c r="A73" s="5">
        <v>138</v>
      </c>
      <c r="B73">
        <v>0</v>
      </c>
    </row>
    <row r="74" spans="1:2" x14ac:dyDescent="0.3">
      <c r="A74" s="5">
        <v>311</v>
      </c>
      <c r="B74">
        <v>0</v>
      </c>
    </row>
    <row r="75" spans="1:2" x14ac:dyDescent="0.3">
      <c r="A75" s="5">
        <v>183</v>
      </c>
      <c r="B75">
        <v>0</v>
      </c>
    </row>
    <row r="76" spans="1:2" x14ac:dyDescent="0.3">
      <c r="A76" s="5">
        <v>121</v>
      </c>
      <c r="B76">
        <v>0</v>
      </c>
    </row>
    <row r="77" spans="1:2" x14ac:dyDescent="0.3">
      <c r="A77" s="5">
        <v>109</v>
      </c>
      <c r="B77">
        <v>0</v>
      </c>
    </row>
    <row r="78" spans="1:2" x14ac:dyDescent="0.3">
      <c r="A78" s="5">
        <v>200</v>
      </c>
      <c r="B78">
        <v>0</v>
      </c>
    </row>
    <row r="79" spans="1:2" x14ac:dyDescent="0.3">
      <c r="A79" s="5">
        <v>101</v>
      </c>
      <c r="B79">
        <v>0</v>
      </c>
    </row>
    <row r="80" spans="1:2" x14ac:dyDescent="0.3">
      <c r="A80" s="5">
        <v>434.00000000000006</v>
      </c>
      <c r="B80">
        <v>0</v>
      </c>
    </row>
    <row r="81" spans="1:2" x14ac:dyDescent="0.3">
      <c r="A81" s="5">
        <v>308</v>
      </c>
      <c r="B81">
        <v>0</v>
      </c>
    </row>
    <row r="82" spans="1:2" x14ac:dyDescent="0.3">
      <c r="A82" s="5">
        <v>182</v>
      </c>
      <c r="B82">
        <v>0</v>
      </c>
    </row>
    <row r="83" spans="1:2" x14ac:dyDescent="0.3">
      <c r="A83" s="5">
        <v>122</v>
      </c>
      <c r="B83">
        <v>0</v>
      </c>
    </row>
    <row r="84" spans="1:2" x14ac:dyDescent="0.3">
      <c r="A84" s="5">
        <v>57</v>
      </c>
      <c r="B84">
        <v>0</v>
      </c>
    </row>
    <row r="85" spans="1:2" x14ac:dyDescent="0.3">
      <c r="A85" s="5">
        <v>12.600000000000003</v>
      </c>
      <c r="B85">
        <v>0</v>
      </c>
    </row>
    <row r="86" spans="1:2" x14ac:dyDescent="0.3">
      <c r="A86" s="5">
        <v>10.5</v>
      </c>
      <c r="B86">
        <v>0</v>
      </c>
    </row>
    <row r="87" spans="1:2" x14ac:dyDescent="0.3">
      <c r="A87" s="5">
        <v>5.6000000000000005</v>
      </c>
      <c r="B87">
        <v>0</v>
      </c>
    </row>
    <row r="88" spans="1:2" x14ac:dyDescent="0.3">
      <c r="A88" s="5">
        <v>132.75862068965517</v>
      </c>
      <c r="B88">
        <v>0</v>
      </c>
    </row>
    <row r="89" spans="1:2" x14ac:dyDescent="0.3">
      <c r="A89" s="5">
        <v>168.96551724137933</v>
      </c>
      <c r="B89">
        <v>0</v>
      </c>
    </row>
    <row r="90" spans="1:2" x14ac:dyDescent="0.3">
      <c r="A90" s="5">
        <v>217.24137931034488</v>
      </c>
      <c r="B90">
        <v>0</v>
      </c>
    </row>
    <row r="91" spans="1:2" x14ac:dyDescent="0.3">
      <c r="A91" s="5">
        <v>229.31034482758625</v>
      </c>
      <c r="B91">
        <v>0</v>
      </c>
    </row>
    <row r="92" spans="1:2" x14ac:dyDescent="0.3">
      <c r="A92" s="5">
        <v>253.44827586206901</v>
      </c>
      <c r="B92">
        <v>0</v>
      </c>
    </row>
    <row r="93" spans="1:2" x14ac:dyDescent="0.3">
      <c r="A93" s="5">
        <v>289.65517241379314</v>
      </c>
      <c r="B93">
        <v>0</v>
      </c>
    </row>
    <row r="94" spans="1:2" x14ac:dyDescent="0.3">
      <c r="A94" s="5">
        <v>325.86206896551727</v>
      </c>
      <c r="B94">
        <v>0</v>
      </c>
    </row>
    <row r="95" spans="1:2" x14ac:dyDescent="0.3">
      <c r="A95" s="5">
        <v>78.448275862068982</v>
      </c>
      <c r="B95">
        <v>0</v>
      </c>
    </row>
    <row r="96" spans="1:2" x14ac:dyDescent="0.3">
      <c r="A96" s="5">
        <v>102.58620689655174</v>
      </c>
      <c r="B96">
        <v>0</v>
      </c>
    </row>
    <row r="97" spans="1:2" x14ac:dyDescent="0.3">
      <c r="A97" s="5">
        <v>132.75862068965517</v>
      </c>
      <c r="B97">
        <v>0</v>
      </c>
    </row>
    <row r="98" spans="1:2" x14ac:dyDescent="0.3">
      <c r="A98" s="5">
        <v>120.68965517241381</v>
      </c>
      <c r="B98">
        <v>0</v>
      </c>
    </row>
    <row r="99" spans="1:2" x14ac:dyDescent="0.3">
      <c r="A99" s="5">
        <v>144.82758620689657</v>
      </c>
      <c r="B99">
        <v>0</v>
      </c>
    </row>
    <row r="100" spans="1:2" x14ac:dyDescent="0.3">
      <c r="A100" s="5">
        <v>156.89655172413796</v>
      </c>
      <c r="B100">
        <v>0</v>
      </c>
    </row>
    <row r="101" spans="1:2" x14ac:dyDescent="0.3">
      <c r="A101" s="5">
        <v>175.00000000000003</v>
      </c>
      <c r="B101">
        <v>0</v>
      </c>
    </row>
    <row r="102" spans="1:2" x14ac:dyDescent="0.3">
      <c r="A102" s="5">
        <v>114.54545454545458</v>
      </c>
      <c r="B102">
        <v>0</v>
      </c>
    </row>
    <row r="103" spans="1:2" x14ac:dyDescent="0.3">
      <c r="A103" s="5">
        <v>152.72727272727275</v>
      </c>
      <c r="B103">
        <v>0</v>
      </c>
    </row>
    <row r="104" spans="1:2" x14ac:dyDescent="0.3">
      <c r="A104" s="5">
        <v>210.00000000000003</v>
      </c>
      <c r="B104">
        <v>0</v>
      </c>
    </row>
    <row r="105" spans="1:2" x14ac:dyDescent="0.3">
      <c r="A105" s="5">
        <v>210.00000000000003</v>
      </c>
      <c r="B105">
        <v>0</v>
      </c>
    </row>
    <row r="106" spans="1:2" x14ac:dyDescent="0.3">
      <c r="A106" s="5">
        <v>254.54545454545459</v>
      </c>
      <c r="B106">
        <v>0</v>
      </c>
    </row>
    <row r="107" spans="1:2" x14ac:dyDescent="0.3">
      <c r="A107" s="5">
        <v>292.72727272727275</v>
      </c>
      <c r="B107">
        <v>0</v>
      </c>
    </row>
    <row r="108" spans="1:2" x14ac:dyDescent="0.3">
      <c r="A108" s="5">
        <v>330.90909090909099</v>
      </c>
      <c r="B108">
        <v>0</v>
      </c>
    </row>
    <row r="109" spans="1:2" x14ac:dyDescent="0.3">
      <c r="A109" s="5">
        <v>38.181818181818201</v>
      </c>
      <c r="B109">
        <v>0</v>
      </c>
    </row>
    <row r="110" spans="1:2" x14ac:dyDescent="0.3">
      <c r="A110" s="5">
        <v>49.63636363636364</v>
      </c>
      <c r="B110">
        <v>0</v>
      </c>
    </row>
    <row r="111" spans="1:2" x14ac:dyDescent="0.3">
      <c r="A111" s="5">
        <v>63.636363636363647</v>
      </c>
      <c r="B111">
        <v>0</v>
      </c>
    </row>
    <row r="112" spans="1:2" x14ac:dyDescent="0.3">
      <c r="A112" s="5">
        <v>70</v>
      </c>
      <c r="B112">
        <v>0</v>
      </c>
    </row>
    <row r="113" spans="1:2" x14ac:dyDescent="0.3">
      <c r="A113" s="5">
        <v>70</v>
      </c>
      <c r="B113">
        <v>0</v>
      </c>
    </row>
    <row r="114" spans="1:2" x14ac:dyDescent="0.3">
      <c r="A114" s="5">
        <v>76.363636363636374</v>
      </c>
      <c r="B114">
        <v>0</v>
      </c>
    </row>
    <row r="115" spans="1:2" x14ac:dyDescent="0.3">
      <c r="A115" s="5">
        <v>89.090909090909108</v>
      </c>
      <c r="B115">
        <v>0</v>
      </c>
    </row>
    <row r="116" spans="1:2" x14ac:dyDescent="0.3">
      <c r="A116" s="5">
        <v>49.482758620689651</v>
      </c>
      <c r="B116">
        <v>0</v>
      </c>
    </row>
    <row r="117" spans="1:2" x14ac:dyDescent="0.3">
      <c r="A117" s="5">
        <v>66.379310344827587</v>
      </c>
      <c r="B117">
        <v>0</v>
      </c>
    </row>
    <row r="118" spans="1:2" x14ac:dyDescent="0.3">
      <c r="A118" s="5">
        <v>82.068965517241395</v>
      </c>
      <c r="B118">
        <v>0</v>
      </c>
    </row>
    <row r="119" spans="1:2" x14ac:dyDescent="0.3">
      <c r="A119" s="5">
        <v>74.827586206896569</v>
      </c>
      <c r="B119">
        <v>0</v>
      </c>
    </row>
    <row r="120" spans="1:2" x14ac:dyDescent="0.3">
      <c r="A120" s="5">
        <v>90.517241379310349</v>
      </c>
      <c r="B120">
        <v>0</v>
      </c>
    </row>
    <row r="121" spans="1:2" x14ac:dyDescent="0.3">
      <c r="A121" s="5">
        <v>96.551724137931046</v>
      </c>
      <c r="B121">
        <v>0</v>
      </c>
    </row>
    <row r="122" spans="1:2" x14ac:dyDescent="0.3">
      <c r="A122" s="5">
        <v>107.4137931034483</v>
      </c>
      <c r="B122">
        <v>0</v>
      </c>
    </row>
    <row r="123" spans="1:2" x14ac:dyDescent="0.3">
      <c r="A123" s="5">
        <v>20.363636363636367</v>
      </c>
      <c r="B123">
        <v>0</v>
      </c>
    </row>
    <row r="124" spans="1:2" x14ac:dyDescent="0.3">
      <c r="A124" s="5">
        <v>25.454545454545457</v>
      </c>
      <c r="B124">
        <v>0</v>
      </c>
    </row>
    <row r="125" spans="1:2" x14ac:dyDescent="0.3">
      <c r="A125" s="5">
        <v>26.727272727272734</v>
      </c>
      <c r="B125">
        <v>0</v>
      </c>
    </row>
    <row r="126" spans="1:2" x14ac:dyDescent="0.3">
      <c r="A126" s="5">
        <v>28.000000000000007</v>
      </c>
      <c r="B126">
        <v>0</v>
      </c>
    </row>
    <row r="127" spans="1:2" x14ac:dyDescent="0.3">
      <c r="A127" s="5">
        <v>28.000000000000007</v>
      </c>
      <c r="B127">
        <v>0</v>
      </c>
    </row>
    <row r="128" spans="1:2" x14ac:dyDescent="0.3">
      <c r="A128" s="5">
        <v>34.363636363636374</v>
      </c>
      <c r="B128">
        <v>0</v>
      </c>
    </row>
    <row r="129" spans="1:2" x14ac:dyDescent="0.3">
      <c r="A129" s="5">
        <v>38.181818181818187</v>
      </c>
      <c r="B129">
        <v>0</v>
      </c>
    </row>
    <row r="130" spans="1:2" x14ac:dyDescent="0.3">
      <c r="A130" s="5">
        <v>206</v>
      </c>
      <c r="B130">
        <v>0</v>
      </c>
    </row>
    <row r="131" spans="1:2" x14ac:dyDescent="0.3">
      <c r="A131" s="5">
        <v>394</v>
      </c>
      <c r="B131">
        <v>0</v>
      </c>
    </row>
    <row r="132" spans="1:2" x14ac:dyDescent="0.3">
      <c r="A132" s="5">
        <v>260</v>
      </c>
      <c r="B132">
        <v>0</v>
      </c>
    </row>
    <row r="133" spans="1:2" x14ac:dyDescent="0.3">
      <c r="A133" s="5">
        <v>241</v>
      </c>
      <c r="B133">
        <v>0</v>
      </c>
    </row>
    <row r="134" spans="1:2" x14ac:dyDescent="0.3">
      <c r="A134" s="5">
        <v>132</v>
      </c>
      <c r="B134">
        <v>0</v>
      </c>
    </row>
    <row r="135" spans="1:2" x14ac:dyDescent="0.3">
      <c r="A135" s="5">
        <v>14.901960784313724</v>
      </c>
      <c r="B135">
        <v>0</v>
      </c>
    </row>
    <row r="136" spans="1:2" x14ac:dyDescent="0.3">
      <c r="A136" s="5">
        <v>14.901960784313724</v>
      </c>
      <c r="B136">
        <v>0</v>
      </c>
    </row>
    <row r="137" spans="1:2" x14ac:dyDescent="0.3">
      <c r="A137" s="5">
        <v>7.450980392156862</v>
      </c>
      <c r="B137">
        <v>0</v>
      </c>
    </row>
    <row r="138" spans="1:2" x14ac:dyDescent="0.3">
      <c r="A138" s="5">
        <v>675.74000000000012</v>
      </c>
      <c r="B138">
        <v>0</v>
      </c>
    </row>
    <row r="139" spans="1:2" x14ac:dyDescent="0.3">
      <c r="A139" s="5">
        <v>69</v>
      </c>
      <c r="B139">
        <v>0</v>
      </c>
    </row>
    <row r="140" spans="1:2" x14ac:dyDescent="0.3">
      <c r="A140" s="5">
        <v>1100</v>
      </c>
      <c r="B140">
        <v>1</v>
      </c>
    </row>
    <row r="141" spans="1:2" x14ac:dyDescent="0.3">
      <c r="A141" s="5">
        <v>600</v>
      </c>
      <c r="B141">
        <v>0</v>
      </c>
    </row>
    <row r="142" spans="1:2" x14ac:dyDescent="0.3">
      <c r="A142" s="5">
        <v>1537.2</v>
      </c>
      <c r="B142">
        <v>1</v>
      </c>
    </row>
    <row r="143" spans="1:2" x14ac:dyDescent="0.3">
      <c r="A143" s="5">
        <v>1512.9333333333336</v>
      </c>
      <c r="B143">
        <v>1</v>
      </c>
    </row>
    <row r="144" spans="1:2" x14ac:dyDescent="0.3">
      <c r="A144" s="5">
        <v>979.06666666666672</v>
      </c>
      <c r="B144">
        <v>0</v>
      </c>
    </row>
    <row r="145" spans="1:2" x14ac:dyDescent="0.3">
      <c r="A145" s="5">
        <v>260</v>
      </c>
      <c r="B145">
        <v>0</v>
      </c>
    </row>
    <row r="146" spans="1:2" x14ac:dyDescent="0.3">
      <c r="A146" s="5">
        <v>305</v>
      </c>
      <c r="B146">
        <v>0</v>
      </c>
    </row>
    <row r="147" spans="1:2" x14ac:dyDescent="0.3">
      <c r="A147" s="5">
        <v>250</v>
      </c>
      <c r="B147">
        <v>0</v>
      </c>
    </row>
    <row r="148" spans="1:2" x14ac:dyDescent="0.3">
      <c r="A148" s="5">
        <v>780</v>
      </c>
      <c r="B148">
        <v>0</v>
      </c>
    </row>
    <row r="149" spans="1:2" x14ac:dyDescent="0.3">
      <c r="A149" s="5">
        <v>610</v>
      </c>
      <c r="B149">
        <v>0</v>
      </c>
    </row>
    <row r="150" spans="1:2" x14ac:dyDescent="0.3">
      <c r="A150" s="5">
        <v>500</v>
      </c>
      <c r="B150">
        <v>0</v>
      </c>
    </row>
    <row r="151" spans="1:2" x14ac:dyDescent="0.3">
      <c r="A151" s="5">
        <v>490</v>
      </c>
      <c r="B151">
        <v>0</v>
      </c>
    </row>
    <row r="152" spans="1:2" x14ac:dyDescent="0.3">
      <c r="A152" s="5">
        <v>390</v>
      </c>
      <c r="B152">
        <v>0</v>
      </c>
    </row>
    <row r="153" spans="1:2" x14ac:dyDescent="0.3">
      <c r="A153" s="5">
        <v>275</v>
      </c>
      <c r="B153">
        <v>0</v>
      </c>
    </row>
    <row r="154" spans="1:2" x14ac:dyDescent="0.3">
      <c r="A154" s="5">
        <v>225</v>
      </c>
      <c r="B154">
        <v>0</v>
      </c>
    </row>
    <row r="155" spans="1:2" x14ac:dyDescent="0.3">
      <c r="A155" s="5">
        <v>275</v>
      </c>
      <c r="B155">
        <v>0</v>
      </c>
    </row>
    <row r="156" spans="1:2" x14ac:dyDescent="0.3">
      <c r="A156" s="5">
        <v>290</v>
      </c>
      <c r="B156">
        <v>0</v>
      </c>
    </row>
    <row r="157" spans="1:2" x14ac:dyDescent="0.3">
      <c r="A157" s="5">
        <v>338</v>
      </c>
      <c r="B157">
        <v>0</v>
      </c>
    </row>
    <row r="158" spans="1:2" x14ac:dyDescent="0.3">
      <c r="A158" s="5">
        <v>438</v>
      </c>
      <c r="B158">
        <v>0</v>
      </c>
    </row>
    <row r="159" spans="1:2" x14ac:dyDescent="0.3">
      <c r="A159" s="5">
        <v>62</v>
      </c>
      <c r="B159">
        <v>0</v>
      </c>
    </row>
    <row r="160" spans="1:2" x14ac:dyDescent="0.3">
      <c r="A160" s="5">
        <v>75</v>
      </c>
      <c r="B160">
        <v>0</v>
      </c>
    </row>
    <row r="161" spans="1:2" x14ac:dyDescent="0.3">
      <c r="A161" s="5">
        <v>100</v>
      </c>
      <c r="B161">
        <v>0</v>
      </c>
    </row>
    <row r="162" spans="1:2" x14ac:dyDescent="0.3">
      <c r="A162" s="5">
        <v>120</v>
      </c>
      <c r="B162">
        <v>0</v>
      </c>
    </row>
    <row r="163" spans="1:2" x14ac:dyDescent="0.3">
      <c r="A163" s="5">
        <v>142</v>
      </c>
      <c r="B163">
        <v>0</v>
      </c>
    </row>
    <row r="164" spans="1:2" x14ac:dyDescent="0.3">
      <c r="A164" s="5">
        <v>420</v>
      </c>
      <c r="B164">
        <v>0</v>
      </c>
    </row>
    <row r="165" spans="1:2" x14ac:dyDescent="0.3">
      <c r="A165" s="5">
        <v>190</v>
      </c>
      <c r="B165">
        <v>0</v>
      </c>
    </row>
    <row r="166" spans="1:2" x14ac:dyDescent="0.3">
      <c r="A166" s="5">
        <v>90</v>
      </c>
      <c r="B166">
        <v>0</v>
      </c>
    </row>
    <row r="167" spans="1:2" x14ac:dyDescent="0.3">
      <c r="A167" s="5">
        <v>50</v>
      </c>
      <c r="B167">
        <v>0</v>
      </c>
    </row>
    <row r="168" spans="1:2" x14ac:dyDescent="0.3">
      <c r="A168" s="5">
        <v>11.857707509881422</v>
      </c>
      <c r="B168">
        <v>0</v>
      </c>
    </row>
    <row r="169" spans="1:2" x14ac:dyDescent="0.3">
      <c r="A169" s="5">
        <v>260.86956521739131</v>
      </c>
      <c r="B169">
        <v>0</v>
      </c>
    </row>
    <row r="170" spans="1:2" x14ac:dyDescent="0.3">
      <c r="A170" s="5">
        <v>134.38735177865613</v>
      </c>
      <c r="B170">
        <v>0</v>
      </c>
    </row>
    <row r="171" spans="1:2" x14ac:dyDescent="0.3">
      <c r="A171" s="5">
        <v>10.079051383399209</v>
      </c>
      <c r="B171">
        <v>0</v>
      </c>
    </row>
    <row r="172" spans="1:2" x14ac:dyDescent="0.3">
      <c r="A172" s="5">
        <v>300</v>
      </c>
      <c r="B172">
        <v>0</v>
      </c>
    </row>
    <row r="173" spans="1:2" x14ac:dyDescent="0.3">
      <c r="A173" s="5">
        <v>320</v>
      </c>
      <c r="B173">
        <v>0</v>
      </c>
    </row>
    <row r="174" spans="1:2" x14ac:dyDescent="0.3">
      <c r="A174" s="5">
        <v>380</v>
      </c>
      <c r="B174">
        <v>0</v>
      </c>
    </row>
    <row r="175" spans="1:2" x14ac:dyDescent="0.3">
      <c r="A175" s="5">
        <v>400</v>
      </c>
      <c r="B175">
        <v>0</v>
      </c>
    </row>
    <row r="176" spans="1:2" x14ac:dyDescent="0.3">
      <c r="A176" s="5">
        <v>135</v>
      </c>
      <c r="B176">
        <v>0</v>
      </c>
    </row>
    <row r="177" spans="1:2" x14ac:dyDescent="0.3">
      <c r="A177" s="5">
        <v>40</v>
      </c>
      <c r="B177">
        <v>0</v>
      </c>
    </row>
    <row r="178" spans="1:2" x14ac:dyDescent="0.3">
      <c r="A178" s="5">
        <v>490.19607843137254</v>
      </c>
      <c r="B178">
        <v>0</v>
      </c>
    </row>
    <row r="179" spans="1:2" x14ac:dyDescent="0.3">
      <c r="A179" s="5">
        <v>615</v>
      </c>
      <c r="B179">
        <v>0</v>
      </c>
    </row>
    <row r="180" spans="1:2" x14ac:dyDescent="0.3">
      <c r="A180" s="5">
        <v>785</v>
      </c>
      <c r="B180">
        <v>0</v>
      </c>
    </row>
    <row r="181" spans="1:2" x14ac:dyDescent="0.3">
      <c r="A181" s="5">
        <v>863</v>
      </c>
      <c r="B181">
        <v>0</v>
      </c>
    </row>
    <row r="182" spans="1:2" x14ac:dyDescent="0.3">
      <c r="A182" s="5">
        <v>525</v>
      </c>
      <c r="B182">
        <v>0</v>
      </c>
    </row>
    <row r="183" spans="1:2" x14ac:dyDescent="0.3">
      <c r="A183" s="5">
        <v>461</v>
      </c>
      <c r="B183">
        <v>0</v>
      </c>
    </row>
    <row r="184" spans="1:2" x14ac:dyDescent="0.3">
      <c r="A184" s="5">
        <v>1302</v>
      </c>
      <c r="B184">
        <v>1</v>
      </c>
    </row>
    <row r="185" spans="1:2" x14ac:dyDescent="0.3">
      <c r="A185" s="5">
        <v>1113</v>
      </c>
      <c r="B185">
        <v>1</v>
      </c>
    </row>
    <row r="186" spans="1:2" x14ac:dyDescent="0.3">
      <c r="A186" s="5">
        <v>1084</v>
      </c>
      <c r="B186">
        <v>1</v>
      </c>
    </row>
    <row r="187" spans="1:2" x14ac:dyDescent="0.3">
      <c r="A187" s="5">
        <v>110</v>
      </c>
      <c r="B187">
        <v>0</v>
      </c>
    </row>
    <row r="188" spans="1:2" x14ac:dyDescent="0.3">
      <c r="A188" s="5">
        <v>280</v>
      </c>
      <c r="B188">
        <v>0</v>
      </c>
    </row>
    <row r="189" spans="1:2" x14ac:dyDescent="0.3">
      <c r="A189" s="5">
        <v>325</v>
      </c>
      <c r="B189">
        <v>0</v>
      </c>
    </row>
    <row r="190" spans="1:2" x14ac:dyDescent="0.3">
      <c r="A190" s="5">
        <v>440</v>
      </c>
      <c r="B190">
        <v>0</v>
      </c>
    </row>
    <row r="191" spans="1:2" x14ac:dyDescent="0.3">
      <c r="A191" s="5">
        <v>403</v>
      </c>
      <c r="B191">
        <v>0</v>
      </c>
    </row>
    <row r="192" spans="1:2" x14ac:dyDescent="0.3">
      <c r="A192" s="5">
        <v>98.214285714285708</v>
      </c>
      <c r="B192">
        <v>0</v>
      </c>
    </row>
    <row r="193" spans="1:2" x14ac:dyDescent="0.3">
      <c r="A193" s="5">
        <v>148.57142857142858</v>
      </c>
      <c r="B193">
        <v>0</v>
      </c>
    </row>
    <row r="194" spans="1:2" x14ac:dyDescent="0.3">
      <c r="A194" s="5">
        <v>332.14285714285717</v>
      </c>
      <c r="B194">
        <v>0</v>
      </c>
    </row>
    <row r="195" spans="1:2" x14ac:dyDescent="0.3">
      <c r="A195" s="5">
        <v>197.14285714285711</v>
      </c>
      <c r="B195">
        <v>0</v>
      </c>
    </row>
    <row r="196" spans="1:2" x14ac:dyDescent="0.3">
      <c r="A196" s="5">
        <v>120</v>
      </c>
      <c r="B196">
        <v>0</v>
      </c>
    </row>
    <row r="197" spans="1:2" x14ac:dyDescent="0.3">
      <c r="A197" s="5">
        <v>75</v>
      </c>
      <c r="B197">
        <v>0</v>
      </c>
    </row>
    <row r="198" spans="1:2" x14ac:dyDescent="0.3">
      <c r="A198" s="5">
        <v>140</v>
      </c>
      <c r="B198">
        <v>0</v>
      </c>
    </row>
    <row r="199" spans="1:2" x14ac:dyDescent="0.3">
      <c r="A199" s="5">
        <v>85</v>
      </c>
      <c r="B199">
        <v>0</v>
      </c>
    </row>
    <row r="200" spans="1:2" x14ac:dyDescent="0.3">
      <c r="A200" s="5">
        <v>38</v>
      </c>
      <c r="B200">
        <v>0</v>
      </c>
    </row>
    <row r="201" spans="1:2" x14ac:dyDescent="0.3">
      <c r="A201" s="5">
        <v>996.8</v>
      </c>
      <c r="B201">
        <v>0</v>
      </c>
    </row>
    <row r="202" spans="1:2" x14ac:dyDescent="0.3">
      <c r="A202" s="5">
        <v>635.04</v>
      </c>
      <c r="B202">
        <v>0</v>
      </c>
    </row>
    <row r="203" spans="1:2" x14ac:dyDescent="0.3">
      <c r="A203" s="5">
        <v>1137.7399999999998</v>
      </c>
      <c r="B203">
        <v>1</v>
      </c>
    </row>
    <row r="204" spans="1:2" x14ac:dyDescent="0.3">
      <c r="A204" s="5">
        <v>431</v>
      </c>
      <c r="B204">
        <v>0</v>
      </c>
    </row>
    <row r="205" spans="1:2" x14ac:dyDescent="0.3">
      <c r="A205" s="5">
        <v>906</v>
      </c>
      <c r="B205">
        <v>0</v>
      </c>
    </row>
    <row r="206" spans="1:2" x14ac:dyDescent="0.3">
      <c r="A206" s="5">
        <v>362</v>
      </c>
      <c r="B206">
        <v>0</v>
      </c>
    </row>
    <row r="207" spans="1:2" x14ac:dyDescent="0.3">
      <c r="A207" s="5">
        <v>1224</v>
      </c>
      <c r="B207">
        <v>1</v>
      </c>
    </row>
    <row r="208" spans="1:2" x14ac:dyDescent="0.3">
      <c r="A208" s="5">
        <v>435</v>
      </c>
      <c r="B208">
        <v>0</v>
      </c>
    </row>
    <row r="209" spans="1:2" x14ac:dyDescent="0.3">
      <c r="A209" s="5">
        <v>415.49999999999994</v>
      </c>
      <c r="B209">
        <v>0</v>
      </c>
    </row>
    <row r="210" spans="1:2" x14ac:dyDescent="0.3">
      <c r="A210" s="5">
        <v>365</v>
      </c>
      <c r="B210">
        <v>0</v>
      </c>
    </row>
    <row r="211" spans="1:2" x14ac:dyDescent="0.3">
      <c r="A211" s="5">
        <v>285</v>
      </c>
      <c r="B211">
        <v>0</v>
      </c>
    </row>
    <row r="212" spans="1:2" x14ac:dyDescent="0.3">
      <c r="A212" s="5">
        <v>211.49999999999997</v>
      </c>
      <c r="B212">
        <v>0</v>
      </c>
    </row>
    <row r="213" spans="1:2" x14ac:dyDescent="0.3">
      <c r="A213" s="5">
        <v>226</v>
      </c>
      <c r="B213">
        <v>0</v>
      </c>
    </row>
    <row r="214" spans="1:2" x14ac:dyDescent="0.3">
      <c r="A214" s="5">
        <v>238.99999999999997</v>
      </c>
      <c r="B214">
        <v>0</v>
      </c>
    </row>
    <row r="215" spans="1:2" x14ac:dyDescent="0.3">
      <c r="A215" s="5">
        <v>700</v>
      </c>
      <c r="B215">
        <v>0</v>
      </c>
    </row>
    <row r="216" spans="1:2" x14ac:dyDescent="0.3">
      <c r="A216" s="5">
        <v>1093</v>
      </c>
      <c r="B216">
        <v>1</v>
      </c>
    </row>
    <row r="217" spans="1:2" x14ac:dyDescent="0.3">
      <c r="A217" s="5">
        <v>550</v>
      </c>
      <c r="B217">
        <v>0</v>
      </c>
    </row>
    <row r="218" spans="1:2" x14ac:dyDescent="0.3">
      <c r="A218" s="5">
        <v>23.333333333333336</v>
      </c>
      <c r="B218">
        <v>0</v>
      </c>
    </row>
    <row r="219" spans="1:2" x14ac:dyDescent="0.3">
      <c r="A219" s="5">
        <v>45</v>
      </c>
      <c r="B219">
        <v>0</v>
      </c>
    </row>
    <row r="220" spans="1:2" x14ac:dyDescent="0.3">
      <c r="A220" s="5">
        <v>68.333333333333343</v>
      </c>
      <c r="B220">
        <v>0</v>
      </c>
    </row>
    <row r="221" spans="1:2" x14ac:dyDescent="0.3">
      <c r="A221" s="5">
        <v>87.166666666666671</v>
      </c>
      <c r="B221">
        <v>0</v>
      </c>
    </row>
    <row r="222" spans="1:2" x14ac:dyDescent="0.3">
      <c r="A222" s="5">
        <v>102.00000000000001</v>
      </c>
      <c r="B222">
        <v>0</v>
      </c>
    </row>
    <row r="223" spans="1:2" x14ac:dyDescent="0.3">
      <c r="A223" s="5">
        <v>113.83333333333333</v>
      </c>
      <c r="B223">
        <v>0</v>
      </c>
    </row>
    <row r="224" spans="1:2" x14ac:dyDescent="0.3">
      <c r="A224" s="5">
        <v>140</v>
      </c>
      <c r="B224">
        <v>0</v>
      </c>
    </row>
    <row r="225" spans="1:2" x14ac:dyDescent="0.3">
      <c r="A225" s="5">
        <v>135</v>
      </c>
      <c r="B225">
        <v>0</v>
      </c>
    </row>
    <row r="226" spans="1:2" x14ac:dyDescent="0.3">
      <c r="A226" s="5">
        <v>131.66666666666669</v>
      </c>
      <c r="B226">
        <v>0</v>
      </c>
    </row>
    <row r="227" spans="1:2" x14ac:dyDescent="0.3">
      <c r="A227" s="5">
        <v>123.33333333333334</v>
      </c>
      <c r="B227">
        <v>0</v>
      </c>
    </row>
    <row r="228" spans="1:2" x14ac:dyDescent="0.3">
      <c r="A228" s="5">
        <v>116.66666666666667</v>
      </c>
      <c r="B228">
        <v>0</v>
      </c>
    </row>
    <row r="229" spans="1:2" x14ac:dyDescent="0.3">
      <c r="A229" s="5">
        <v>128</v>
      </c>
      <c r="B229">
        <v>0</v>
      </c>
    </row>
    <row r="230" spans="1:2" x14ac:dyDescent="0.3">
      <c r="A230" s="5">
        <v>100</v>
      </c>
      <c r="B230">
        <v>0</v>
      </c>
    </row>
    <row r="231" spans="1:2" x14ac:dyDescent="0.3">
      <c r="A231" s="5">
        <v>610</v>
      </c>
      <c r="B231">
        <v>0</v>
      </c>
    </row>
    <row r="232" spans="1:2" x14ac:dyDescent="0.3">
      <c r="A232" s="5">
        <v>780</v>
      </c>
      <c r="B232">
        <v>0</v>
      </c>
    </row>
    <row r="233" spans="1:2" x14ac:dyDescent="0.3">
      <c r="A233" s="5">
        <v>970</v>
      </c>
      <c r="B233">
        <v>0</v>
      </c>
    </row>
    <row r="234" spans="1:2" x14ac:dyDescent="0.3">
      <c r="A234" s="5">
        <v>803</v>
      </c>
      <c r="B234">
        <v>0</v>
      </c>
    </row>
    <row r="235" spans="1:2" x14ac:dyDescent="0.3">
      <c r="A235" s="5">
        <v>625</v>
      </c>
      <c r="B235">
        <v>0</v>
      </c>
    </row>
    <row r="236" spans="1:2" x14ac:dyDescent="0.3">
      <c r="A236" s="5">
        <v>300</v>
      </c>
      <c r="B236">
        <v>0</v>
      </c>
    </row>
    <row r="237" spans="1:2" x14ac:dyDescent="0.3">
      <c r="A237" s="5">
        <v>410</v>
      </c>
      <c r="B237">
        <v>0</v>
      </c>
    </row>
    <row r="238" spans="1:2" x14ac:dyDescent="0.3">
      <c r="A238" s="5">
        <v>282</v>
      </c>
      <c r="B238">
        <v>0</v>
      </c>
    </row>
    <row r="239" spans="1:2" x14ac:dyDescent="0.3">
      <c r="A239" s="5">
        <v>180</v>
      </c>
      <c r="B239">
        <v>0</v>
      </c>
    </row>
    <row r="240" spans="1:2" x14ac:dyDescent="0.3">
      <c r="A240" s="5">
        <v>269</v>
      </c>
      <c r="B240">
        <v>0</v>
      </c>
    </row>
    <row r="241" spans="1:2" x14ac:dyDescent="0.3">
      <c r="A241" s="5">
        <v>25</v>
      </c>
      <c r="B241">
        <v>0</v>
      </c>
    </row>
    <row r="242" spans="1:2" x14ac:dyDescent="0.3">
      <c r="A242" s="5">
        <v>41.666666666666664</v>
      </c>
      <c r="B242">
        <v>0</v>
      </c>
    </row>
    <row r="243" spans="1:2" x14ac:dyDescent="0.3">
      <c r="A243" s="5">
        <v>15</v>
      </c>
      <c r="B243">
        <v>0</v>
      </c>
    </row>
    <row r="244" spans="1:2" x14ac:dyDescent="0.3">
      <c r="A244" s="5">
        <v>372</v>
      </c>
      <c r="B244">
        <v>0</v>
      </c>
    </row>
    <row r="245" spans="1:2" x14ac:dyDescent="0.3">
      <c r="A245" s="5">
        <v>610</v>
      </c>
      <c r="B245">
        <v>0</v>
      </c>
    </row>
    <row r="246" spans="1:2" x14ac:dyDescent="0.3">
      <c r="A246" s="5">
        <v>280</v>
      </c>
      <c r="B246">
        <v>0</v>
      </c>
    </row>
    <row r="247" spans="1:2" x14ac:dyDescent="0.3">
      <c r="A247" s="5">
        <v>210</v>
      </c>
      <c r="B247">
        <v>0</v>
      </c>
    </row>
    <row r="248" spans="1:2" x14ac:dyDescent="0.3">
      <c r="A248" s="5">
        <v>360</v>
      </c>
      <c r="B248">
        <v>0</v>
      </c>
    </row>
    <row r="249" spans="1:2" x14ac:dyDescent="0.3">
      <c r="A249" s="5">
        <v>324</v>
      </c>
      <c r="B249">
        <v>0</v>
      </c>
    </row>
    <row r="250" spans="1:2" x14ac:dyDescent="0.3">
      <c r="A250" s="5">
        <v>47</v>
      </c>
      <c r="B250">
        <v>0</v>
      </c>
    </row>
    <row r="251" spans="1:2" x14ac:dyDescent="0.3">
      <c r="A251" s="5">
        <v>161</v>
      </c>
      <c r="B251">
        <v>0</v>
      </c>
    </row>
    <row r="252" spans="1:2" x14ac:dyDescent="0.3">
      <c r="A252" s="5">
        <v>119</v>
      </c>
      <c r="B252">
        <v>0</v>
      </c>
    </row>
    <row r="253" spans="1:2" x14ac:dyDescent="0.3">
      <c r="A253" s="5">
        <v>87</v>
      </c>
      <c r="B253">
        <v>0</v>
      </c>
    </row>
    <row r="254" spans="1:2" x14ac:dyDescent="0.3">
      <c r="A254" s="5">
        <v>40.333333333333336</v>
      </c>
      <c r="B254">
        <v>0</v>
      </c>
    </row>
    <row r="255" spans="1:2" x14ac:dyDescent="0.3">
      <c r="A255" s="5">
        <v>60.637499999999996</v>
      </c>
      <c r="B255">
        <v>0</v>
      </c>
    </row>
    <row r="256" spans="1:2" x14ac:dyDescent="0.3">
      <c r="A256" s="5">
        <v>112.23571428571428</v>
      </c>
      <c r="B256">
        <v>0</v>
      </c>
    </row>
    <row r="257" spans="1:2" x14ac:dyDescent="0.3">
      <c r="A257" s="5">
        <v>505</v>
      </c>
      <c r="B257">
        <v>0</v>
      </c>
    </row>
    <row r="258" spans="1:2" x14ac:dyDescent="0.3">
      <c r="A258" s="5">
        <v>469</v>
      </c>
      <c r="B258">
        <v>0</v>
      </c>
    </row>
    <row r="259" spans="1:2" x14ac:dyDescent="0.3">
      <c r="A259" s="5">
        <v>425</v>
      </c>
      <c r="B259">
        <v>0</v>
      </c>
    </row>
    <row r="260" spans="1:2" x14ac:dyDescent="0.3">
      <c r="A260" s="5">
        <v>674</v>
      </c>
      <c r="B260">
        <v>0</v>
      </c>
    </row>
    <row r="261" spans="1:2" x14ac:dyDescent="0.3">
      <c r="A261" s="5">
        <v>600</v>
      </c>
      <c r="B261">
        <v>0</v>
      </c>
    </row>
    <row r="262" spans="1:2" x14ac:dyDescent="0.3">
      <c r="A262" s="5">
        <v>449</v>
      </c>
      <c r="B262">
        <v>0</v>
      </c>
    </row>
    <row r="263" spans="1:2" x14ac:dyDescent="0.3">
      <c r="A263" s="5">
        <v>450</v>
      </c>
      <c r="B263">
        <v>0</v>
      </c>
    </row>
    <row r="264" spans="1:2" x14ac:dyDescent="0.3">
      <c r="A264" s="5">
        <v>400</v>
      </c>
      <c r="B264">
        <v>0</v>
      </c>
    </row>
    <row r="265" spans="1:2" x14ac:dyDescent="0.3">
      <c r="A265" s="5">
        <v>350</v>
      </c>
      <c r="B265">
        <v>0</v>
      </c>
    </row>
    <row r="266" spans="1:2" x14ac:dyDescent="0.3">
      <c r="A266" s="5">
        <v>380</v>
      </c>
      <c r="B266">
        <v>0</v>
      </c>
    </row>
    <row r="267" spans="1:2" x14ac:dyDescent="0.3">
      <c r="A267" s="5">
        <v>325</v>
      </c>
      <c r="B267">
        <v>0</v>
      </c>
    </row>
    <row r="268" spans="1:2" x14ac:dyDescent="0.3">
      <c r="A268" s="5">
        <v>380</v>
      </c>
      <c r="B268">
        <v>0</v>
      </c>
    </row>
    <row r="269" spans="1:2" x14ac:dyDescent="0.3">
      <c r="A269" s="5">
        <v>428</v>
      </c>
      <c r="B269">
        <v>0</v>
      </c>
    </row>
    <row r="270" spans="1:2" x14ac:dyDescent="0.3">
      <c r="A270" s="5">
        <v>502</v>
      </c>
      <c r="B270">
        <v>0</v>
      </c>
    </row>
    <row r="271" spans="1:2" x14ac:dyDescent="0.3">
      <c r="A271" s="5">
        <v>800</v>
      </c>
      <c r="B271">
        <v>0</v>
      </c>
    </row>
    <row r="272" spans="1:2" x14ac:dyDescent="0.3">
      <c r="A272" s="5">
        <v>350</v>
      </c>
      <c r="B272">
        <v>0</v>
      </c>
    </row>
    <row r="273" spans="1:2" x14ac:dyDescent="0.3">
      <c r="A273" s="5">
        <v>168</v>
      </c>
      <c r="B273">
        <v>0</v>
      </c>
    </row>
    <row r="274" spans="1:2" x14ac:dyDescent="0.3">
      <c r="A274" s="5">
        <v>1350</v>
      </c>
      <c r="B274">
        <v>1</v>
      </c>
    </row>
    <row r="275" spans="1:2" x14ac:dyDescent="0.3">
      <c r="A275" s="5">
        <v>385</v>
      </c>
      <c r="B275">
        <v>0</v>
      </c>
    </row>
    <row r="276" spans="1:2" x14ac:dyDescent="0.3">
      <c r="A276" s="5">
        <v>600</v>
      </c>
      <c r="B276">
        <v>0</v>
      </c>
    </row>
    <row r="277" spans="1:2" x14ac:dyDescent="0.3">
      <c r="A277" s="5">
        <v>800</v>
      </c>
      <c r="B277">
        <v>0</v>
      </c>
    </row>
    <row r="278" spans="1:2" x14ac:dyDescent="0.3">
      <c r="A278" s="5">
        <v>1280</v>
      </c>
      <c r="B278">
        <v>1</v>
      </c>
    </row>
    <row r="279" spans="1:2" x14ac:dyDescent="0.3">
      <c r="A279" s="5">
        <v>600</v>
      </c>
      <c r="B279">
        <v>0</v>
      </c>
    </row>
    <row r="280" spans="1:2" x14ac:dyDescent="0.3">
      <c r="A280" s="5">
        <v>203</v>
      </c>
      <c r="B280">
        <v>0</v>
      </c>
    </row>
    <row r="281" spans="1:2" x14ac:dyDescent="0.3">
      <c r="A281" s="5">
        <v>330</v>
      </c>
      <c r="B281">
        <v>0</v>
      </c>
    </row>
    <row r="282" spans="1:2" x14ac:dyDescent="0.3">
      <c r="A282" s="5">
        <v>666</v>
      </c>
      <c r="B282">
        <v>0</v>
      </c>
    </row>
    <row r="283" spans="1:2" x14ac:dyDescent="0.3">
      <c r="A283" s="5">
        <v>1247</v>
      </c>
      <c r="B283">
        <v>1</v>
      </c>
    </row>
    <row r="284" spans="1:2" x14ac:dyDescent="0.3">
      <c r="A284" s="5">
        <v>556</v>
      </c>
      <c r="B284">
        <v>0</v>
      </c>
    </row>
    <row r="285" spans="1:2" x14ac:dyDescent="0.3">
      <c r="A285" s="5">
        <v>304</v>
      </c>
      <c r="B285">
        <v>0</v>
      </c>
    </row>
    <row r="286" spans="1:2" x14ac:dyDescent="0.3">
      <c r="A286" s="5">
        <v>140</v>
      </c>
      <c r="B286">
        <v>0</v>
      </c>
    </row>
    <row r="287" spans="1:2" x14ac:dyDescent="0.3">
      <c r="A287" s="5">
        <v>532</v>
      </c>
      <c r="B287">
        <v>0</v>
      </c>
    </row>
    <row r="288" spans="1:2" x14ac:dyDescent="0.3">
      <c r="A288" s="5">
        <v>853</v>
      </c>
      <c r="B288">
        <v>0</v>
      </c>
    </row>
    <row r="289" spans="1:2" x14ac:dyDescent="0.3">
      <c r="A289" s="5">
        <v>1390</v>
      </c>
      <c r="B289">
        <v>1</v>
      </c>
    </row>
    <row r="290" spans="1:2" x14ac:dyDescent="0.3">
      <c r="A290" s="5">
        <v>1940</v>
      </c>
      <c r="B290">
        <v>1</v>
      </c>
    </row>
    <row r="291" spans="1:2" x14ac:dyDescent="0.3">
      <c r="A291" s="5">
        <v>1630</v>
      </c>
      <c r="B291">
        <v>1</v>
      </c>
    </row>
    <row r="292" spans="1:2" x14ac:dyDescent="0.3">
      <c r="A292" s="5">
        <v>1480</v>
      </c>
      <c r="B292">
        <v>1</v>
      </c>
    </row>
    <row r="293" spans="1:2" x14ac:dyDescent="0.3">
      <c r="A293" s="5">
        <v>900</v>
      </c>
      <c r="B293">
        <v>0</v>
      </c>
    </row>
    <row r="294" spans="1:2" x14ac:dyDescent="0.3">
      <c r="A294" s="5">
        <v>1560</v>
      </c>
      <c r="B294">
        <v>1</v>
      </c>
    </row>
    <row r="295" spans="1:2" x14ac:dyDescent="0.3">
      <c r="A295" s="5">
        <v>770</v>
      </c>
      <c r="B295">
        <v>0</v>
      </c>
    </row>
    <row r="296" spans="1:2" x14ac:dyDescent="0.3">
      <c r="A296" s="5">
        <v>721</v>
      </c>
      <c r="B296">
        <v>0</v>
      </c>
    </row>
    <row r="297" spans="1:2" x14ac:dyDescent="0.3">
      <c r="A297" s="5">
        <v>203</v>
      </c>
      <c r="B297">
        <v>0</v>
      </c>
    </row>
    <row r="298" spans="1:2" x14ac:dyDescent="0.3">
      <c r="A298" s="5">
        <v>3110</v>
      </c>
      <c r="B298">
        <v>1</v>
      </c>
    </row>
    <row r="299" spans="1:2" x14ac:dyDescent="0.3">
      <c r="A299" s="5">
        <v>1710</v>
      </c>
      <c r="B299">
        <v>1</v>
      </c>
    </row>
    <row r="300" spans="1:2" x14ac:dyDescent="0.3">
      <c r="A300" s="5">
        <v>1277</v>
      </c>
      <c r="B300">
        <v>1</v>
      </c>
    </row>
    <row r="301" spans="1:2" x14ac:dyDescent="0.3">
      <c r="A301" s="5">
        <v>1536.0000000000002</v>
      </c>
      <c r="B301">
        <v>1</v>
      </c>
    </row>
    <row r="302" spans="1:2" x14ac:dyDescent="0.3">
      <c r="A302" s="5">
        <v>1823.9999999999998</v>
      </c>
      <c r="B302">
        <v>1</v>
      </c>
    </row>
    <row r="303" spans="1:2" x14ac:dyDescent="0.3">
      <c r="A303" s="5">
        <v>2112</v>
      </c>
      <c r="B303">
        <v>1</v>
      </c>
    </row>
    <row r="304" spans="1:2" x14ac:dyDescent="0.3">
      <c r="A304" s="5">
        <v>451</v>
      </c>
      <c r="B304">
        <v>0</v>
      </c>
    </row>
    <row r="305" spans="1:2" x14ac:dyDescent="0.3">
      <c r="A305" s="5">
        <v>587</v>
      </c>
      <c r="B305">
        <v>0</v>
      </c>
    </row>
    <row r="306" spans="1:2" x14ac:dyDescent="0.3">
      <c r="A306" s="5">
        <v>120</v>
      </c>
      <c r="B306">
        <v>0</v>
      </c>
    </row>
    <row r="307" spans="1:2" x14ac:dyDescent="0.3">
      <c r="A307" s="5">
        <v>250</v>
      </c>
      <c r="B307">
        <v>0</v>
      </c>
    </row>
    <row r="308" spans="1:2" x14ac:dyDescent="0.3">
      <c r="A308" s="5">
        <v>43.336944745395456</v>
      </c>
      <c r="B308">
        <v>0</v>
      </c>
    </row>
    <row r="309" spans="1:2" x14ac:dyDescent="0.3">
      <c r="A309" s="5">
        <v>123.98311193491915</v>
      </c>
      <c r="B309">
        <v>0</v>
      </c>
    </row>
    <row r="310" spans="1:2" x14ac:dyDescent="0.3">
      <c r="A310" s="5">
        <v>54.893463344167579</v>
      </c>
      <c r="B310">
        <v>0</v>
      </c>
    </row>
    <row r="311" spans="1:2" x14ac:dyDescent="0.3">
      <c r="A311" s="5">
        <v>1630</v>
      </c>
      <c r="B311">
        <v>1</v>
      </c>
    </row>
    <row r="312" spans="1:2" x14ac:dyDescent="0.3">
      <c r="A312" s="5">
        <v>1259</v>
      </c>
      <c r="B312">
        <v>1</v>
      </c>
    </row>
    <row r="313" spans="1:2" x14ac:dyDescent="0.3">
      <c r="A313" s="5">
        <v>120</v>
      </c>
      <c r="B313">
        <v>0</v>
      </c>
    </row>
    <row r="314" spans="1:2" x14ac:dyDescent="0.3">
      <c r="A314" s="5">
        <v>62.333333333333336</v>
      </c>
      <c r="B314">
        <v>0</v>
      </c>
    </row>
    <row r="315" spans="1:2" x14ac:dyDescent="0.3">
      <c r="A315" s="5">
        <v>70.666666666666657</v>
      </c>
      <c r="B315">
        <v>0</v>
      </c>
    </row>
    <row r="316" spans="1:2" x14ac:dyDescent="0.3">
      <c r="A316" s="5">
        <v>100.66666666666667</v>
      </c>
      <c r="B316">
        <v>0</v>
      </c>
    </row>
    <row r="317" spans="1:2" x14ac:dyDescent="0.3">
      <c r="A317" s="5">
        <v>112.66666666666667</v>
      </c>
      <c r="B317">
        <v>0</v>
      </c>
    </row>
    <row r="318" spans="1:2" x14ac:dyDescent="0.3">
      <c r="A318" s="5">
        <v>90.666666666666671</v>
      </c>
      <c r="B318">
        <v>0</v>
      </c>
    </row>
    <row r="319" spans="1:2" x14ac:dyDescent="0.3">
      <c r="A319" s="5">
        <v>67</v>
      </c>
      <c r="B319">
        <v>0</v>
      </c>
    </row>
    <row r="320" spans="1:2" x14ac:dyDescent="0.3">
      <c r="A320" s="5">
        <v>828</v>
      </c>
      <c r="B320">
        <v>0</v>
      </c>
    </row>
    <row r="321" spans="1:2" x14ac:dyDescent="0.3">
      <c r="A321" s="5">
        <v>658</v>
      </c>
      <c r="B321">
        <v>0</v>
      </c>
    </row>
    <row r="322" spans="1:2" x14ac:dyDescent="0.3">
      <c r="A322" s="5">
        <v>933</v>
      </c>
      <c r="B322">
        <v>0</v>
      </c>
    </row>
    <row r="323" spans="1:2" x14ac:dyDescent="0.3">
      <c r="A323" s="5">
        <v>1091</v>
      </c>
      <c r="B323">
        <v>1</v>
      </c>
    </row>
    <row r="324" spans="1:2" x14ac:dyDescent="0.3">
      <c r="A324" s="5">
        <v>435</v>
      </c>
      <c r="B324">
        <v>0</v>
      </c>
    </row>
    <row r="325" spans="1:2" x14ac:dyDescent="0.3">
      <c r="A325" s="5">
        <v>404</v>
      </c>
      <c r="B325">
        <v>0</v>
      </c>
    </row>
    <row r="326" spans="1:2" x14ac:dyDescent="0.3">
      <c r="A326" s="5">
        <v>289</v>
      </c>
      <c r="B326">
        <v>0</v>
      </c>
    </row>
    <row r="327" spans="1:2" x14ac:dyDescent="0.3">
      <c r="A327" s="5">
        <v>185</v>
      </c>
      <c r="B327">
        <v>0</v>
      </c>
    </row>
    <row r="328" spans="1:2" x14ac:dyDescent="0.3">
      <c r="A328" s="5">
        <v>390</v>
      </c>
      <c r="B328">
        <v>0</v>
      </c>
    </row>
    <row r="329" spans="1:2" x14ac:dyDescent="0.3">
      <c r="A329" s="5">
        <v>274</v>
      </c>
      <c r="B329">
        <v>0</v>
      </c>
    </row>
    <row r="330" spans="1:2" x14ac:dyDescent="0.3">
      <c r="A330" s="5">
        <v>6.9</v>
      </c>
      <c r="B330">
        <v>0</v>
      </c>
    </row>
    <row r="331" spans="1:2" x14ac:dyDescent="0.3">
      <c r="A331" s="5">
        <v>8.4</v>
      </c>
      <c r="B331">
        <v>0</v>
      </c>
    </row>
    <row r="332" spans="1:2" x14ac:dyDescent="0.3">
      <c r="A332" s="5">
        <v>10.3</v>
      </c>
      <c r="B332">
        <v>0</v>
      </c>
    </row>
    <row r="333" spans="1:2" x14ac:dyDescent="0.3">
      <c r="A333" s="5">
        <v>14.7</v>
      </c>
      <c r="B333">
        <v>0</v>
      </c>
    </row>
    <row r="334" spans="1:2" x14ac:dyDescent="0.3">
      <c r="A334" s="5">
        <v>20.399999999999999</v>
      </c>
      <c r="B334">
        <v>0</v>
      </c>
    </row>
    <row r="335" spans="1:2" x14ac:dyDescent="0.3">
      <c r="A335" s="5">
        <v>22.8</v>
      </c>
      <c r="B335">
        <v>0</v>
      </c>
    </row>
    <row r="336" spans="1:2" x14ac:dyDescent="0.3">
      <c r="A336" s="5">
        <v>23.4</v>
      </c>
      <c r="B336">
        <v>0</v>
      </c>
    </row>
    <row r="337" spans="1:2" x14ac:dyDescent="0.3">
      <c r="A337" s="5">
        <v>2661.751794871795</v>
      </c>
      <c r="B337">
        <v>1</v>
      </c>
    </row>
    <row r="338" spans="1:2" x14ac:dyDescent="0.3">
      <c r="A338" s="5">
        <v>3092.6358974358977</v>
      </c>
      <c r="B338">
        <v>1</v>
      </c>
    </row>
    <row r="339" spans="1:2" x14ac:dyDescent="0.3">
      <c r="A339" s="5">
        <v>3426.2235897435894</v>
      </c>
      <c r="B339">
        <v>1</v>
      </c>
    </row>
    <row r="340" spans="1:2" x14ac:dyDescent="0.3">
      <c r="A340" s="5">
        <v>3822.3589743589741</v>
      </c>
      <c r="B340">
        <v>1</v>
      </c>
    </row>
    <row r="341" spans="1:2" x14ac:dyDescent="0.3">
      <c r="A341" s="5">
        <v>3926.6051282051276</v>
      </c>
      <c r="B341">
        <v>1</v>
      </c>
    </row>
    <row r="342" spans="1:2" x14ac:dyDescent="0.3">
      <c r="A342" s="5">
        <v>4065.6</v>
      </c>
      <c r="B342">
        <v>1</v>
      </c>
    </row>
    <row r="343" spans="1:2" x14ac:dyDescent="0.3">
      <c r="A343" s="5">
        <v>4155.9466666666667</v>
      </c>
      <c r="B343">
        <v>1</v>
      </c>
    </row>
    <row r="344" spans="1:2" x14ac:dyDescent="0.3">
      <c r="A344" s="5">
        <v>4281.042051282051</v>
      </c>
      <c r="B344">
        <v>1</v>
      </c>
    </row>
    <row r="345" spans="1:2" x14ac:dyDescent="0.3">
      <c r="A345" s="5">
        <v>4385.288205128204</v>
      </c>
      <c r="B345">
        <v>1</v>
      </c>
    </row>
    <row r="346" spans="1:2" x14ac:dyDescent="0.3">
      <c r="A346" s="5">
        <v>4552.082051282051</v>
      </c>
      <c r="B346">
        <v>1</v>
      </c>
    </row>
    <row r="347" spans="1:2" x14ac:dyDescent="0.3">
      <c r="A347" s="5">
        <v>83.937823834196891</v>
      </c>
      <c r="B347">
        <v>0</v>
      </c>
    </row>
    <row r="348" spans="1:2" x14ac:dyDescent="0.3">
      <c r="A348" s="5">
        <v>448</v>
      </c>
      <c r="B348">
        <v>0</v>
      </c>
    </row>
    <row r="349" spans="1:2" x14ac:dyDescent="0.3">
      <c r="A349" s="5">
        <v>616</v>
      </c>
      <c r="B349">
        <v>0</v>
      </c>
    </row>
    <row r="350" spans="1:2" x14ac:dyDescent="0.3">
      <c r="A350" s="5">
        <v>760</v>
      </c>
      <c r="B350">
        <v>0</v>
      </c>
    </row>
    <row r="351" spans="1:2" x14ac:dyDescent="0.3">
      <c r="A351" s="5">
        <v>840</v>
      </c>
      <c r="B351">
        <v>0</v>
      </c>
    </row>
    <row r="352" spans="1:2" x14ac:dyDescent="0.3">
      <c r="A352" s="5">
        <v>919.99999999999989</v>
      </c>
      <c r="B352">
        <v>0</v>
      </c>
    </row>
    <row r="353" spans="1:2" x14ac:dyDescent="0.3">
      <c r="A353" s="5">
        <v>1000</v>
      </c>
      <c r="B353">
        <v>1</v>
      </c>
    </row>
    <row r="354" spans="1:2" x14ac:dyDescent="0.3">
      <c r="A354" s="5">
        <v>1059.9999999999998</v>
      </c>
      <c r="B354">
        <v>1</v>
      </c>
    </row>
    <row r="355" spans="1:2" x14ac:dyDescent="0.3">
      <c r="A355" s="5">
        <v>1111.9999999999998</v>
      </c>
      <c r="B355">
        <v>1</v>
      </c>
    </row>
    <row r="356" spans="1:2" x14ac:dyDescent="0.3">
      <c r="A356" s="5">
        <v>1160</v>
      </c>
      <c r="B356">
        <v>1</v>
      </c>
    </row>
    <row r="357" spans="1:2" x14ac:dyDescent="0.3">
      <c r="A357" s="5">
        <v>1200</v>
      </c>
      <c r="B357">
        <v>1</v>
      </c>
    </row>
    <row r="358" spans="1:2" x14ac:dyDescent="0.3">
      <c r="A358" s="5">
        <v>308.56</v>
      </c>
      <c r="B358">
        <v>0</v>
      </c>
    </row>
    <row r="359" spans="1:2" x14ac:dyDescent="0.3">
      <c r="A359" s="5">
        <v>529</v>
      </c>
      <c r="B359">
        <v>0</v>
      </c>
    </row>
    <row r="360" spans="1:2" x14ac:dyDescent="0.3">
      <c r="A360" s="5">
        <v>179</v>
      </c>
      <c r="B360">
        <v>0</v>
      </c>
    </row>
    <row r="361" spans="1:2" x14ac:dyDescent="0.3">
      <c r="A361" s="5">
        <v>413</v>
      </c>
      <c r="B361">
        <v>0</v>
      </c>
    </row>
    <row r="362" spans="1:2" x14ac:dyDescent="0.3">
      <c r="A362" s="5">
        <v>437</v>
      </c>
      <c r="B362">
        <v>0</v>
      </c>
    </row>
    <row r="363" spans="1:2" x14ac:dyDescent="0.3">
      <c r="A363" s="5">
        <v>139</v>
      </c>
      <c r="B363">
        <v>0</v>
      </c>
    </row>
    <row r="364" spans="1:2" x14ac:dyDescent="0.3">
      <c r="A364" s="5">
        <v>147</v>
      </c>
      <c r="B364">
        <v>0</v>
      </c>
    </row>
    <row r="365" spans="1:2" x14ac:dyDescent="0.3">
      <c r="A365" s="5">
        <v>141</v>
      </c>
      <c r="B3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65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9.88671875" customWidth="1"/>
  </cols>
  <sheetData>
    <row r="1" spans="1:35" s="2" customFormat="1" ht="28.8" x14ac:dyDescent="0.3">
      <c r="A1" s="3" t="s">
        <v>317</v>
      </c>
      <c r="B1" s="2" t="s">
        <v>80</v>
      </c>
      <c r="C1" s="2" t="s">
        <v>309</v>
      </c>
      <c r="D1" s="2" t="s">
        <v>327</v>
      </c>
      <c r="E1" s="2" t="s">
        <v>328</v>
      </c>
      <c r="F1" s="2" t="s">
        <v>41</v>
      </c>
      <c r="G1" s="2" t="s">
        <v>36</v>
      </c>
      <c r="H1" s="2" t="s">
        <v>0</v>
      </c>
      <c r="I1" s="2" t="s">
        <v>126</v>
      </c>
      <c r="J1" s="2" t="s">
        <v>141</v>
      </c>
      <c r="K1" s="2" t="s">
        <v>169</v>
      </c>
      <c r="L1" s="2" t="s">
        <v>146</v>
      </c>
      <c r="M1" s="2" t="s">
        <v>153</v>
      </c>
      <c r="N1" s="2" t="s">
        <v>167</v>
      </c>
      <c r="O1" s="2" t="s">
        <v>168</v>
      </c>
      <c r="P1" s="2" t="s">
        <v>176</v>
      </c>
      <c r="Q1" s="2" t="s">
        <v>121</v>
      </c>
      <c r="R1" s="2" t="s">
        <v>72</v>
      </c>
      <c r="S1" s="2" t="s">
        <v>116</v>
      </c>
      <c r="T1" s="2" t="s">
        <v>113</v>
      </c>
      <c r="U1" s="2" t="s">
        <v>77</v>
      </c>
      <c r="V1" s="2" t="s">
        <v>15</v>
      </c>
      <c r="W1" s="2" t="s">
        <v>101</v>
      </c>
      <c r="X1" s="2" t="s">
        <v>1</v>
      </c>
      <c r="Y1" s="2" t="s">
        <v>2</v>
      </c>
      <c r="Z1" s="2" t="s">
        <v>202</v>
      </c>
      <c r="AA1" s="2" t="s">
        <v>57</v>
      </c>
      <c r="AB1" s="2" t="s">
        <v>59</v>
      </c>
      <c r="AC1" s="2" t="s">
        <v>78</v>
      </c>
      <c r="AD1" s="2" t="s">
        <v>3</v>
      </c>
      <c r="AE1" s="2" t="s">
        <v>105</v>
      </c>
      <c r="AF1" s="2" t="s">
        <v>178</v>
      </c>
      <c r="AG1" s="2" t="s">
        <v>4</v>
      </c>
      <c r="AH1" s="2" t="s">
        <v>5</v>
      </c>
      <c r="AI1" s="2" t="s">
        <v>6</v>
      </c>
    </row>
    <row r="2" spans="1:3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50</v>
      </c>
      <c r="AI2">
        <v>412</v>
      </c>
    </row>
    <row r="3" spans="1:3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0.04</v>
      </c>
      <c r="W3">
        <v>0</v>
      </c>
      <c r="X3">
        <v>0.36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50</v>
      </c>
      <c r="AI3">
        <v>559</v>
      </c>
    </row>
    <row r="4" spans="1:3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0.35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50</v>
      </c>
      <c r="AI4">
        <v>512</v>
      </c>
    </row>
    <row r="5" spans="1:35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50</v>
      </c>
      <c r="AI5">
        <v>477</v>
      </c>
    </row>
    <row r="6" spans="1:35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0.26</v>
      </c>
      <c r="Y6">
        <v>0.14000000000000001</v>
      </c>
      <c r="Z6">
        <v>0</v>
      </c>
      <c r="AA6">
        <v>0</v>
      </c>
      <c r="AB6">
        <v>0</v>
      </c>
      <c r="AC6">
        <v>0</v>
      </c>
      <c r="AD6">
        <v>0.5</v>
      </c>
      <c r="AE6">
        <v>0</v>
      </c>
      <c r="AF6">
        <v>0</v>
      </c>
      <c r="AG6">
        <v>1</v>
      </c>
      <c r="AH6">
        <v>20</v>
      </c>
      <c r="AI6">
        <v>138</v>
      </c>
    </row>
    <row r="7" spans="1:3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0.57999999999999996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0.28999999999999998</v>
      </c>
      <c r="Y7">
        <v>0.13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>
        <v>1</v>
      </c>
      <c r="AH7">
        <v>20</v>
      </c>
      <c r="AI7">
        <v>444</v>
      </c>
    </row>
    <row r="8" spans="1:35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0.56999999999999995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0.31</v>
      </c>
      <c r="Y8">
        <v>0.12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1</v>
      </c>
      <c r="AH8">
        <v>20</v>
      </c>
      <c r="AI8">
        <v>323</v>
      </c>
    </row>
    <row r="9" spans="1:35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0.15</v>
      </c>
      <c r="Y9">
        <v>0</v>
      </c>
      <c r="Z9">
        <v>0</v>
      </c>
      <c r="AA9">
        <v>0</v>
      </c>
      <c r="AB9">
        <v>0</v>
      </c>
      <c r="AC9">
        <v>0</v>
      </c>
      <c r="AD9">
        <v>0.5</v>
      </c>
      <c r="AE9">
        <v>0</v>
      </c>
      <c r="AF9">
        <v>0</v>
      </c>
      <c r="AG9">
        <v>1</v>
      </c>
      <c r="AH9">
        <v>20</v>
      </c>
      <c r="AI9">
        <v>575</v>
      </c>
    </row>
    <row r="10" spans="1:3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0.83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0.16600000000000001</v>
      </c>
      <c r="Y10">
        <v>4.0000000000000001E-3</v>
      </c>
      <c r="Z10">
        <v>0</v>
      </c>
      <c r="AA10">
        <v>0</v>
      </c>
      <c r="AB10">
        <v>0</v>
      </c>
      <c r="AC10">
        <v>0</v>
      </c>
      <c r="AD10">
        <v>0.5</v>
      </c>
      <c r="AE10">
        <v>0</v>
      </c>
      <c r="AF10">
        <v>0</v>
      </c>
      <c r="AG10">
        <v>1</v>
      </c>
      <c r="AH10">
        <v>10</v>
      </c>
      <c r="AI10">
        <v>100</v>
      </c>
    </row>
    <row r="11" spans="1:3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0.55000000000000004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0.32</v>
      </c>
      <c r="Y11">
        <v>0.13</v>
      </c>
      <c r="Z11">
        <v>0</v>
      </c>
      <c r="AA11">
        <v>0</v>
      </c>
      <c r="AB11">
        <v>0</v>
      </c>
      <c r="AC11">
        <v>0</v>
      </c>
      <c r="AD11">
        <v>0.5</v>
      </c>
      <c r="AE11">
        <v>0</v>
      </c>
      <c r="AF11">
        <v>0</v>
      </c>
      <c r="AG11">
        <v>1</v>
      </c>
      <c r="AH11">
        <v>10</v>
      </c>
      <c r="AI11">
        <v>150</v>
      </c>
    </row>
    <row r="12" spans="1:3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0.55000000000000004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0.31</v>
      </c>
      <c r="Y12">
        <v>0.14000000000000001</v>
      </c>
      <c r="Z12">
        <v>0</v>
      </c>
      <c r="AA12">
        <v>0</v>
      </c>
      <c r="AB12">
        <v>0</v>
      </c>
      <c r="AC12">
        <v>0</v>
      </c>
      <c r="AD12">
        <v>0.5</v>
      </c>
      <c r="AE12">
        <v>0</v>
      </c>
      <c r="AF12">
        <v>0</v>
      </c>
      <c r="AG12">
        <v>1</v>
      </c>
      <c r="AH12">
        <v>10</v>
      </c>
      <c r="AI12">
        <v>87</v>
      </c>
    </row>
    <row r="13" spans="1:3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0.65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0.35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0.5</v>
      </c>
      <c r="AE13">
        <v>0</v>
      </c>
      <c r="AF13">
        <v>0</v>
      </c>
      <c r="AG13">
        <v>0.5</v>
      </c>
      <c r="AH13">
        <v>50</v>
      </c>
      <c r="AI13">
        <v>250</v>
      </c>
    </row>
    <row r="14" spans="1:3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0.5</v>
      </c>
      <c r="AE14">
        <v>0</v>
      </c>
      <c r="AF14">
        <v>0</v>
      </c>
      <c r="AG14">
        <v>0.5</v>
      </c>
      <c r="AH14">
        <v>50</v>
      </c>
      <c r="AI14">
        <v>217</v>
      </c>
    </row>
    <row r="15" spans="1:3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0.8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0.14000000000000001</v>
      </c>
      <c r="Y15">
        <v>0.06</v>
      </c>
      <c r="Z15">
        <v>0</v>
      </c>
      <c r="AA15">
        <v>0</v>
      </c>
      <c r="AB15">
        <v>0</v>
      </c>
      <c r="AC15">
        <v>0</v>
      </c>
      <c r="AD15">
        <v>0.5</v>
      </c>
      <c r="AE15">
        <v>0</v>
      </c>
      <c r="AF15">
        <v>0</v>
      </c>
      <c r="AG15">
        <v>1</v>
      </c>
      <c r="AH15">
        <v>50</v>
      </c>
      <c r="AI15">
        <v>319</v>
      </c>
    </row>
    <row r="16" spans="1:3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0.81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0.13</v>
      </c>
      <c r="Y16">
        <v>0.06</v>
      </c>
      <c r="Z16">
        <v>0</v>
      </c>
      <c r="AA16">
        <v>0</v>
      </c>
      <c r="AB16">
        <v>0</v>
      </c>
      <c r="AC16">
        <v>0</v>
      </c>
      <c r="AD16">
        <v>0.5</v>
      </c>
      <c r="AE16">
        <v>0</v>
      </c>
      <c r="AF16">
        <v>0</v>
      </c>
      <c r="AG16">
        <v>1</v>
      </c>
      <c r="AH16">
        <v>50</v>
      </c>
      <c r="AI16">
        <v>488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0.5</v>
      </c>
      <c r="AE17">
        <v>0</v>
      </c>
      <c r="AF17">
        <v>0</v>
      </c>
      <c r="AG17">
        <v>0.5</v>
      </c>
      <c r="AH17">
        <v>50</v>
      </c>
      <c r="AI17">
        <v>419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0.5</v>
      </c>
      <c r="AE18">
        <v>0</v>
      </c>
      <c r="AF18">
        <v>0</v>
      </c>
      <c r="AG18">
        <v>0.5</v>
      </c>
      <c r="AH18">
        <v>50</v>
      </c>
      <c r="AI18">
        <v>212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0.87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0.5</v>
      </c>
      <c r="AE19">
        <v>0</v>
      </c>
      <c r="AF19">
        <v>0</v>
      </c>
      <c r="AG19">
        <v>0.5</v>
      </c>
      <c r="AH19">
        <v>50</v>
      </c>
      <c r="AI19">
        <v>90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0.51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0.49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0.5</v>
      </c>
      <c r="AE20">
        <v>0</v>
      </c>
      <c r="AF20">
        <v>0</v>
      </c>
      <c r="AG20">
        <v>0.5</v>
      </c>
      <c r="AH20">
        <v>50</v>
      </c>
      <c r="AI20">
        <v>413</v>
      </c>
    </row>
    <row r="21" spans="1:3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0.62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0.5</v>
      </c>
      <c r="AE21">
        <v>0</v>
      </c>
      <c r="AF21">
        <v>0</v>
      </c>
      <c r="AG21">
        <v>0.5</v>
      </c>
      <c r="AH21">
        <v>50</v>
      </c>
      <c r="AI21">
        <v>340</v>
      </c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0.13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0.87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0.5</v>
      </c>
      <c r="AE22">
        <v>0</v>
      </c>
      <c r="AF22">
        <v>0</v>
      </c>
      <c r="AG22">
        <v>0.5</v>
      </c>
      <c r="AH22">
        <v>50</v>
      </c>
      <c r="AI22">
        <v>250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0.6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</v>
      </c>
      <c r="Y23">
        <v>0.14000000000000001</v>
      </c>
      <c r="Z23">
        <v>0</v>
      </c>
      <c r="AA23">
        <v>0</v>
      </c>
      <c r="AB23">
        <v>0</v>
      </c>
      <c r="AC23">
        <v>0</v>
      </c>
      <c r="AD23">
        <v>0.5</v>
      </c>
      <c r="AE23">
        <v>0</v>
      </c>
      <c r="AF23">
        <v>0</v>
      </c>
      <c r="AG23">
        <v>1</v>
      </c>
      <c r="AH23">
        <v>2</v>
      </c>
      <c r="AI23">
        <v>390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0.3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0.45</v>
      </c>
      <c r="Y24">
        <v>0.25</v>
      </c>
      <c r="Z24">
        <v>0</v>
      </c>
      <c r="AA24">
        <v>0</v>
      </c>
      <c r="AB24">
        <v>0</v>
      </c>
      <c r="AC24">
        <v>0</v>
      </c>
      <c r="AD24">
        <v>0.5</v>
      </c>
      <c r="AE24">
        <v>0</v>
      </c>
      <c r="AF24">
        <v>0</v>
      </c>
      <c r="AG24">
        <v>1</v>
      </c>
      <c r="AH24">
        <v>2</v>
      </c>
      <c r="AI24">
        <v>300</v>
      </c>
    </row>
    <row r="25" spans="1:3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0.8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0.5</v>
      </c>
      <c r="AE25">
        <v>0</v>
      </c>
      <c r="AF25">
        <v>0</v>
      </c>
      <c r="AG25">
        <v>1</v>
      </c>
      <c r="AH25">
        <v>10</v>
      </c>
      <c r="AI25">
        <v>276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</v>
      </c>
      <c r="Y26">
        <v>0.06</v>
      </c>
      <c r="Z26">
        <v>0</v>
      </c>
      <c r="AA26">
        <v>0</v>
      </c>
      <c r="AB26">
        <v>0</v>
      </c>
      <c r="AC26">
        <v>0</v>
      </c>
      <c r="AD26">
        <v>0.5</v>
      </c>
      <c r="AE26">
        <v>0</v>
      </c>
      <c r="AF26">
        <v>0</v>
      </c>
      <c r="AG26">
        <v>2</v>
      </c>
      <c r="AH26">
        <v>20</v>
      </c>
      <c r="AI26">
        <v>194.85294117647061</v>
      </c>
    </row>
    <row r="27" spans="1:3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0.15</v>
      </c>
      <c r="Y27">
        <v>0.06</v>
      </c>
      <c r="Z27">
        <v>0</v>
      </c>
      <c r="AA27">
        <v>0.79</v>
      </c>
      <c r="AB27">
        <v>0</v>
      </c>
      <c r="AC27">
        <v>0</v>
      </c>
      <c r="AD27">
        <v>0.5</v>
      </c>
      <c r="AE27">
        <v>0</v>
      </c>
      <c r="AF27">
        <v>0</v>
      </c>
      <c r="AG27">
        <v>2</v>
      </c>
      <c r="AH27">
        <v>20</v>
      </c>
      <c r="AI27">
        <v>12.762295081967213</v>
      </c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</v>
      </c>
      <c r="Y28">
        <v>0.06</v>
      </c>
      <c r="Z28">
        <v>0</v>
      </c>
      <c r="AA28">
        <v>0.24</v>
      </c>
      <c r="AB28">
        <v>0</v>
      </c>
      <c r="AC28">
        <v>0</v>
      </c>
      <c r="AD28">
        <v>0.5</v>
      </c>
      <c r="AE28">
        <v>0</v>
      </c>
      <c r="AF28">
        <v>0</v>
      </c>
      <c r="AG28">
        <v>2</v>
      </c>
      <c r="AH28">
        <v>20</v>
      </c>
      <c r="AI28">
        <v>249.61224489795919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0.77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0.15</v>
      </c>
      <c r="Y29">
        <v>0.08</v>
      </c>
      <c r="Z29">
        <v>0</v>
      </c>
      <c r="AA29">
        <v>0</v>
      </c>
      <c r="AB29">
        <v>0</v>
      </c>
      <c r="AC29">
        <v>0</v>
      </c>
      <c r="AD29">
        <v>0.5</v>
      </c>
      <c r="AE29">
        <v>0</v>
      </c>
      <c r="AF29">
        <v>0</v>
      </c>
      <c r="AG29">
        <v>2</v>
      </c>
      <c r="AH29">
        <v>20</v>
      </c>
      <c r="AI29">
        <v>306.01492537313436</v>
      </c>
    </row>
    <row r="30" spans="1:3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0.6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0.15</v>
      </c>
      <c r="Y30">
        <v>0.08</v>
      </c>
      <c r="Z30">
        <v>0</v>
      </c>
      <c r="AA30">
        <v>0.17</v>
      </c>
      <c r="AB30">
        <v>0</v>
      </c>
      <c r="AC30">
        <v>0</v>
      </c>
      <c r="AD30">
        <v>0.5</v>
      </c>
      <c r="AE30">
        <v>0</v>
      </c>
      <c r="AF30">
        <v>0</v>
      </c>
      <c r="AG30">
        <v>2</v>
      </c>
      <c r="AH30">
        <v>20</v>
      </c>
      <c r="AI30">
        <v>478.57246376811599</v>
      </c>
    </row>
    <row r="31" spans="1:3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0.49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0.12</v>
      </c>
      <c r="Y31">
        <v>7.0000000000000007E-2</v>
      </c>
      <c r="Z31">
        <v>0</v>
      </c>
      <c r="AA31">
        <v>0.32</v>
      </c>
      <c r="AB31">
        <v>0</v>
      </c>
      <c r="AC31">
        <v>0</v>
      </c>
      <c r="AD31">
        <v>0.5</v>
      </c>
      <c r="AE31">
        <v>0</v>
      </c>
      <c r="AF31">
        <v>0</v>
      </c>
      <c r="AG31">
        <v>2</v>
      </c>
      <c r="AH31">
        <v>20</v>
      </c>
      <c r="AI31">
        <v>575.14285714285711</v>
      </c>
    </row>
    <row r="32" spans="1:3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0.33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0.11</v>
      </c>
      <c r="Y32">
        <v>7.0000000000000007E-2</v>
      </c>
      <c r="Z32">
        <v>0</v>
      </c>
      <c r="AA32">
        <v>0.49</v>
      </c>
      <c r="AB32">
        <v>0</v>
      </c>
      <c r="AC32">
        <v>0</v>
      </c>
      <c r="AD32">
        <v>0.5</v>
      </c>
      <c r="AE32">
        <v>0</v>
      </c>
      <c r="AF32">
        <v>0</v>
      </c>
      <c r="AG32">
        <v>2</v>
      </c>
      <c r="AH32">
        <v>20</v>
      </c>
      <c r="AI32">
        <v>668.70588235294122</v>
      </c>
    </row>
    <row r="33" spans="1:3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0.28999999999999998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0.13</v>
      </c>
      <c r="Y33">
        <v>0.08</v>
      </c>
      <c r="Z33">
        <v>0</v>
      </c>
      <c r="AA33">
        <v>0.5</v>
      </c>
      <c r="AB33">
        <v>0</v>
      </c>
      <c r="AC33">
        <v>0</v>
      </c>
      <c r="AD33">
        <v>0.5</v>
      </c>
      <c r="AE33">
        <v>0</v>
      </c>
      <c r="AF33">
        <v>0</v>
      </c>
      <c r="AG33">
        <v>2</v>
      </c>
      <c r="AH33">
        <v>20</v>
      </c>
      <c r="AI33">
        <v>812</v>
      </c>
    </row>
    <row r="34" spans="1:3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0.11</v>
      </c>
      <c r="Y34">
        <v>0.08</v>
      </c>
      <c r="Z34">
        <v>0</v>
      </c>
      <c r="AA34">
        <v>0.61</v>
      </c>
      <c r="AB34">
        <v>0</v>
      </c>
      <c r="AC34">
        <v>0</v>
      </c>
      <c r="AD34">
        <v>0.5</v>
      </c>
      <c r="AE34">
        <v>0</v>
      </c>
      <c r="AF34">
        <v>0</v>
      </c>
      <c r="AG34">
        <v>2</v>
      </c>
      <c r="AH34">
        <v>20</v>
      </c>
      <c r="AI34">
        <v>771.3364485981308</v>
      </c>
    </row>
    <row r="35" spans="1:3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0.15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0.13</v>
      </c>
      <c r="Y35">
        <v>7.0000000000000007E-2</v>
      </c>
      <c r="Z35">
        <v>0</v>
      </c>
      <c r="AA35">
        <v>0.65</v>
      </c>
      <c r="AB35">
        <v>0</v>
      </c>
      <c r="AC35">
        <v>0</v>
      </c>
      <c r="AD35">
        <v>0.5</v>
      </c>
      <c r="AE35">
        <v>0</v>
      </c>
      <c r="AF35">
        <v>0</v>
      </c>
      <c r="AG35">
        <v>2</v>
      </c>
      <c r="AH35">
        <v>20</v>
      </c>
      <c r="AI35">
        <v>314.41739130434786</v>
      </c>
    </row>
    <row r="36" spans="1:35" x14ac:dyDescent="0.3">
      <c r="A36">
        <v>0</v>
      </c>
      <c r="B36">
        <v>0</v>
      </c>
      <c r="C36">
        <v>0</v>
      </c>
      <c r="D36">
        <v>0</v>
      </c>
      <c r="E36">
        <v>0.95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0.05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0.5</v>
      </c>
      <c r="AE36">
        <v>0</v>
      </c>
      <c r="AF36">
        <v>0</v>
      </c>
      <c r="AG36">
        <v>1</v>
      </c>
      <c r="AH36">
        <v>50</v>
      </c>
      <c r="AI36">
        <v>140</v>
      </c>
    </row>
    <row r="37" spans="1:35" x14ac:dyDescent="0.3">
      <c r="A37">
        <v>0</v>
      </c>
      <c r="B37">
        <v>0</v>
      </c>
      <c r="C37">
        <v>0</v>
      </c>
      <c r="D37">
        <v>0</v>
      </c>
      <c r="E37">
        <v>0.95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3.5000000000000003E-2</v>
      </c>
      <c r="Y37">
        <v>0</v>
      </c>
      <c r="Z37">
        <v>0</v>
      </c>
      <c r="AA37">
        <v>0</v>
      </c>
      <c r="AB37">
        <v>1.4999999999999999E-2</v>
      </c>
      <c r="AC37">
        <v>0</v>
      </c>
      <c r="AD37">
        <v>0.5</v>
      </c>
      <c r="AE37">
        <v>0</v>
      </c>
      <c r="AF37">
        <v>0</v>
      </c>
      <c r="AG37">
        <v>1</v>
      </c>
      <c r="AH37">
        <v>50</v>
      </c>
      <c r="AI37">
        <v>150</v>
      </c>
    </row>
    <row r="38" spans="1:35" x14ac:dyDescent="0.3">
      <c r="A38">
        <v>0</v>
      </c>
      <c r="B38">
        <v>0</v>
      </c>
      <c r="C38">
        <v>0</v>
      </c>
      <c r="D38">
        <v>0</v>
      </c>
      <c r="E38">
        <v>0.93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5.2999999999999999E-2</v>
      </c>
      <c r="Y38">
        <v>0</v>
      </c>
      <c r="Z38">
        <v>0</v>
      </c>
      <c r="AA38">
        <v>0</v>
      </c>
      <c r="AB38">
        <v>1.7000000000000001E-2</v>
      </c>
      <c r="AC38">
        <v>0</v>
      </c>
      <c r="AD38">
        <v>0.5</v>
      </c>
      <c r="AE38">
        <v>0</v>
      </c>
      <c r="AF38">
        <v>0</v>
      </c>
      <c r="AG38">
        <v>1</v>
      </c>
      <c r="AH38">
        <v>50</v>
      </c>
      <c r="AI38">
        <v>180</v>
      </c>
    </row>
    <row r="39" spans="1:35" x14ac:dyDescent="0.3">
      <c r="A39">
        <v>0</v>
      </c>
      <c r="B39">
        <v>0</v>
      </c>
      <c r="C39">
        <v>0</v>
      </c>
      <c r="D39">
        <v>0.98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0.02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1.8</v>
      </c>
      <c r="AH39">
        <v>20</v>
      </c>
      <c r="AI39">
        <v>392.85714285714283</v>
      </c>
    </row>
    <row r="40" spans="1:35" x14ac:dyDescent="0.3">
      <c r="A40">
        <v>0</v>
      </c>
      <c r="B40">
        <v>0</v>
      </c>
      <c r="C40">
        <v>0</v>
      </c>
      <c r="D40">
        <v>0.93457943925233644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6.5420560747663559E-2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1.8</v>
      </c>
      <c r="AH40">
        <v>20</v>
      </c>
      <c r="AI40">
        <v>3.5714285714285712</v>
      </c>
    </row>
    <row r="41" spans="1:35" x14ac:dyDescent="0.3">
      <c r="A41">
        <v>0</v>
      </c>
      <c r="B41">
        <v>0</v>
      </c>
      <c r="C41">
        <v>0</v>
      </c>
      <c r="D41">
        <v>0.96618357487922713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3.3816425120772951E-2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1.8</v>
      </c>
      <c r="AH41">
        <v>20</v>
      </c>
      <c r="AI41">
        <v>7.1428571428571423</v>
      </c>
    </row>
    <row r="42" spans="1:35" x14ac:dyDescent="0.3">
      <c r="A42">
        <v>0</v>
      </c>
      <c r="B42">
        <v>0</v>
      </c>
      <c r="C42">
        <v>0</v>
      </c>
      <c r="D42">
        <v>0.97719869706840401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2.2801302931596094E-2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1.8</v>
      </c>
      <c r="AH42">
        <v>20</v>
      </c>
      <c r="AI42">
        <v>44.285714285714285</v>
      </c>
    </row>
    <row r="43" spans="1:35" x14ac:dyDescent="0.3">
      <c r="A43">
        <v>0</v>
      </c>
      <c r="B43">
        <v>0</v>
      </c>
      <c r="C43">
        <v>0</v>
      </c>
      <c r="D43">
        <v>0.98619329388560151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1.3806706114398423E-2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1.8</v>
      </c>
      <c r="AH43">
        <v>20</v>
      </c>
      <c r="AI43">
        <v>85.714285714285708</v>
      </c>
    </row>
    <row r="44" spans="1:35" x14ac:dyDescent="0.3">
      <c r="A44">
        <v>0</v>
      </c>
      <c r="B44">
        <v>0</v>
      </c>
      <c r="C44">
        <v>0</v>
      </c>
      <c r="D44">
        <v>0.98846787479406917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1.1532125205930808E-2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1.8</v>
      </c>
      <c r="AH44">
        <v>20</v>
      </c>
      <c r="AI44">
        <v>142.85714285714283</v>
      </c>
    </row>
    <row r="45" spans="1:35" x14ac:dyDescent="0.3">
      <c r="A45">
        <v>0</v>
      </c>
      <c r="B45">
        <v>0</v>
      </c>
      <c r="C45">
        <v>0</v>
      </c>
      <c r="D45">
        <v>0.99502487562189046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4.9751243781094526E-3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1.8</v>
      </c>
      <c r="AH45">
        <v>20</v>
      </c>
      <c r="AI45">
        <v>133.33333333333334</v>
      </c>
    </row>
    <row r="46" spans="1:35" x14ac:dyDescent="0.3">
      <c r="A46">
        <v>0</v>
      </c>
      <c r="B46">
        <v>0</v>
      </c>
      <c r="C46">
        <v>0</v>
      </c>
      <c r="D46">
        <v>0.98846787479406917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1.1532125205930808E-2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1.8</v>
      </c>
      <c r="AH46">
        <v>20</v>
      </c>
      <c r="AI46">
        <v>199.99999999999997</v>
      </c>
    </row>
    <row r="47" spans="1:35" x14ac:dyDescent="0.3">
      <c r="A47">
        <v>0</v>
      </c>
      <c r="B47">
        <v>0</v>
      </c>
      <c r="C47">
        <v>0</v>
      </c>
      <c r="D47">
        <v>0.98199672667757765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1.8003273322422259E-2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1.8</v>
      </c>
      <c r="AH47">
        <v>20</v>
      </c>
      <c r="AI47">
        <v>172.72727272727272</v>
      </c>
    </row>
    <row r="48" spans="1:35" x14ac:dyDescent="0.3">
      <c r="A48">
        <v>0</v>
      </c>
      <c r="B48">
        <v>0</v>
      </c>
      <c r="C48">
        <v>0</v>
      </c>
      <c r="D48">
        <v>0.69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0.2</v>
      </c>
      <c r="Y48">
        <v>0.11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20</v>
      </c>
      <c r="AI48">
        <v>275</v>
      </c>
    </row>
    <row r="49" spans="1:35" x14ac:dyDescent="0.3">
      <c r="A49">
        <v>0</v>
      </c>
      <c r="B49">
        <v>0</v>
      </c>
      <c r="C49">
        <v>0</v>
      </c>
      <c r="D49">
        <v>0</v>
      </c>
      <c r="E49">
        <v>0.69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0.2</v>
      </c>
      <c r="Y49">
        <v>0.11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20</v>
      </c>
      <c r="AI49">
        <v>190</v>
      </c>
    </row>
    <row r="50" spans="1:3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</v>
      </c>
      <c r="Y50">
        <v>0.11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50</v>
      </c>
      <c r="AI50">
        <v>110</v>
      </c>
    </row>
    <row r="51" spans="1:35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0.2</v>
      </c>
      <c r="Y51">
        <v>0.11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50</v>
      </c>
      <c r="AI51">
        <v>55</v>
      </c>
    </row>
    <row r="52" spans="1:35" x14ac:dyDescent="0.3">
      <c r="A52">
        <v>0</v>
      </c>
      <c r="B52">
        <v>0</v>
      </c>
      <c r="C52">
        <v>0</v>
      </c>
      <c r="D52">
        <v>0</v>
      </c>
      <c r="E52">
        <v>0.95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0.02</v>
      </c>
      <c r="Y52">
        <v>0.03</v>
      </c>
      <c r="Z52">
        <v>0</v>
      </c>
      <c r="AA52">
        <v>0</v>
      </c>
      <c r="AB52">
        <v>0</v>
      </c>
      <c r="AC52">
        <v>0</v>
      </c>
      <c r="AD52">
        <v>0.5</v>
      </c>
      <c r="AE52">
        <v>0</v>
      </c>
      <c r="AF52">
        <v>0</v>
      </c>
      <c r="AG52">
        <v>1</v>
      </c>
      <c r="AH52">
        <v>50</v>
      </c>
      <c r="AI52">
        <v>40</v>
      </c>
    </row>
    <row r="53" spans="1:35" x14ac:dyDescent="0.3">
      <c r="A53">
        <v>0</v>
      </c>
      <c r="B53">
        <v>0</v>
      </c>
      <c r="C53">
        <v>0</v>
      </c>
      <c r="D53">
        <v>0</v>
      </c>
      <c r="E53">
        <v>0.87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0.5</v>
      </c>
      <c r="AH53">
        <v>100</v>
      </c>
      <c r="AI53">
        <v>120</v>
      </c>
    </row>
    <row r="54" spans="1:3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0.08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0.5</v>
      </c>
      <c r="AH54">
        <v>100</v>
      </c>
      <c r="AI54">
        <v>100</v>
      </c>
    </row>
    <row r="55" spans="1:35" x14ac:dyDescent="0.3">
      <c r="A55">
        <v>0</v>
      </c>
      <c r="B55">
        <v>0</v>
      </c>
      <c r="C55">
        <v>0</v>
      </c>
      <c r="D55">
        <v>0</v>
      </c>
      <c r="E55">
        <v>0.5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2</v>
      </c>
      <c r="AH55">
        <v>20</v>
      </c>
      <c r="AI55">
        <v>162</v>
      </c>
    </row>
    <row r="56" spans="1:35" x14ac:dyDescent="0.3">
      <c r="A56">
        <v>0</v>
      </c>
      <c r="B56">
        <v>0</v>
      </c>
      <c r="C56">
        <v>0</v>
      </c>
      <c r="D56">
        <v>0</v>
      </c>
      <c r="E56">
        <v>0.6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2</v>
      </c>
      <c r="AH56">
        <v>20</v>
      </c>
      <c r="AI56">
        <v>218</v>
      </c>
    </row>
    <row r="57" spans="1:35" x14ac:dyDescent="0.3">
      <c r="A57">
        <v>0</v>
      </c>
      <c r="B57">
        <v>0</v>
      </c>
      <c r="C57">
        <v>0</v>
      </c>
      <c r="D57">
        <v>0</v>
      </c>
      <c r="E57">
        <v>0.75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2</v>
      </c>
      <c r="AH57">
        <v>20</v>
      </c>
      <c r="AI57">
        <v>279</v>
      </c>
    </row>
    <row r="58" spans="1:35" x14ac:dyDescent="0.3">
      <c r="A58">
        <v>0</v>
      </c>
      <c r="B58">
        <v>0</v>
      </c>
      <c r="C58">
        <v>0</v>
      </c>
      <c r="D58">
        <v>0</v>
      </c>
      <c r="E58">
        <v>0.86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0.14000000000000001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2</v>
      </c>
      <c r="AH58">
        <v>20</v>
      </c>
      <c r="AI58">
        <v>360</v>
      </c>
    </row>
    <row r="59" spans="1:35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0.09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0.5</v>
      </c>
      <c r="AE59">
        <v>0</v>
      </c>
      <c r="AF59">
        <v>0</v>
      </c>
      <c r="AG59">
        <v>0.5</v>
      </c>
      <c r="AH59">
        <v>50</v>
      </c>
      <c r="AI59">
        <v>81.632653061224488</v>
      </c>
    </row>
    <row r="60" spans="1:35" x14ac:dyDescent="0.3">
      <c r="A60">
        <v>0</v>
      </c>
      <c r="B60">
        <v>0</v>
      </c>
      <c r="C60">
        <v>0</v>
      </c>
      <c r="D60">
        <v>0</v>
      </c>
      <c r="E60">
        <v>0.91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0.09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0.5</v>
      </c>
      <c r="AE60">
        <v>0</v>
      </c>
      <c r="AF60">
        <v>0</v>
      </c>
      <c r="AG60">
        <v>0.5</v>
      </c>
      <c r="AH60">
        <v>50</v>
      </c>
      <c r="AI60">
        <v>117.34693877551021</v>
      </c>
    </row>
    <row r="61" spans="1:35" x14ac:dyDescent="0.3">
      <c r="A61">
        <v>0</v>
      </c>
      <c r="B61">
        <v>0</v>
      </c>
      <c r="C61">
        <v>0</v>
      </c>
      <c r="D61">
        <v>0</v>
      </c>
      <c r="E61">
        <v>0.8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0.5</v>
      </c>
      <c r="AE61">
        <v>0</v>
      </c>
      <c r="AF61">
        <v>0</v>
      </c>
      <c r="AG61">
        <v>0.5</v>
      </c>
      <c r="AH61">
        <v>50</v>
      </c>
      <c r="AI61">
        <v>876.47058823529414</v>
      </c>
    </row>
    <row r="62" spans="1:35" x14ac:dyDescent="0.3">
      <c r="A62">
        <v>0</v>
      </c>
      <c r="B62">
        <v>0</v>
      </c>
      <c r="C62">
        <v>0</v>
      </c>
      <c r="D62">
        <v>0</v>
      </c>
      <c r="E62">
        <v>0.6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0.5</v>
      </c>
      <c r="AE62">
        <v>0</v>
      </c>
      <c r="AF62">
        <v>0</v>
      </c>
      <c r="AG62">
        <v>0.5</v>
      </c>
      <c r="AH62">
        <v>50</v>
      </c>
      <c r="AI62">
        <v>555.55555555555554</v>
      </c>
    </row>
    <row r="63" spans="1:35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0.57999999999999996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0.42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0.5</v>
      </c>
      <c r="AE63">
        <v>0</v>
      </c>
      <c r="AF63">
        <v>0</v>
      </c>
      <c r="AG63">
        <v>0.5</v>
      </c>
      <c r="AH63">
        <v>50</v>
      </c>
      <c r="AI63">
        <v>433.33333333333337</v>
      </c>
    </row>
    <row r="64" spans="1:35" x14ac:dyDescent="0.3">
      <c r="A64">
        <v>0</v>
      </c>
      <c r="B64">
        <v>0</v>
      </c>
      <c r="C64">
        <v>0</v>
      </c>
      <c r="D64">
        <v>0</v>
      </c>
      <c r="E64">
        <v>0.4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0.5</v>
      </c>
      <c r="AE64">
        <v>0</v>
      </c>
      <c r="AF64">
        <v>0</v>
      </c>
      <c r="AG64">
        <v>0.5</v>
      </c>
      <c r="AH64">
        <v>50</v>
      </c>
      <c r="AI64">
        <v>249.09090909090912</v>
      </c>
    </row>
    <row r="65" spans="1:35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0.37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0.41</v>
      </c>
      <c r="Y65">
        <v>0.22</v>
      </c>
      <c r="Z65">
        <v>0</v>
      </c>
      <c r="AA65">
        <v>0</v>
      </c>
      <c r="AB65">
        <v>0</v>
      </c>
      <c r="AC65">
        <v>0</v>
      </c>
      <c r="AD65">
        <v>0.5</v>
      </c>
      <c r="AE65">
        <v>0</v>
      </c>
      <c r="AF65">
        <v>0</v>
      </c>
      <c r="AG65">
        <v>0.5</v>
      </c>
      <c r="AH65">
        <v>50</v>
      </c>
      <c r="AI65">
        <v>241.37931034482759</v>
      </c>
    </row>
    <row r="66" spans="1:35" x14ac:dyDescent="0.3">
      <c r="A66">
        <v>0</v>
      </c>
      <c r="B66">
        <v>0</v>
      </c>
      <c r="C66">
        <v>0</v>
      </c>
      <c r="D66">
        <v>0</v>
      </c>
      <c r="E66">
        <v>0.6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0.2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0.5</v>
      </c>
      <c r="AE66">
        <v>0</v>
      </c>
      <c r="AF66">
        <v>0</v>
      </c>
      <c r="AG66">
        <v>0.5</v>
      </c>
      <c r="AH66">
        <v>50</v>
      </c>
      <c r="AI66">
        <v>585.71428571428567</v>
      </c>
    </row>
    <row r="67" spans="1:35" x14ac:dyDescent="0.3">
      <c r="A67">
        <v>0</v>
      </c>
      <c r="B67">
        <v>0</v>
      </c>
      <c r="C67">
        <v>0</v>
      </c>
      <c r="D67">
        <v>0</v>
      </c>
      <c r="E67">
        <v>0.4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</v>
      </c>
      <c r="S67">
        <v>0</v>
      </c>
      <c r="T67">
        <v>0</v>
      </c>
      <c r="U67">
        <v>0</v>
      </c>
      <c r="V67">
        <v>0</v>
      </c>
      <c r="W67">
        <v>0</v>
      </c>
      <c r="X67">
        <v>0.27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2</v>
      </c>
      <c r="AH67">
        <v>20</v>
      </c>
      <c r="AI67">
        <v>118</v>
      </c>
    </row>
    <row r="68" spans="1:35" x14ac:dyDescent="0.3">
      <c r="A68">
        <v>0</v>
      </c>
      <c r="B68">
        <v>0</v>
      </c>
      <c r="C68">
        <v>0</v>
      </c>
      <c r="D68">
        <v>0</v>
      </c>
      <c r="E68">
        <v>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0.22</v>
      </c>
      <c r="S68">
        <v>0</v>
      </c>
      <c r="T68">
        <v>0</v>
      </c>
      <c r="U68">
        <v>0</v>
      </c>
      <c r="V68">
        <v>0</v>
      </c>
      <c r="W68">
        <v>0</v>
      </c>
      <c r="X68">
        <v>0.38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2</v>
      </c>
      <c r="AH68">
        <v>20</v>
      </c>
      <c r="AI68">
        <v>162</v>
      </c>
    </row>
    <row r="69" spans="1:35" x14ac:dyDescent="0.3">
      <c r="A69">
        <v>0</v>
      </c>
      <c r="B69">
        <v>0</v>
      </c>
      <c r="C69">
        <v>0</v>
      </c>
      <c r="D69">
        <v>0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0.14000000000000001</v>
      </c>
      <c r="S69">
        <v>0</v>
      </c>
      <c r="T69">
        <v>0</v>
      </c>
      <c r="U69">
        <v>0</v>
      </c>
      <c r="V69">
        <v>0</v>
      </c>
      <c r="W69">
        <v>0</v>
      </c>
      <c r="X69">
        <v>0.46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2</v>
      </c>
      <c r="AH69">
        <v>20</v>
      </c>
      <c r="AI69">
        <v>428</v>
      </c>
    </row>
    <row r="70" spans="1:35" x14ac:dyDescent="0.3">
      <c r="A70">
        <v>0</v>
      </c>
      <c r="B70">
        <v>0</v>
      </c>
      <c r="C70">
        <v>0</v>
      </c>
      <c r="D70">
        <v>0</v>
      </c>
      <c r="E70">
        <v>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0.08</v>
      </c>
      <c r="S70">
        <v>0</v>
      </c>
      <c r="T70">
        <v>0</v>
      </c>
      <c r="U70">
        <v>0</v>
      </c>
      <c r="V70">
        <v>0</v>
      </c>
      <c r="W70">
        <v>0</v>
      </c>
      <c r="X70">
        <v>0.52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2</v>
      </c>
      <c r="AH70">
        <v>20</v>
      </c>
      <c r="AI70">
        <v>337</v>
      </c>
    </row>
    <row r="71" spans="1:35" x14ac:dyDescent="0.3">
      <c r="A71">
        <v>0</v>
      </c>
      <c r="B71">
        <v>0</v>
      </c>
      <c r="C71">
        <v>0</v>
      </c>
      <c r="D71">
        <v>0</v>
      </c>
      <c r="E71">
        <v>0.4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2</v>
      </c>
      <c r="AH71">
        <v>20</v>
      </c>
      <c r="AI71">
        <v>146</v>
      </c>
    </row>
    <row r="72" spans="1:35" x14ac:dyDescent="0.3">
      <c r="A72">
        <v>0</v>
      </c>
      <c r="B72">
        <v>0</v>
      </c>
      <c r="C72">
        <v>0</v>
      </c>
      <c r="D72">
        <v>0</v>
      </c>
      <c r="E72">
        <v>0.79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0.09</v>
      </c>
      <c r="V72">
        <v>0</v>
      </c>
      <c r="W72">
        <v>0</v>
      </c>
      <c r="X72">
        <v>0.09</v>
      </c>
      <c r="Y72">
        <v>0</v>
      </c>
      <c r="Z72">
        <v>0</v>
      </c>
      <c r="AA72">
        <v>0</v>
      </c>
      <c r="AB72">
        <v>0</v>
      </c>
      <c r="AC72">
        <v>0.03</v>
      </c>
      <c r="AD72">
        <v>0.5</v>
      </c>
      <c r="AE72">
        <v>0</v>
      </c>
      <c r="AF72">
        <v>0</v>
      </c>
      <c r="AG72">
        <v>0.5</v>
      </c>
      <c r="AH72">
        <v>50</v>
      </c>
      <c r="AI72">
        <v>92</v>
      </c>
    </row>
    <row r="73" spans="1:35" x14ac:dyDescent="0.3">
      <c r="A73">
        <v>0</v>
      </c>
      <c r="B73">
        <v>0</v>
      </c>
      <c r="C73">
        <v>0</v>
      </c>
      <c r="D73">
        <v>0</v>
      </c>
      <c r="E73">
        <v>0.75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0.06</v>
      </c>
      <c r="V73">
        <v>0</v>
      </c>
      <c r="W73">
        <v>0</v>
      </c>
      <c r="X73">
        <v>0.12</v>
      </c>
      <c r="Y73">
        <v>0</v>
      </c>
      <c r="Z73">
        <v>0</v>
      </c>
      <c r="AA73">
        <v>0</v>
      </c>
      <c r="AB73">
        <v>0</v>
      </c>
      <c r="AC73">
        <v>7.0000000000000007E-2</v>
      </c>
      <c r="AD73">
        <v>0.5</v>
      </c>
      <c r="AE73">
        <v>0</v>
      </c>
      <c r="AF73">
        <v>0</v>
      </c>
      <c r="AG73">
        <v>0.5</v>
      </c>
      <c r="AH73">
        <v>50</v>
      </c>
      <c r="AI73">
        <v>138</v>
      </c>
    </row>
    <row r="74" spans="1:35" x14ac:dyDescent="0.3">
      <c r="A74">
        <v>0</v>
      </c>
      <c r="B74">
        <v>0</v>
      </c>
      <c r="C74">
        <v>0</v>
      </c>
      <c r="D74">
        <v>0</v>
      </c>
      <c r="E74">
        <v>0.72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0.04</v>
      </c>
      <c r="V74">
        <v>0</v>
      </c>
      <c r="W74">
        <v>0</v>
      </c>
      <c r="X74">
        <v>0.15</v>
      </c>
      <c r="Y74">
        <v>0</v>
      </c>
      <c r="Z74">
        <v>0</v>
      </c>
      <c r="AA74">
        <v>0</v>
      </c>
      <c r="AB74">
        <v>0</v>
      </c>
      <c r="AC74">
        <v>0.09</v>
      </c>
      <c r="AD74">
        <v>0.5</v>
      </c>
      <c r="AE74">
        <v>0</v>
      </c>
      <c r="AF74">
        <v>0</v>
      </c>
      <c r="AG74">
        <v>0.5</v>
      </c>
      <c r="AH74">
        <v>50</v>
      </c>
      <c r="AI74">
        <v>311</v>
      </c>
    </row>
    <row r="75" spans="1:35" x14ac:dyDescent="0.3">
      <c r="A75">
        <v>0</v>
      </c>
      <c r="B75">
        <v>0</v>
      </c>
      <c r="C75">
        <v>0</v>
      </c>
      <c r="D75">
        <v>0</v>
      </c>
      <c r="E75">
        <v>0.74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0.02</v>
      </c>
      <c r="V75">
        <v>0</v>
      </c>
      <c r="W75">
        <v>0</v>
      </c>
      <c r="X75">
        <v>0.16</v>
      </c>
      <c r="Y75">
        <v>0</v>
      </c>
      <c r="Z75">
        <v>0</v>
      </c>
      <c r="AA75">
        <v>0</v>
      </c>
      <c r="AB75">
        <v>0</v>
      </c>
      <c r="AC75">
        <v>0.08</v>
      </c>
      <c r="AD75">
        <v>0.5</v>
      </c>
      <c r="AE75">
        <v>0</v>
      </c>
      <c r="AF75">
        <v>0</v>
      </c>
      <c r="AG75">
        <v>0.5</v>
      </c>
      <c r="AH75">
        <v>50</v>
      </c>
      <c r="AI75">
        <v>183</v>
      </c>
    </row>
    <row r="76" spans="1:35" x14ac:dyDescent="0.3">
      <c r="A76">
        <v>0</v>
      </c>
      <c r="B76">
        <v>0</v>
      </c>
      <c r="C76">
        <v>0</v>
      </c>
      <c r="D76">
        <v>0</v>
      </c>
      <c r="E76">
        <v>0.73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0.18</v>
      </c>
      <c r="Y76">
        <v>0</v>
      </c>
      <c r="Z76">
        <v>0</v>
      </c>
      <c r="AA76">
        <v>0</v>
      </c>
      <c r="AB76">
        <v>0</v>
      </c>
      <c r="AC76">
        <v>0.09</v>
      </c>
      <c r="AD76">
        <v>0.5</v>
      </c>
      <c r="AE76">
        <v>0</v>
      </c>
      <c r="AF76">
        <v>0</v>
      </c>
      <c r="AG76">
        <v>0.5</v>
      </c>
      <c r="AH76">
        <v>50</v>
      </c>
      <c r="AI76">
        <v>121</v>
      </c>
    </row>
    <row r="77" spans="1:35" x14ac:dyDescent="0.3">
      <c r="A77">
        <v>0</v>
      </c>
      <c r="B77">
        <v>0</v>
      </c>
      <c r="C77">
        <v>0</v>
      </c>
      <c r="D77">
        <v>0</v>
      </c>
      <c r="E77">
        <v>0.81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0.04</v>
      </c>
      <c r="V77">
        <v>0</v>
      </c>
      <c r="W77">
        <v>0</v>
      </c>
      <c r="X77">
        <v>0.15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0.5</v>
      </c>
      <c r="AE77">
        <v>0</v>
      </c>
      <c r="AF77">
        <v>0</v>
      </c>
      <c r="AG77">
        <v>0.5</v>
      </c>
      <c r="AH77">
        <v>50</v>
      </c>
      <c r="AI77">
        <v>109</v>
      </c>
    </row>
    <row r="78" spans="1:35" x14ac:dyDescent="0.3">
      <c r="A78">
        <v>0</v>
      </c>
      <c r="B78">
        <v>0.55000000000000004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0.45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0.5</v>
      </c>
      <c r="AE78">
        <v>0</v>
      </c>
      <c r="AF78">
        <v>0</v>
      </c>
      <c r="AG78">
        <v>0.5</v>
      </c>
      <c r="AH78">
        <v>50</v>
      </c>
      <c r="AI78">
        <v>200</v>
      </c>
    </row>
    <row r="79" spans="1:35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0.55000000000000004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0.45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0.5</v>
      </c>
      <c r="AE79">
        <v>0</v>
      </c>
      <c r="AF79">
        <v>0</v>
      </c>
      <c r="AG79">
        <v>0.5</v>
      </c>
      <c r="AH79">
        <v>50</v>
      </c>
      <c r="AI79">
        <v>101</v>
      </c>
    </row>
    <row r="80" spans="1:35" x14ac:dyDescent="0.3">
      <c r="A80">
        <v>0</v>
      </c>
      <c r="B80">
        <v>0.9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0.5</v>
      </c>
      <c r="AE80">
        <v>0</v>
      </c>
      <c r="AF80">
        <v>0</v>
      </c>
      <c r="AG80">
        <v>1</v>
      </c>
      <c r="AH80">
        <v>50</v>
      </c>
      <c r="AI80">
        <v>434.00000000000006</v>
      </c>
    </row>
    <row r="81" spans="1:35" x14ac:dyDescent="0.3">
      <c r="A81">
        <v>0</v>
      </c>
      <c r="B81">
        <v>0</v>
      </c>
      <c r="C81">
        <v>0</v>
      </c>
      <c r="D81">
        <v>0</v>
      </c>
      <c r="E81">
        <v>0.9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0.5</v>
      </c>
      <c r="AE81">
        <v>0</v>
      </c>
      <c r="AF81">
        <v>0</v>
      </c>
      <c r="AG81">
        <v>1</v>
      </c>
      <c r="AH81">
        <v>50</v>
      </c>
      <c r="AI81">
        <v>308</v>
      </c>
    </row>
    <row r="82" spans="1:35" x14ac:dyDescent="0.3">
      <c r="A82">
        <v>0</v>
      </c>
      <c r="B82">
        <v>0.54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0.5</v>
      </c>
      <c r="AE82">
        <v>0</v>
      </c>
      <c r="AF82">
        <v>0</v>
      </c>
      <c r="AG82">
        <v>0.5</v>
      </c>
      <c r="AH82">
        <v>50</v>
      </c>
      <c r="AI82">
        <v>182</v>
      </c>
    </row>
    <row r="83" spans="1:35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0.79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0.5</v>
      </c>
      <c r="AE83">
        <v>0</v>
      </c>
      <c r="AF83">
        <v>0</v>
      </c>
      <c r="AG83">
        <v>0.5</v>
      </c>
      <c r="AH83">
        <v>50</v>
      </c>
      <c r="AI83">
        <v>122</v>
      </c>
    </row>
    <row r="84" spans="1:35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0.88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0.5</v>
      </c>
      <c r="AE84">
        <v>0</v>
      </c>
      <c r="AF84">
        <v>0</v>
      </c>
      <c r="AG84">
        <v>0.5</v>
      </c>
      <c r="AH84">
        <v>50</v>
      </c>
      <c r="AI84">
        <v>57</v>
      </c>
    </row>
    <row r="85" spans="1:35" x14ac:dyDescent="0.3">
      <c r="A85">
        <v>0</v>
      </c>
      <c r="B85">
        <v>0.95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0.05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0.05</v>
      </c>
      <c r="AE85">
        <v>0</v>
      </c>
      <c r="AF85">
        <v>0</v>
      </c>
      <c r="AG85">
        <v>1</v>
      </c>
      <c r="AH85">
        <v>5</v>
      </c>
      <c r="AI85">
        <v>12.600000000000003</v>
      </c>
    </row>
    <row r="86" spans="1:35" x14ac:dyDescent="0.3">
      <c r="A86">
        <v>0</v>
      </c>
      <c r="B86">
        <v>0.98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0.02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0.05</v>
      </c>
      <c r="AE86">
        <v>0</v>
      </c>
      <c r="AF86">
        <v>0</v>
      </c>
      <c r="AG86">
        <v>1</v>
      </c>
      <c r="AH86">
        <v>5</v>
      </c>
      <c r="AI86">
        <v>10.5</v>
      </c>
    </row>
    <row r="87" spans="1:35" x14ac:dyDescent="0.3">
      <c r="A87">
        <v>0</v>
      </c>
      <c r="B87">
        <v>0.8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0.05</v>
      </c>
      <c r="AE87">
        <v>0</v>
      </c>
      <c r="AF87">
        <v>0</v>
      </c>
      <c r="AG87">
        <v>1</v>
      </c>
      <c r="AH87">
        <v>5</v>
      </c>
      <c r="AI87">
        <v>5.6000000000000005</v>
      </c>
    </row>
    <row r="88" spans="1:35" x14ac:dyDescent="0.3">
      <c r="A88">
        <v>0</v>
      </c>
      <c r="B88">
        <v>0.95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0.5</v>
      </c>
      <c r="AH88">
        <v>10.240000000000002</v>
      </c>
      <c r="AI88">
        <v>132.75862068965517</v>
      </c>
    </row>
    <row r="89" spans="1:35" x14ac:dyDescent="0.3">
      <c r="A89">
        <v>0</v>
      </c>
      <c r="B89">
        <v>0.95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0.5</v>
      </c>
      <c r="AH89">
        <v>19.951111111111111</v>
      </c>
      <c r="AI89">
        <v>168.96551724137933</v>
      </c>
    </row>
    <row r="90" spans="1:35" x14ac:dyDescent="0.3">
      <c r="A90">
        <v>0</v>
      </c>
      <c r="B90">
        <v>0.95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0.5</v>
      </c>
      <c r="AH90">
        <v>40.111111111111107</v>
      </c>
      <c r="AI90">
        <v>217.24137931034488</v>
      </c>
    </row>
    <row r="91" spans="1:35" x14ac:dyDescent="0.3">
      <c r="A91">
        <v>0</v>
      </c>
      <c r="B91">
        <v>0.95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0.5</v>
      </c>
      <c r="AH91">
        <v>49.937777777777775</v>
      </c>
      <c r="AI91">
        <v>229.31034482758625</v>
      </c>
    </row>
    <row r="92" spans="1:35" x14ac:dyDescent="0.3">
      <c r="A92">
        <v>0</v>
      </c>
      <c r="B92">
        <v>0.95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0.05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0.5</v>
      </c>
      <c r="AH92">
        <v>59.804444444444442</v>
      </c>
      <c r="AI92">
        <v>253.44827586206901</v>
      </c>
    </row>
    <row r="93" spans="1:35" x14ac:dyDescent="0.3">
      <c r="A93">
        <v>0</v>
      </c>
      <c r="B93">
        <v>0.95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0.5</v>
      </c>
      <c r="AH93">
        <v>80.401111111111106</v>
      </c>
      <c r="AI93">
        <v>289.65517241379314</v>
      </c>
    </row>
    <row r="94" spans="1:35" x14ac:dyDescent="0.3">
      <c r="A94">
        <v>0</v>
      </c>
      <c r="B94">
        <v>0.95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0.5</v>
      </c>
      <c r="AH94">
        <v>100</v>
      </c>
      <c r="AI94">
        <v>325.86206896551727</v>
      </c>
    </row>
    <row r="95" spans="1:35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0.5</v>
      </c>
      <c r="AH95">
        <v>10.240000000000002</v>
      </c>
      <c r="AI95">
        <v>78.448275862068982</v>
      </c>
    </row>
    <row r="96" spans="1:35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0.5</v>
      </c>
      <c r="AH96">
        <v>19.951111111111111</v>
      </c>
      <c r="AI96">
        <v>102.58620689655174</v>
      </c>
    </row>
    <row r="97" spans="1:35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0.5</v>
      </c>
      <c r="AH97">
        <v>40.111111111111107</v>
      </c>
      <c r="AI97">
        <v>132.75862068965517</v>
      </c>
    </row>
    <row r="98" spans="1:35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0.95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0.05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0.5</v>
      </c>
      <c r="AH98">
        <v>49.937777777777775</v>
      </c>
      <c r="AI98">
        <v>120.68965517241381</v>
      </c>
    </row>
    <row r="99" spans="1:35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0.05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0.5</v>
      </c>
      <c r="AH99">
        <v>59.804444444444442</v>
      </c>
      <c r="AI99">
        <v>144.82758620689657</v>
      </c>
    </row>
    <row r="100" spans="1:35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0.05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0.5</v>
      </c>
      <c r="AH100">
        <v>80.401111111111106</v>
      </c>
      <c r="AI100">
        <v>156.89655172413796</v>
      </c>
    </row>
    <row r="101" spans="1:35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0.5</v>
      </c>
      <c r="AH101">
        <v>100</v>
      </c>
      <c r="AI101">
        <v>175.00000000000003</v>
      </c>
    </row>
    <row r="102" spans="1:35" x14ac:dyDescent="0.3">
      <c r="A102">
        <v>0</v>
      </c>
      <c r="B102">
        <v>0.9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0.05</v>
      </c>
      <c r="Y102">
        <v>0.05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0.5</v>
      </c>
      <c r="AH102">
        <v>10.240000000000002</v>
      </c>
      <c r="AI102">
        <v>114.54545454545458</v>
      </c>
    </row>
    <row r="103" spans="1:35" x14ac:dyDescent="0.3">
      <c r="A103">
        <v>0</v>
      </c>
      <c r="B103">
        <v>0.9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0.05</v>
      </c>
      <c r="Y103">
        <v>0.05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0.5</v>
      </c>
      <c r="AH103">
        <v>19.951111111111111</v>
      </c>
      <c r="AI103">
        <v>152.72727272727275</v>
      </c>
    </row>
    <row r="104" spans="1:35" x14ac:dyDescent="0.3">
      <c r="A104">
        <v>0</v>
      </c>
      <c r="B104">
        <v>0.9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0.05</v>
      </c>
      <c r="Y104">
        <v>0.05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0.5</v>
      </c>
      <c r="AH104">
        <v>40.111111111111107</v>
      </c>
      <c r="AI104">
        <v>210.00000000000003</v>
      </c>
    </row>
    <row r="105" spans="1:35" x14ac:dyDescent="0.3">
      <c r="A105">
        <v>0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0.05</v>
      </c>
      <c r="Y105">
        <v>0.05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0.5</v>
      </c>
      <c r="AH105">
        <v>49.937777777777775</v>
      </c>
      <c r="AI105">
        <v>210.00000000000003</v>
      </c>
    </row>
    <row r="106" spans="1:35" x14ac:dyDescent="0.3">
      <c r="A106">
        <v>0</v>
      </c>
      <c r="B106">
        <v>0.9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0.05</v>
      </c>
      <c r="Y106">
        <v>0.05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0.5</v>
      </c>
      <c r="AH106">
        <v>59.804444444444442</v>
      </c>
      <c r="AI106">
        <v>254.54545454545459</v>
      </c>
    </row>
    <row r="107" spans="1:35" x14ac:dyDescent="0.3">
      <c r="A107">
        <v>0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0.05</v>
      </c>
      <c r="Y107">
        <v>0.05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0.5</v>
      </c>
      <c r="AH107">
        <v>80.401111111111106</v>
      </c>
      <c r="AI107">
        <v>292.72727272727275</v>
      </c>
    </row>
    <row r="108" spans="1:35" x14ac:dyDescent="0.3">
      <c r="A108">
        <v>0</v>
      </c>
      <c r="B108">
        <v>0.9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0.05</v>
      </c>
      <c r="Y108">
        <v>0.05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0.5</v>
      </c>
      <c r="AH108">
        <v>100</v>
      </c>
      <c r="AI108">
        <v>330.90909090909099</v>
      </c>
    </row>
    <row r="109" spans="1:35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0.05</v>
      </c>
      <c r="Y109">
        <v>0.05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0.5</v>
      </c>
      <c r="AH109">
        <v>10.240000000000002</v>
      </c>
      <c r="AI109">
        <v>38.181818181818201</v>
      </c>
    </row>
    <row r="110" spans="1:35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0.05</v>
      </c>
      <c r="Y110">
        <v>0.05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0.5</v>
      </c>
      <c r="AH110">
        <v>19.951111111111111</v>
      </c>
      <c r="AI110">
        <v>49.63636363636364</v>
      </c>
    </row>
    <row r="111" spans="1:35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0.05</v>
      </c>
      <c r="Y111">
        <v>0.05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0.5</v>
      </c>
      <c r="AH111">
        <v>40.111111111111107</v>
      </c>
      <c r="AI111">
        <v>63.636363636363647</v>
      </c>
    </row>
    <row r="112" spans="1:35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0.05</v>
      </c>
      <c r="Y112">
        <v>0.05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0.5</v>
      </c>
      <c r="AH112">
        <v>49.937777777777775</v>
      </c>
      <c r="AI112">
        <v>70</v>
      </c>
    </row>
    <row r="113" spans="1:35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0.05</v>
      </c>
      <c r="Y113">
        <v>0.05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0.5</v>
      </c>
      <c r="AH113">
        <v>59.804444444444442</v>
      </c>
      <c r="AI113">
        <v>70</v>
      </c>
    </row>
    <row r="114" spans="1:35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0.05</v>
      </c>
      <c r="Y114">
        <v>0.05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0.5</v>
      </c>
      <c r="AH114">
        <v>80.401111111111106</v>
      </c>
      <c r="AI114">
        <v>76.363636363636374</v>
      </c>
    </row>
    <row r="115" spans="1:35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0.05</v>
      </c>
      <c r="Y115">
        <v>0.05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0.5</v>
      </c>
      <c r="AH115">
        <v>100</v>
      </c>
      <c r="AI115">
        <v>89.090909090909108</v>
      </c>
    </row>
    <row r="116" spans="1:35" x14ac:dyDescent="0.3">
      <c r="A116">
        <v>0.95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0.05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0.5</v>
      </c>
      <c r="AH116">
        <v>10.240000000000002</v>
      </c>
      <c r="AI116">
        <v>49.482758620689651</v>
      </c>
    </row>
    <row r="117" spans="1:35" x14ac:dyDescent="0.3">
      <c r="A117">
        <v>0.95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0.05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0.5</v>
      </c>
      <c r="AH117">
        <v>19.951111111111111</v>
      </c>
      <c r="AI117">
        <v>66.379310344827587</v>
      </c>
    </row>
    <row r="118" spans="1:35" x14ac:dyDescent="0.3">
      <c r="A118">
        <v>0.95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0.05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0.5</v>
      </c>
      <c r="AH118">
        <v>40.111111111111107</v>
      </c>
      <c r="AI118">
        <v>82.068965517241395</v>
      </c>
    </row>
    <row r="119" spans="1:35" x14ac:dyDescent="0.3">
      <c r="A119">
        <v>0.95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0.05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0.5</v>
      </c>
      <c r="AH119">
        <v>49.937777777777775</v>
      </c>
      <c r="AI119">
        <v>74.827586206896569</v>
      </c>
    </row>
    <row r="120" spans="1:35" x14ac:dyDescent="0.3">
      <c r="A120">
        <v>0.95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0.5</v>
      </c>
      <c r="AH120">
        <v>59.804444444444442</v>
      </c>
      <c r="AI120">
        <v>90.517241379310349</v>
      </c>
    </row>
    <row r="121" spans="1:35" x14ac:dyDescent="0.3">
      <c r="A121">
        <v>0.95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0.05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0.5</v>
      </c>
      <c r="AH121">
        <v>80.401111111111106</v>
      </c>
      <c r="AI121">
        <v>96.551724137931046</v>
      </c>
    </row>
    <row r="122" spans="1:35" x14ac:dyDescent="0.3">
      <c r="A122">
        <v>0.95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0.05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0.5</v>
      </c>
      <c r="AH122">
        <v>100</v>
      </c>
      <c r="AI122">
        <v>107.4137931034483</v>
      </c>
    </row>
    <row r="123" spans="1:35" x14ac:dyDescent="0.3">
      <c r="A123">
        <v>0.9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0.05</v>
      </c>
      <c r="Y123">
        <v>0.05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0.5</v>
      </c>
      <c r="AH123">
        <v>10.240000000000002</v>
      </c>
      <c r="AI123">
        <v>20.363636363636367</v>
      </c>
    </row>
    <row r="124" spans="1:35" x14ac:dyDescent="0.3">
      <c r="A124">
        <v>0.9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0.05</v>
      </c>
      <c r="Y124">
        <v>0.05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0.5</v>
      </c>
      <c r="AH124">
        <v>19.951111111111111</v>
      </c>
      <c r="AI124">
        <v>25.454545454545457</v>
      </c>
    </row>
    <row r="125" spans="1:35" x14ac:dyDescent="0.3">
      <c r="A125">
        <v>0.9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0.05</v>
      </c>
      <c r="Y125">
        <v>0.05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0.5</v>
      </c>
      <c r="AH125">
        <v>40.111111111111107</v>
      </c>
      <c r="AI125">
        <v>26.727272727272734</v>
      </c>
    </row>
    <row r="126" spans="1:35" x14ac:dyDescent="0.3">
      <c r="A126">
        <v>0.9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0.05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0.5</v>
      </c>
      <c r="AH126">
        <v>49.937777777777775</v>
      </c>
      <c r="AI126">
        <v>28.000000000000007</v>
      </c>
    </row>
    <row r="127" spans="1:35" x14ac:dyDescent="0.3">
      <c r="A127">
        <v>0.9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0.05</v>
      </c>
      <c r="Y127">
        <v>0.05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0.5</v>
      </c>
      <c r="AH127">
        <v>59.804444444444442</v>
      </c>
      <c r="AI127">
        <v>28.000000000000007</v>
      </c>
    </row>
    <row r="128" spans="1:35" x14ac:dyDescent="0.3">
      <c r="A128">
        <v>0.9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0.05</v>
      </c>
      <c r="Y128">
        <v>0.05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0.5</v>
      </c>
      <c r="AH128">
        <v>80.401111111111106</v>
      </c>
      <c r="AI128">
        <v>34.363636363636374</v>
      </c>
    </row>
    <row r="129" spans="1:35" x14ac:dyDescent="0.3">
      <c r="A129">
        <v>0.9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0.05</v>
      </c>
      <c r="Y129">
        <v>0.05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0.5</v>
      </c>
      <c r="AH129">
        <v>100</v>
      </c>
      <c r="AI129">
        <v>38.181818181818187</v>
      </c>
    </row>
    <row r="130" spans="1:35" x14ac:dyDescent="0.3">
      <c r="A130">
        <v>0</v>
      </c>
      <c r="B130">
        <v>0.7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</v>
      </c>
      <c r="Y130">
        <v>0.1</v>
      </c>
      <c r="Z130">
        <v>0</v>
      </c>
      <c r="AA130">
        <v>0</v>
      </c>
      <c r="AB130">
        <v>0</v>
      </c>
      <c r="AC130">
        <v>0</v>
      </c>
      <c r="AD130">
        <v>0.5</v>
      </c>
      <c r="AE130">
        <v>0</v>
      </c>
      <c r="AF130">
        <v>0</v>
      </c>
      <c r="AG130">
        <v>1</v>
      </c>
      <c r="AH130">
        <v>50</v>
      </c>
      <c r="AI130">
        <v>206</v>
      </c>
    </row>
    <row r="131" spans="1:35" x14ac:dyDescent="0.3">
      <c r="A131">
        <v>0</v>
      </c>
      <c r="B131">
        <v>0.14000000000000001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0.13</v>
      </c>
      <c r="X131">
        <v>0.73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0.5</v>
      </c>
      <c r="AE131">
        <v>0</v>
      </c>
      <c r="AF131">
        <v>0</v>
      </c>
      <c r="AG131">
        <v>0.5</v>
      </c>
      <c r="AH131">
        <v>50</v>
      </c>
      <c r="AI131">
        <v>394</v>
      </c>
    </row>
    <row r="132" spans="1:35" x14ac:dyDescent="0.3">
      <c r="A132">
        <v>0</v>
      </c>
      <c r="B132">
        <v>0.24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0.17</v>
      </c>
      <c r="X132">
        <v>0.59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0.1</v>
      </c>
      <c r="AF132">
        <v>0</v>
      </c>
      <c r="AG132">
        <v>1</v>
      </c>
      <c r="AH132">
        <v>50</v>
      </c>
      <c r="AI132">
        <v>260</v>
      </c>
    </row>
    <row r="133" spans="1:35" x14ac:dyDescent="0.3">
      <c r="A133">
        <v>0</v>
      </c>
      <c r="B133">
        <v>0.68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0.05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2</v>
      </c>
      <c r="AH133">
        <v>20</v>
      </c>
      <c r="AI133">
        <v>241</v>
      </c>
    </row>
    <row r="134" spans="1:35" x14ac:dyDescent="0.3">
      <c r="A134">
        <v>0</v>
      </c>
      <c r="B134">
        <v>0</v>
      </c>
      <c r="C134">
        <v>0</v>
      </c>
      <c r="D134">
        <v>0</v>
      </c>
      <c r="E134">
        <v>0.68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2</v>
      </c>
      <c r="AH134">
        <v>20</v>
      </c>
      <c r="AI134">
        <v>132</v>
      </c>
    </row>
    <row r="135" spans="1:35" x14ac:dyDescent="0.3">
      <c r="A135">
        <v>0</v>
      </c>
      <c r="B135">
        <v>0.31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0.53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</v>
      </c>
      <c r="AE135">
        <v>0</v>
      </c>
      <c r="AF135">
        <v>0</v>
      </c>
      <c r="AG135">
        <v>1</v>
      </c>
      <c r="AH135">
        <v>25</v>
      </c>
      <c r="AI135">
        <v>14.901960784313724</v>
      </c>
    </row>
    <row r="136" spans="1:35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0.1</v>
      </c>
      <c r="AE136">
        <v>0</v>
      </c>
      <c r="AF136">
        <v>0</v>
      </c>
      <c r="AG136">
        <v>1</v>
      </c>
      <c r="AH136">
        <v>25</v>
      </c>
      <c r="AI136">
        <v>14.901960784313724</v>
      </c>
    </row>
    <row r="137" spans="1:35" x14ac:dyDescent="0.3">
      <c r="A137">
        <v>0</v>
      </c>
      <c r="B137">
        <v>0.37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0.63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0.1</v>
      </c>
      <c r="AE137">
        <v>0</v>
      </c>
      <c r="AF137">
        <v>0</v>
      </c>
      <c r="AG137">
        <v>1</v>
      </c>
      <c r="AH137">
        <v>25</v>
      </c>
      <c r="AI137">
        <v>7.450980392156862</v>
      </c>
    </row>
    <row r="138" spans="1:35" x14ac:dyDescent="0.3">
      <c r="A138">
        <v>0</v>
      </c>
      <c r="B138">
        <v>0.69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0.06</v>
      </c>
      <c r="U138">
        <v>0</v>
      </c>
      <c r="V138">
        <v>0</v>
      </c>
      <c r="W138">
        <v>0</v>
      </c>
      <c r="X138">
        <v>0.25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0.5</v>
      </c>
      <c r="AE138">
        <v>0</v>
      </c>
      <c r="AF138">
        <v>0</v>
      </c>
      <c r="AG138">
        <v>1</v>
      </c>
      <c r="AH138">
        <v>50</v>
      </c>
      <c r="AI138">
        <v>675.74000000000012</v>
      </c>
    </row>
    <row r="139" spans="1:35" x14ac:dyDescent="0.3">
      <c r="A139">
        <v>0</v>
      </c>
      <c r="B139">
        <v>0.65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0.08</v>
      </c>
      <c r="U139">
        <v>0</v>
      </c>
      <c r="V139">
        <v>0</v>
      </c>
      <c r="W139">
        <v>0</v>
      </c>
      <c r="X139">
        <v>0.27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0.5</v>
      </c>
      <c r="AE139">
        <v>0</v>
      </c>
      <c r="AF139">
        <v>0</v>
      </c>
      <c r="AG139">
        <v>1</v>
      </c>
      <c r="AH139">
        <v>50</v>
      </c>
      <c r="AI139">
        <v>69</v>
      </c>
    </row>
    <row r="140" spans="1:35" x14ac:dyDescent="0.3">
      <c r="A140">
        <v>0</v>
      </c>
      <c r="B140">
        <v>0.85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0.02</v>
      </c>
      <c r="T140">
        <v>0</v>
      </c>
      <c r="U140">
        <v>0</v>
      </c>
      <c r="V140">
        <v>0</v>
      </c>
      <c r="W140">
        <v>0</v>
      </c>
      <c r="X140">
        <v>0.13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0.5</v>
      </c>
      <c r="AE140">
        <v>0</v>
      </c>
      <c r="AF140">
        <v>0</v>
      </c>
      <c r="AG140">
        <v>0.5</v>
      </c>
      <c r="AH140">
        <v>20</v>
      </c>
      <c r="AI140">
        <v>1100</v>
      </c>
    </row>
    <row r="141" spans="1:35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0.02</v>
      </c>
      <c r="T141">
        <v>0</v>
      </c>
      <c r="U141">
        <v>0</v>
      </c>
      <c r="V141">
        <v>0</v>
      </c>
      <c r="W141">
        <v>0</v>
      </c>
      <c r="X141">
        <v>0.13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0.5</v>
      </c>
      <c r="AE141">
        <v>0</v>
      </c>
      <c r="AF141">
        <v>0</v>
      </c>
      <c r="AG141">
        <v>0.5</v>
      </c>
      <c r="AH141">
        <v>20</v>
      </c>
      <c r="AI141">
        <v>600</v>
      </c>
    </row>
    <row r="142" spans="1:35" x14ac:dyDescent="0.3">
      <c r="A142">
        <v>0</v>
      </c>
      <c r="B142">
        <v>0.98699999999999999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0.01</v>
      </c>
      <c r="Y142">
        <v>0</v>
      </c>
      <c r="Z142">
        <v>3.0000000000000001E-3</v>
      </c>
      <c r="AA142">
        <v>0</v>
      </c>
      <c r="AB142">
        <v>0</v>
      </c>
      <c r="AC142">
        <v>0</v>
      </c>
      <c r="AD142">
        <v>0.5</v>
      </c>
      <c r="AE142">
        <v>0</v>
      </c>
      <c r="AF142">
        <v>0</v>
      </c>
      <c r="AG142">
        <v>0.5</v>
      </c>
      <c r="AH142">
        <v>50</v>
      </c>
      <c r="AI142">
        <v>1537.2</v>
      </c>
    </row>
    <row r="143" spans="1:35" x14ac:dyDescent="0.3">
      <c r="A143">
        <v>0</v>
      </c>
      <c r="B143">
        <v>0.99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0.01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0.5</v>
      </c>
      <c r="AE143">
        <v>0</v>
      </c>
      <c r="AF143">
        <v>0</v>
      </c>
      <c r="AG143">
        <v>0.5</v>
      </c>
      <c r="AH143">
        <v>50</v>
      </c>
      <c r="AI143">
        <v>1512.9333333333336</v>
      </c>
    </row>
    <row r="144" spans="1:35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0.01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0.5</v>
      </c>
      <c r="AE144">
        <v>0</v>
      </c>
      <c r="AF144">
        <v>0</v>
      </c>
      <c r="AG144">
        <v>0.5</v>
      </c>
      <c r="AH144">
        <v>50</v>
      </c>
      <c r="AI144">
        <v>979.06666666666672</v>
      </c>
    </row>
    <row r="145" spans="1:35" x14ac:dyDescent="0.3">
      <c r="A145">
        <v>0</v>
      </c>
      <c r="B145">
        <v>0.6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0.5</v>
      </c>
      <c r="AE145">
        <v>0</v>
      </c>
      <c r="AF145">
        <v>0</v>
      </c>
      <c r="AG145">
        <v>2</v>
      </c>
      <c r="AH145">
        <v>50</v>
      </c>
      <c r="AI145">
        <v>260</v>
      </c>
    </row>
    <row r="146" spans="1:35" x14ac:dyDescent="0.3">
      <c r="A146">
        <v>0</v>
      </c>
      <c r="B146">
        <v>0.4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0.5</v>
      </c>
      <c r="AE146">
        <v>0</v>
      </c>
      <c r="AF146">
        <v>0</v>
      </c>
      <c r="AG146">
        <v>2</v>
      </c>
      <c r="AH146">
        <v>50</v>
      </c>
      <c r="AI146">
        <v>305</v>
      </c>
    </row>
    <row r="147" spans="1:35" x14ac:dyDescent="0.3">
      <c r="A147">
        <v>0</v>
      </c>
      <c r="B147">
        <v>0.2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0.5</v>
      </c>
      <c r="AE147">
        <v>0</v>
      </c>
      <c r="AF147">
        <v>0</v>
      </c>
      <c r="AG147">
        <v>2</v>
      </c>
      <c r="AH147">
        <v>50</v>
      </c>
      <c r="AI147">
        <v>250</v>
      </c>
    </row>
    <row r="148" spans="1:35" x14ac:dyDescent="0.3">
      <c r="A148">
        <v>0</v>
      </c>
      <c r="B148">
        <v>0.44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0.34</v>
      </c>
      <c r="T148">
        <v>0</v>
      </c>
      <c r="U148">
        <v>0</v>
      </c>
      <c r="V148">
        <v>0</v>
      </c>
      <c r="W148">
        <v>0</v>
      </c>
      <c r="X148">
        <v>0.22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0.1</v>
      </c>
      <c r="AE148">
        <v>0</v>
      </c>
      <c r="AF148">
        <v>0</v>
      </c>
      <c r="AG148">
        <v>2</v>
      </c>
      <c r="AH148">
        <v>50</v>
      </c>
      <c r="AI148">
        <v>780</v>
      </c>
    </row>
    <row r="149" spans="1:35" x14ac:dyDescent="0.3">
      <c r="A149">
        <v>0</v>
      </c>
      <c r="B149">
        <v>0.42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0.32</v>
      </c>
      <c r="T149">
        <v>0</v>
      </c>
      <c r="U149">
        <v>0</v>
      </c>
      <c r="V149">
        <v>0</v>
      </c>
      <c r="W149">
        <v>0</v>
      </c>
      <c r="X149">
        <v>0.26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0.1</v>
      </c>
      <c r="AE149">
        <v>0</v>
      </c>
      <c r="AF149">
        <v>0</v>
      </c>
      <c r="AG149">
        <v>2</v>
      </c>
      <c r="AH149">
        <v>50</v>
      </c>
      <c r="AI149">
        <v>610</v>
      </c>
    </row>
    <row r="150" spans="1:35" x14ac:dyDescent="0.3">
      <c r="A150">
        <v>0</v>
      </c>
      <c r="B150">
        <v>0.35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0.28000000000000003</v>
      </c>
      <c r="T150">
        <v>0</v>
      </c>
      <c r="U150">
        <v>0</v>
      </c>
      <c r="V150">
        <v>0</v>
      </c>
      <c r="W150">
        <v>0</v>
      </c>
      <c r="X150">
        <v>0.37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0.1</v>
      </c>
      <c r="AE150">
        <v>0</v>
      </c>
      <c r="AF150">
        <v>0</v>
      </c>
      <c r="AG150">
        <v>2</v>
      </c>
      <c r="AH150">
        <v>50</v>
      </c>
      <c r="AI150">
        <v>500</v>
      </c>
    </row>
    <row r="151" spans="1:35" x14ac:dyDescent="0.3">
      <c r="A151">
        <v>0</v>
      </c>
      <c r="B151">
        <v>0.45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0.35</v>
      </c>
      <c r="T151">
        <v>0</v>
      </c>
      <c r="U151">
        <v>0</v>
      </c>
      <c r="V151">
        <v>0</v>
      </c>
      <c r="W151">
        <v>0</v>
      </c>
      <c r="X151">
        <v>0.2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</v>
      </c>
      <c r="AE151">
        <v>0</v>
      </c>
      <c r="AF151">
        <v>0</v>
      </c>
      <c r="AG151">
        <v>2</v>
      </c>
      <c r="AH151">
        <v>50</v>
      </c>
      <c r="AI151">
        <v>490</v>
      </c>
    </row>
    <row r="152" spans="1:35" x14ac:dyDescent="0.3">
      <c r="A152">
        <v>0</v>
      </c>
      <c r="B152">
        <v>0.49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0.38</v>
      </c>
      <c r="T152">
        <v>0</v>
      </c>
      <c r="U152">
        <v>0</v>
      </c>
      <c r="V152">
        <v>0</v>
      </c>
      <c r="W152">
        <v>0</v>
      </c>
      <c r="X152">
        <v>0.13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</v>
      </c>
      <c r="AE152">
        <v>0</v>
      </c>
      <c r="AF152">
        <v>0</v>
      </c>
      <c r="AG152">
        <v>2</v>
      </c>
      <c r="AH152">
        <v>50</v>
      </c>
      <c r="AI152">
        <v>390</v>
      </c>
    </row>
    <row r="153" spans="1:35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0.44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0.34</v>
      </c>
      <c r="T153">
        <v>0</v>
      </c>
      <c r="U153">
        <v>0</v>
      </c>
      <c r="V153">
        <v>0</v>
      </c>
      <c r="W153">
        <v>0</v>
      </c>
      <c r="X153">
        <v>0.22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</v>
      </c>
      <c r="AE153">
        <v>0</v>
      </c>
      <c r="AF153">
        <v>0</v>
      </c>
      <c r="AG153">
        <v>2</v>
      </c>
      <c r="AH153">
        <v>50</v>
      </c>
      <c r="AI153">
        <v>275</v>
      </c>
    </row>
    <row r="154" spans="1:35" x14ac:dyDescent="0.3">
      <c r="A154">
        <v>0</v>
      </c>
      <c r="B154">
        <v>0.94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0.06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0.5</v>
      </c>
      <c r="AE154">
        <v>0</v>
      </c>
      <c r="AF154">
        <v>0</v>
      </c>
      <c r="AG154">
        <v>1</v>
      </c>
      <c r="AH154">
        <v>9.7344000000000008</v>
      </c>
      <c r="AI154">
        <v>225</v>
      </c>
    </row>
    <row r="155" spans="1:35" x14ac:dyDescent="0.3">
      <c r="A155">
        <v>0</v>
      </c>
      <c r="B155">
        <v>0.94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0.06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0.5</v>
      </c>
      <c r="AE155">
        <v>0</v>
      </c>
      <c r="AF155">
        <v>0</v>
      </c>
      <c r="AG155">
        <v>1</v>
      </c>
      <c r="AH155">
        <v>20.070400000000003</v>
      </c>
      <c r="AI155">
        <v>275</v>
      </c>
    </row>
    <row r="156" spans="1:35" x14ac:dyDescent="0.3">
      <c r="A156">
        <v>0</v>
      </c>
      <c r="B156">
        <v>0.94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0.06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0.5</v>
      </c>
      <c r="AE156">
        <v>0</v>
      </c>
      <c r="AF156">
        <v>0</v>
      </c>
      <c r="AG156">
        <v>1</v>
      </c>
      <c r="AH156">
        <v>50.126400000000004</v>
      </c>
      <c r="AI156">
        <v>290</v>
      </c>
    </row>
    <row r="157" spans="1:35" x14ac:dyDescent="0.3">
      <c r="A157">
        <v>0</v>
      </c>
      <c r="B157">
        <v>0.94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0.06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0.5</v>
      </c>
      <c r="AE157">
        <v>0</v>
      </c>
      <c r="AF157">
        <v>0</v>
      </c>
      <c r="AG157">
        <v>1</v>
      </c>
      <c r="AH157">
        <v>98.406400000000005</v>
      </c>
      <c r="AI157">
        <v>338</v>
      </c>
    </row>
    <row r="158" spans="1:35" x14ac:dyDescent="0.3">
      <c r="A158">
        <v>0</v>
      </c>
      <c r="B158">
        <v>0.94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0.06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0.5</v>
      </c>
      <c r="AE158">
        <v>0</v>
      </c>
      <c r="AF158">
        <v>0</v>
      </c>
      <c r="AG158">
        <v>1</v>
      </c>
      <c r="AH158">
        <v>198</v>
      </c>
      <c r="AI158">
        <v>438</v>
      </c>
    </row>
    <row r="159" spans="1:35" x14ac:dyDescent="0.3">
      <c r="A159">
        <v>0</v>
      </c>
      <c r="B159">
        <v>0.88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0.5</v>
      </c>
      <c r="AE159">
        <v>0</v>
      </c>
      <c r="AF159">
        <v>0</v>
      </c>
      <c r="AG159">
        <v>1</v>
      </c>
      <c r="AH159">
        <v>9.7344000000000008</v>
      </c>
      <c r="AI159">
        <v>62</v>
      </c>
    </row>
    <row r="160" spans="1:35" x14ac:dyDescent="0.3">
      <c r="A160">
        <v>0</v>
      </c>
      <c r="B160">
        <v>0.88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0.06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0.06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0.5</v>
      </c>
      <c r="AE160">
        <v>0</v>
      </c>
      <c r="AF160">
        <v>0</v>
      </c>
      <c r="AG160">
        <v>1</v>
      </c>
      <c r="AH160">
        <v>20.070400000000003</v>
      </c>
      <c r="AI160">
        <v>75</v>
      </c>
    </row>
    <row r="161" spans="1:35" x14ac:dyDescent="0.3">
      <c r="A161">
        <v>0</v>
      </c>
      <c r="B161">
        <v>0.88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0.06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0.5</v>
      </c>
      <c r="AE161">
        <v>0</v>
      </c>
      <c r="AF161">
        <v>0</v>
      </c>
      <c r="AG161">
        <v>1</v>
      </c>
      <c r="AH161">
        <v>50.126400000000004</v>
      </c>
      <c r="AI161">
        <v>100</v>
      </c>
    </row>
    <row r="162" spans="1:35" x14ac:dyDescent="0.3">
      <c r="A162">
        <v>0</v>
      </c>
      <c r="B162">
        <v>0.88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0.06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0.06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0.5</v>
      </c>
      <c r="AE162">
        <v>0</v>
      </c>
      <c r="AF162">
        <v>0</v>
      </c>
      <c r="AG162">
        <v>1</v>
      </c>
      <c r="AH162">
        <v>98.406400000000005</v>
      </c>
      <c r="AI162">
        <v>120</v>
      </c>
    </row>
    <row r="163" spans="1:35" x14ac:dyDescent="0.3">
      <c r="A163">
        <v>0</v>
      </c>
      <c r="B163">
        <v>0.88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0.06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0.06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0.5</v>
      </c>
      <c r="AE163">
        <v>0</v>
      </c>
      <c r="AF163">
        <v>0</v>
      </c>
      <c r="AG163">
        <v>1</v>
      </c>
      <c r="AH163">
        <v>198</v>
      </c>
      <c r="AI163">
        <v>142</v>
      </c>
    </row>
    <row r="164" spans="1:35" x14ac:dyDescent="0.3">
      <c r="A164">
        <v>0</v>
      </c>
      <c r="B164">
        <v>0.66999999999999993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7.0000000000000007E-2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0.5</v>
      </c>
      <c r="AE164">
        <v>0</v>
      </c>
      <c r="AF164">
        <v>0</v>
      </c>
      <c r="AG164">
        <v>0.5</v>
      </c>
      <c r="AH164">
        <v>50</v>
      </c>
      <c r="AI164">
        <v>420</v>
      </c>
    </row>
    <row r="165" spans="1:35" x14ac:dyDescent="0.3">
      <c r="A165">
        <v>0</v>
      </c>
      <c r="B165">
        <v>0.74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0.06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0.5</v>
      </c>
      <c r="AE165">
        <v>0</v>
      </c>
      <c r="AF165">
        <v>0</v>
      </c>
      <c r="AG165">
        <v>0.5</v>
      </c>
      <c r="AH165">
        <v>50</v>
      </c>
      <c r="AI165">
        <v>190</v>
      </c>
    </row>
    <row r="166" spans="1:35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0.37</v>
      </c>
      <c r="I166">
        <v>0.04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0.59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0.5</v>
      </c>
      <c r="AE166">
        <v>0</v>
      </c>
      <c r="AF166">
        <v>0</v>
      </c>
      <c r="AG166">
        <v>1</v>
      </c>
      <c r="AH166">
        <v>50</v>
      </c>
      <c r="AI166">
        <v>90</v>
      </c>
    </row>
    <row r="167" spans="1:35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0.53</v>
      </c>
      <c r="I167">
        <v>7.0000000000000007E-2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0.5</v>
      </c>
      <c r="AE167">
        <v>0</v>
      </c>
      <c r="AF167">
        <v>0</v>
      </c>
      <c r="AG167">
        <v>1</v>
      </c>
      <c r="AH167">
        <v>50</v>
      </c>
      <c r="AI167">
        <v>50</v>
      </c>
    </row>
    <row r="168" spans="1:35" x14ac:dyDescent="0.3">
      <c r="A168">
        <v>0</v>
      </c>
      <c r="B168">
        <v>0</v>
      </c>
      <c r="C168">
        <v>0</v>
      </c>
      <c r="D168">
        <v>0</v>
      </c>
      <c r="E168">
        <v>0.78</v>
      </c>
      <c r="F168">
        <v>0</v>
      </c>
      <c r="G168">
        <v>0</v>
      </c>
      <c r="H168">
        <v>0</v>
      </c>
      <c r="I168">
        <v>0.06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0.16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0.5</v>
      </c>
      <c r="AE168">
        <v>0</v>
      </c>
      <c r="AF168">
        <v>0</v>
      </c>
      <c r="AG168">
        <v>1</v>
      </c>
      <c r="AH168">
        <v>20</v>
      </c>
      <c r="AI168">
        <v>11.857707509881422</v>
      </c>
    </row>
    <row r="169" spans="1:35" x14ac:dyDescent="0.3">
      <c r="A169">
        <v>0</v>
      </c>
      <c r="B169">
        <v>0</v>
      </c>
      <c r="C169">
        <v>0</v>
      </c>
      <c r="D169">
        <v>0</v>
      </c>
      <c r="E169">
        <v>0.8</v>
      </c>
      <c r="F169">
        <v>0</v>
      </c>
      <c r="G169">
        <v>0</v>
      </c>
      <c r="H169">
        <v>0</v>
      </c>
      <c r="I169">
        <v>0.06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0.14000000000000001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0.5</v>
      </c>
      <c r="AE169">
        <v>0</v>
      </c>
      <c r="AF169">
        <v>0</v>
      </c>
      <c r="AG169">
        <v>1</v>
      </c>
      <c r="AH169">
        <v>20</v>
      </c>
      <c r="AI169">
        <v>260.86956521739131</v>
      </c>
    </row>
    <row r="170" spans="1:35" x14ac:dyDescent="0.3">
      <c r="A170">
        <v>0</v>
      </c>
      <c r="B170">
        <v>0</v>
      </c>
      <c r="C170">
        <v>0</v>
      </c>
      <c r="D170">
        <v>0</v>
      </c>
      <c r="E170">
        <v>0.64</v>
      </c>
      <c r="F170">
        <v>0</v>
      </c>
      <c r="G170">
        <v>0</v>
      </c>
      <c r="H170">
        <v>0</v>
      </c>
      <c r="I170">
        <v>0.05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0.5</v>
      </c>
      <c r="AE170">
        <v>0</v>
      </c>
      <c r="AF170">
        <v>0</v>
      </c>
      <c r="AG170">
        <v>1</v>
      </c>
      <c r="AH170">
        <v>20</v>
      </c>
      <c r="AI170">
        <v>134.38735177865613</v>
      </c>
    </row>
    <row r="171" spans="1:35" x14ac:dyDescent="0.3">
      <c r="A171">
        <v>0</v>
      </c>
      <c r="B171">
        <v>0</v>
      </c>
      <c r="C171">
        <v>0</v>
      </c>
      <c r="D171">
        <v>0</v>
      </c>
      <c r="E171">
        <v>0.81</v>
      </c>
      <c r="F171">
        <v>0</v>
      </c>
      <c r="G171">
        <v>0</v>
      </c>
      <c r="H171">
        <v>0</v>
      </c>
      <c r="I171">
        <v>0.06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0.13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0.5</v>
      </c>
      <c r="AE171">
        <v>0</v>
      </c>
      <c r="AF171">
        <v>0</v>
      </c>
      <c r="AG171">
        <v>1</v>
      </c>
      <c r="AH171">
        <v>20</v>
      </c>
      <c r="AI171">
        <v>10.079051383399209</v>
      </c>
    </row>
    <row r="172" spans="1:35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0.77</v>
      </c>
      <c r="I172">
        <v>0.03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2</v>
      </c>
      <c r="AH172">
        <v>50</v>
      </c>
      <c r="AI172">
        <v>300</v>
      </c>
    </row>
    <row r="173" spans="1:35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0.67</v>
      </c>
      <c r="I173">
        <v>0.03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0.25</v>
      </c>
      <c r="Y173">
        <v>0.05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2</v>
      </c>
      <c r="AH173">
        <v>50</v>
      </c>
      <c r="AI173">
        <v>320</v>
      </c>
    </row>
    <row r="174" spans="1:35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0.67</v>
      </c>
      <c r="I174">
        <v>0.03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0.24</v>
      </c>
      <c r="Y174">
        <v>0.06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2</v>
      </c>
      <c r="AH174">
        <v>50</v>
      </c>
      <c r="AI174">
        <v>380</v>
      </c>
    </row>
    <row r="175" spans="1:35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0.67</v>
      </c>
      <c r="I175">
        <v>0.03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0.19</v>
      </c>
      <c r="Y175">
        <v>0.11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2</v>
      </c>
      <c r="AH175">
        <v>50</v>
      </c>
      <c r="AI175">
        <v>400</v>
      </c>
    </row>
    <row r="176" spans="1:35" x14ac:dyDescent="0.3">
      <c r="A176">
        <v>0</v>
      </c>
      <c r="B176">
        <v>0.77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0.14000000000000001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1</v>
      </c>
      <c r="AH176">
        <v>20</v>
      </c>
      <c r="AI176">
        <v>135</v>
      </c>
    </row>
    <row r="177" spans="1:35" x14ac:dyDescent="0.3">
      <c r="A177">
        <v>0</v>
      </c>
      <c r="B177">
        <v>0.73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0.13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0.14000000000000001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1</v>
      </c>
      <c r="AH177">
        <v>20</v>
      </c>
      <c r="AI177">
        <v>40</v>
      </c>
    </row>
    <row r="178" spans="1:35" x14ac:dyDescent="0.3">
      <c r="A178">
        <v>0</v>
      </c>
      <c r="B178">
        <v>0.74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0.04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0.5</v>
      </c>
      <c r="AE178">
        <v>0</v>
      </c>
      <c r="AF178">
        <v>0</v>
      </c>
      <c r="AG178">
        <v>0.5</v>
      </c>
      <c r="AH178">
        <v>20</v>
      </c>
      <c r="AI178">
        <v>490.19607843137254</v>
      </c>
    </row>
    <row r="179" spans="1:35" x14ac:dyDescent="0.3">
      <c r="A179">
        <v>0</v>
      </c>
      <c r="B179">
        <v>0</v>
      </c>
      <c r="C179">
        <v>0</v>
      </c>
      <c r="D179">
        <v>0</v>
      </c>
      <c r="E179">
        <v>0.73</v>
      </c>
      <c r="F179">
        <v>0</v>
      </c>
      <c r="G179">
        <v>0</v>
      </c>
      <c r="H179">
        <v>0</v>
      </c>
      <c r="I179">
        <v>0</v>
      </c>
      <c r="J179">
        <v>7.0000000000000007E-2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0.5</v>
      </c>
      <c r="AE179">
        <v>0</v>
      </c>
      <c r="AF179">
        <v>0</v>
      </c>
      <c r="AG179">
        <v>1</v>
      </c>
      <c r="AH179">
        <v>20</v>
      </c>
      <c r="AI179">
        <v>615</v>
      </c>
    </row>
    <row r="180" spans="1:35" x14ac:dyDescent="0.3">
      <c r="A180">
        <v>0</v>
      </c>
      <c r="B180">
        <v>0</v>
      </c>
      <c r="C180">
        <v>0</v>
      </c>
      <c r="D180">
        <v>0</v>
      </c>
      <c r="E180">
        <v>0.67</v>
      </c>
      <c r="F180">
        <v>0</v>
      </c>
      <c r="G180">
        <v>0</v>
      </c>
      <c r="H180">
        <v>0</v>
      </c>
      <c r="I180">
        <v>0</v>
      </c>
      <c r="J180">
        <v>0.13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0.5</v>
      </c>
      <c r="AE180">
        <v>0</v>
      </c>
      <c r="AF180">
        <v>0</v>
      </c>
      <c r="AG180">
        <v>1</v>
      </c>
      <c r="AH180">
        <v>20</v>
      </c>
      <c r="AI180">
        <v>785</v>
      </c>
    </row>
    <row r="181" spans="1:35" x14ac:dyDescent="0.3">
      <c r="A181">
        <v>0</v>
      </c>
      <c r="B181">
        <v>0</v>
      </c>
      <c r="C181">
        <v>0</v>
      </c>
      <c r="D181">
        <v>0</v>
      </c>
      <c r="E181">
        <v>0.62</v>
      </c>
      <c r="F181">
        <v>0</v>
      </c>
      <c r="G181">
        <v>0</v>
      </c>
      <c r="H181">
        <v>0</v>
      </c>
      <c r="I181">
        <v>0</v>
      </c>
      <c r="J181">
        <v>0.18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0.5</v>
      </c>
      <c r="AE181">
        <v>0</v>
      </c>
      <c r="AF181">
        <v>0</v>
      </c>
      <c r="AG181">
        <v>1</v>
      </c>
      <c r="AH181">
        <v>20</v>
      </c>
      <c r="AI181">
        <v>863</v>
      </c>
    </row>
    <row r="182" spans="1:35" x14ac:dyDescent="0.3">
      <c r="A182">
        <v>0</v>
      </c>
      <c r="B182">
        <v>0</v>
      </c>
      <c r="C182">
        <v>0</v>
      </c>
      <c r="D182">
        <v>0</v>
      </c>
      <c r="E182">
        <v>0.53</v>
      </c>
      <c r="F182">
        <v>0</v>
      </c>
      <c r="G182">
        <v>0</v>
      </c>
      <c r="H182">
        <v>0</v>
      </c>
      <c r="I182">
        <v>0</v>
      </c>
      <c r="J182">
        <v>0.27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0.5</v>
      </c>
      <c r="AE182">
        <v>0</v>
      </c>
      <c r="AF182">
        <v>0</v>
      </c>
      <c r="AG182">
        <v>1</v>
      </c>
      <c r="AH182">
        <v>20</v>
      </c>
      <c r="AI182">
        <v>525</v>
      </c>
    </row>
    <row r="183" spans="1:35" x14ac:dyDescent="0.3">
      <c r="A183">
        <v>0</v>
      </c>
      <c r="B183">
        <v>0</v>
      </c>
      <c r="C183">
        <v>0</v>
      </c>
      <c r="D183">
        <v>0</v>
      </c>
      <c r="E183">
        <v>0.47</v>
      </c>
      <c r="F183">
        <v>0</v>
      </c>
      <c r="G183">
        <v>0</v>
      </c>
      <c r="H183">
        <v>0</v>
      </c>
      <c r="I183">
        <v>0</v>
      </c>
      <c r="J183">
        <v>0.33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0.5</v>
      </c>
      <c r="AE183">
        <v>0</v>
      </c>
      <c r="AF183">
        <v>0</v>
      </c>
      <c r="AG183">
        <v>1</v>
      </c>
      <c r="AH183">
        <v>20</v>
      </c>
      <c r="AI183">
        <v>461</v>
      </c>
    </row>
    <row r="184" spans="1:35" x14ac:dyDescent="0.3">
      <c r="A184">
        <v>0</v>
      </c>
      <c r="B184">
        <v>0</v>
      </c>
      <c r="C184">
        <v>0</v>
      </c>
      <c r="D184">
        <v>0</v>
      </c>
      <c r="E184">
        <v>0.62</v>
      </c>
      <c r="F184">
        <v>0</v>
      </c>
      <c r="G184">
        <v>0</v>
      </c>
      <c r="H184">
        <v>0</v>
      </c>
      <c r="I184">
        <v>0</v>
      </c>
      <c r="J184">
        <v>0.19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0.5</v>
      </c>
      <c r="AE184">
        <v>0</v>
      </c>
      <c r="AF184">
        <v>0</v>
      </c>
      <c r="AG184">
        <v>1</v>
      </c>
      <c r="AH184">
        <v>20</v>
      </c>
      <c r="AI184">
        <v>1302</v>
      </c>
    </row>
    <row r="185" spans="1:35" x14ac:dyDescent="0.3">
      <c r="A185">
        <v>0</v>
      </c>
      <c r="B185">
        <v>0</v>
      </c>
      <c r="C185">
        <v>0</v>
      </c>
      <c r="D185">
        <v>0</v>
      </c>
      <c r="E185">
        <v>0.63</v>
      </c>
      <c r="F185">
        <v>0</v>
      </c>
      <c r="G185">
        <v>0</v>
      </c>
      <c r="H185">
        <v>0</v>
      </c>
      <c r="I185">
        <v>0</v>
      </c>
      <c r="J185">
        <v>0.19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0.04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0.14000000000000001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0.5</v>
      </c>
      <c r="AE185">
        <v>0</v>
      </c>
      <c r="AF185">
        <v>0</v>
      </c>
      <c r="AG185">
        <v>1</v>
      </c>
      <c r="AH185">
        <v>20</v>
      </c>
      <c r="AI185">
        <v>1113</v>
      </c>
    </row>
    <row r="186" spans="1:35" x14ac:dyDescent="0.3">
      <c r="A186">
        <v>0</v>
      </c>
      <c r="B186">
        <v>0</v>
      </c>
      <c r="C186">
        <v>0</v>
      </c>
      <c r="D186">
        <v>0</v>
      </c>
      <c r="E186">
        <v>0.64</v>
      </c>
      <c r="F186">
        <v>0</v>
      </c>
      <c r="G186">
        <v>0</v>
      </c>
      <c r="H186">
        <v>0</v>
      </c>
      <c r="I186">
        <v>0</v>
      </c>
      <c r="J186">
        <v>0.19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0.09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0.5</v>
      </c>
      <c r="AE186">
        <v>0</v>
      </c>
      <c r="AF186">
        <v>0</v>
      </c>
      <c r="AG186">
        <v>1</v>
      </c>
      <c r="AH186">
        <v>20</v>
      </c>
      <c r="AI186">
        <v>1084</v>
      </c>
    </row>
    <row r="187" spans="1:35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0.56999999999999995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0.22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0.14000000000000001</v>
      </c>
      <c r="Y187">
        <v>7.0000000000000007E-2</v>
      </c>
      <c r="Z187">
        <v>0</v>
      </c>
      <c r="AA187">
        <v>0</v>
      </c>
      <c r="AB187">
        <v>0</v>
      </c>
      <c r="AC187">
        <v>0</v>
      </c>
      <c r="AD187">
        <v>0.5</v>
      </c>
      <c r="AE187">
        <v>0</v>
      </c>
      <c r="AF187">
        <v>0</v>
      </c>
      <c r="AG187">
        <v>2</v>
      </c>
      <c r="AH187">
        <v>20</v>
      </c>
      <c r="AI187">
        <v>110</v>
      </c>
    </row>
    <row r="188" spans="1:35" x14ac:dyDescent="0.3">
      <c r="A188">
        <v>0</v>
      </c>
      <c r="B188">
        <v>0.78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0.02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0.5</v>
      </c>
      <c r="AE188">
        <v>0</v>
      </c>
      <c r="AF188">
        <v>0</v>
      </c>
      <c r="AG188">
        <v>1</v>
      </c>
      <c r="AH188">
        <v>50</v>
      </c>
      <c r="AI188">
        <v>280</v>
      </c>
    </row>
    <row r="189" spans="1:35" x14ac:dyDescent="0.3">
      <c r="A189">
        <v>0</v>
      </c>
      <c r="B189">
        <v>0.76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0.04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0.5</v>
      </c>
      <c r="AE189">
        <v>0</v>
      </c>
      <c r="AF189">
        <v>0</v>
      </c>
      <c r="AG189">
        <v>1</v>
      </c>
      <c r="AH189">
        <v>50</v>
      </c>
      <c r="AI189">
        <v>325</v>
      </c>
    </row>
    <row r="190" spans="1:35" x14ac:dyDescent="0.3">
      <c r="A190">
        <v>0</v>
      </c>
      <c r="B190">
        <v>0.74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0.06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0.5</v>
      </c>
      <c r="AE190">
        <v>0</v>
      </c>
      <c r="AF190">
        <v>0</v>
      </c>
      <c r="AG190">
        <v>1</v>
      </c>
      <c r="AH190">
        <v>50</v>
      </c>
      <c r="AI190">
        <v>440</v>
      </c>
    </row>
    <row r="191" spans="1:35" x14ac:dyDescent="0.3">
      <c r="A191">
        <v>0</v>
      </c>
      <c r="B191">
        <v>0.72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0.08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0.5</v>
      </c>
      <c r="AE191">
        <v>0</v>
      </c>
      <c r="AF191">
        <v>0</v>
      </c>
      <c r="AG191">
        <v>1</v>
      </c>
      <c r="AH191">
        <v>50</v>
      </c>
      <c r="AI191">
        <v>403</v>
      </c>
    </row>
    <row r="192" spans="1:35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0.5</v>
      </c>
      <c r="AE192">
        <v>0</v>
      </c>
      <c r="AF192">
        <v>0</v>
      </c>
      <c r="AG192">
        <v>0.5</v>
      </c>
      <c r="AH192">
        <v>50</v>
      </c>
      <c r="AI192">
        <v>98.214285714285708</v>
      </c>
    </row>
    <row r="193" spans="1:35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0.2</v>
      </c>
      <c r="I193">
        <v>0</v>
      </c>
      <c r="J193">
        <v>0</v>
      </c>
      <c r="K193">
        <v>0</v>
      </c>
      <c r="L193">
        <v>0.57000000000000006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0.5</v>
      </c>
      <c r="AE193">
        <v>0</v>
      </c>
      <c r="AF193">
        <v>0</v>
      </c>
      <c r="AG193">
        <v>0.5</v>
      </c>
      <c r="AH193">
        <v>50</v>
      </c>
      <c r="AI193">
        <v>148.57142857142858</v>
      </c>
    </row>
    <row r="194" spans="1:35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0.4</v>
      </c>
      <c r="I194">
        <v>0</v>
      </c>
      <c r="J194">
        <v>0</v>
      </c>
      <c r="K194">
        <v>0</v>
      </c>
      <c r="L194">
        <v>0.37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0.5</v>
      </c>
      <c r="AE194">
        <v>0</v>
      </c>
      <c r="AF194">
        <v>0</v>
      </c>
      <c r="AG194">
        <v>0.5</v>
      </c>
      <c r="AH194">
        <v>50</v>
      </c>
      <c r="AI194">
        <v>332.14285714285717</v>
      </c>
    </row>
    <row r="195" spans="1:35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0.6</v>
      </c>
      <c r="I195">
        <v>0</v>
      </c>
      <c r="J195">
        <v>0</v>
      </c>
      <c r="K195">
        <v>0</v>
      </c>
      <c r="L195">
        <v>0.19000000000000003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0.5</v>
      </c>
      <c r="AE195">
        <v>0</v>
      </c>
      <c r="AF195">
        <v>0</v>
      </c>
      <c r="AG195">
        <v>0.5</v>
      </c>
      <c r="AH195">
        <v>50</v>
      </c>
      <c r="AI195">
        <v>197.14285714285711</v>
      </c>
    </row>
    <row r="196" spans="1:35" x14ac:dyDescent="0.3">
      <c r="A196">
        <v>0</v>
      </c>
      <c r="B196">
        <v>0</v>
      </c>
      <c r="C196">
        <v>0</v>
      </c>
      <c r="D196">
        <v>0</v>
      </c>
      <c r="E196">
        <v>0.55000000000000004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0.25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0.13</v>
      </c>
      <c r="Y196">
        <v>7.0000000000000007E-2</v>
      </c>
      <c r="Z196">
        <v>0</v>
      </c>
      <c r="AA196">
        <v>0</v>
      </c>
      <c r="AB196">
        <v>0</v>
      </c>
      <c r="AC196">
        <v>0</v>
      </c>
      <c r="AD196">
        <v>0.5</v>
      </c>
      <c r="AE196">
        <v>0</v>
      </c>
      <c r="AF196">
        <v>0</v>
      </c>
      <c r="AG196">
        <v>1</v>
      </c>
      <c r="AH196">
        <v>20</v>
      </c>
      <c r="AI196">
        <v>120</v>
      </c>
    </row>
    <row r="197" spans="1:35" x14ac:dyDescent="0.3">
      <c r="A197">
        <v>0</v>
      </c>
      <c r="B197">
        <v>0</v>
      </c>
      <c r="C197">
        <v>0</v>
      </c>
      <c r="D197">
        <v>0</v>
      </c>
      <c r="E197">
        <v>0.7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0.03</v>
      </c>
      <c r="Y197">
        <v>0.02</v>
      </c>
      <c r="Z197">
        <v>0</v>
      </c>
      <c r="AA197">
        <v>0</v>
      </c>
      <c r="AB197">
        <v>0</v>
      </c>
      <c r="AC197">
        <v>0</v>
      </c>
      <c r="AD197">
        <v>0.5</v>
      </c>
      <c r="AE197">
        <v>0</v>
      </c>
      <c r="AF197">
        <v>0</v>
      </c>
      <c r="AG197">
        <v>1</v>
      </c>
      <c r="AH197">
        <v>20</v>
      </c>
      <c r="AI197">
        <v>75</v>
      </c>
    </row>
    <row r="198" spans="1:35" x14ac:dyDescent="0.3">
      <c r="A198">
        <v>0</v>
      </c>
      <c r="B198">
        <v>0</v>
      </c>
      <c r="C198">
        <v>0</v>
      </c>
      <c r="D198">
        <v>0</v>
      </c>
      <c r="E198">
        <v>0.65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0.25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0.06</v>
      </c>
      <c r="Y198">
        <v>0.04</v>
      </c>
      <c r="Z198">
        <v>0</v>
      </c>
      <c r="AA198">
        <v>0</v>
      </c>
      <c r="AB198">
        <v>0</v>
      </c>
      <c r="AC198">
        <v>0</v>
      </c>
      <c r="AD198">
        <v>0.5</v>
      </c>
      <c r="AE198">
        <v>0</v>
      </c>
      <c r="AF198">
        <v>0</v>
      </c>
      <c r="AG198">
        <v>1</v>
      </c>
      <c r="AH198">
        <v>20</v>
      </c>
      <c r="AI198">
        <v>140</v>
      </c>
    </row>
    <row r="199" spans="1:35" x14ac:dyDescent="0.3">
      <c r="A199">
        <v>0</v>
      </c>
      <c r="B199">
        <v>0</v>
      </c>
      <c r="C199">
        <v>0</v>
      </c>
      <c r="D199">
        <v>0</v>
      </c>
      <c r="E199">
        <v>0.45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0.25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0.19</v>
      </c>
      <c r="Y199">
        <v>0.11</v>
      </c>
      <c r="Z199">
        <v>0</v>
      </c>
      <c r="AA199">
        <v>0</v>
      </c>
      <c r="AB199">
        <v>0</v>
      </c>
      <c r="AC199">
        <v>0</v>
      </c>
      <c r="AD199">
        <v>0.5</v>
      </c>
      <c r="AE199">
        <v>0</v>
      </c>
      <c r="AF199">
        <v>0</v>
      </c>
      <c r="AG199">
        <v>1</v>
      </c>
      <c r="AH199">
        <v>20</v>
      </c>
      <c r="AI199">
        <v>85</v>
      </c>
    </row>
    <row r="200" spans="1:35" x14ac:dyDescent="0.3">
      <c r="A200">
        <v>0</v>
      </c>
      <c r="B200">
        <v>0</v>
      </c>
      <c r="C200">
        <v>0</v>
      </c>
      <c r="D200">
        <v>0</v>
      </c>
      <c r="E200">
        <v>0.35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0.26</v>
      </c>
      <c r="Y200">
        <v>0.14000000000000001</v>
      </c>
      <c r="Z200">
        <v>0</v>
      </c>
      <c r="AA200">
        <v>0</v>
      </c>
      <c r="AB200">
        <v>0</v>
      </c>
      <c r="AC200">
        <v>0</v>
      </c>
      <c r="AD200">
        <v>0.5</v>
      </c>
      <c r="AE200">
        <v>0</v>
      </c>
      <c r="AF200">
        <v>0</v>
      </c>
      <c r="AG200">
        <v>1</v>
      </c>
      <c r="AH200">
        <v>20</v>
      </c>
      <c r="AI200">
        <v>38</v>
      </c>
    </row>
    <row r="201" spans="1:35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0.52</v>
      </c>
      <c r="I201">
        <v>0</v>
      </c>
      <c r="J201">
        <v>0</v>
      </c>
      <c r="K201">
        <v>0</v>
      </c>
      <c r="L201">
        <v>0.18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0.5</v>
      </c>
      <c r="AE201">
        <v>0</v>
      </c>
      <c r="AF201">
        <v>0</v>
      </c>
      <c r="AG201">
        <v>0.5</v>
      </c>
      <c r="AH201">
        <v>50</v>
      </c>
      <c r="AI201">
        <v>996.8</v>
      </c>
    </row>
    <row r="202" spans="1:35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0.72000000000000008</v>
      </c>
      <c r="I202">
        <v>0</v>
      </c>
      <c r="J202">
        <v>0</v>
      </c>
      <c r="K202">
        <v>0</v>
      </c>
      <c r="L202">
        <v>0.18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0.5</v>
      </c>
      <c r="AE202">
        <v>0</v>
      </c>
      <c r="AF202">
        <v>0</v>
      </c>
      <c r="AG202">
        <v>0.5</v>
      </c>
      <c r="AH202">
        <v>50</v>
      </c>
      <c r="AI202">
        <v>635.04</v>
      </c>
    </row>
    <row r="203" spans="1:35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0.37</v>
      </c>
      <c r="I203">
        <v>0</v>
      </c>
      <c r="J203">
        <v>0</v>
      </c>
      <c r="K203">
        <v>0</v>
      </c>
      <c r="L203">
        <v>0.18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0.3</v>
      </c>
      <c r="Y203">
        <v>0.15</v>
      </c>
      <c r="Z203">
        <v>0</v>
      </c>
      <c r="AA203">
        <v>0</v>
      </c>
      <c r="AB203">
        <v>0</v>
      </c>
      <c r="AC203">
        <v>0</v>
      </c>
      <c r="AD203">
        <v>0.5</v>
      </c>
      <c r="AE203">
        <v>0</v>
      </c>
      <c r="AF203">
        <v>0</v>
      </c>
      <c r="AG203">
        <v>0.5</v>
      </c>
      <c r="AH203">
        <v>50</v>
      </c>
      <c r="AI203">
        <v>1137.7399999999998</v>
      </c>
    </row>
    <row r="204" spans="1:35" x14ac:dyDescent="0.3">
      <c r="A204">
        <v>0</v>
      </c>
      <c r="B204">
        <v>0</v>
      </c>
      <c r="C204">
        <v>0</v>
      </c>
      <c r="D204">
        <v>0</v>
      </c>
      <c r="E204">
        <v>0.74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0.15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</v>
      </c>
      <c r="AH204">
        <v>100</v>
      </c>
      <c r="AI204">
        <v>431</v>
      </c>
    </row>
    <row r="205" spans="1:35" x14ac:dyDescent="0.3">
      <c r="A205">
        <v>0</v>
      </c>
      <c r="B205">
        <v>0</v>
      </c>
      <c r="C205">
        <v>0</v>
      </c>
      <c r="D205">
        <v>0</v>
      </c>
      <c r="E205">
        <v>0.66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0.15</v>
      </c>
      <c r="Y205">
        <v>0.08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</v>
      </c>
      <c r="AH205">
        <v>100</v>
      </c>
      <c r="AI205">
        <v>906</v>
      </c>
    </row>
    <row r="206" spans="1:35" x14ac:dyDescent="0.3">
      <c r="A206">
        <v>0</v>
      </c>
      <c r="B206">
        <v>0</v>
      </c>
      <c r="C206">
        <v>0</v>
      </c>
      <c r="D206">
        <v>0</v>
      </c>
      <c r="E206">
        <v>0.75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0.15</v>
      </c>
      <c r="Y206">
        <v>0.1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1</v>
      </c>
      <c r="AH206">
        <v>100</v>
      </c>
      <c r="AI206">
        <v>362</v>
      </c>
    </row>
    <row r="207" spans="1:35" x14ac:dyDescent="0.3">
      <c r="A207">
        <v>0</v>
      </c>
      <c r="B207">
        <v>0.73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0.05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0.22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2</v>
      </c>
      <c r="AH207">
        <v>20</v>
      </c>
      <c r="AI207">
        <v>1224</v>
      </c>
    </row>
    <row r="208" spans="1:35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0.74</v>
      </c>
      <c r="I208">
        <v>0</v>
      </c>
      <c r="J208">
        <v>0</v>
      </c>
      <c r="K208">
        <v>0</v>
      </c>
      <c r="L208">
        <v>0</v>
      </c>
      <c r="M208">
        <v>0.05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2</v>
      </c>
      <c r="AH208">
        <v>20</v>
      </c>
      <c r="AI208">
        <v>435</v>
      </c>
    </row>
    <row r="209" spans="1:35" x14ac:dyDescent="0.3">
      <c r="A209">
        <v>0</v>
      </c>
      <c r="B209">
        <v>0.17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0.2</v>
      </c>
      <c r="Y209">
        <v>0</v>
      </c>
      <c r="Z209">
        <v>0</v>
      </c>
      <c r="AA209">
        <v>0.63</v>
      </c>
      <c r="AB209">
        <v>0</v>
      </c>
      <c r="AC209">
        <v>0</v>
      </c>
      <c r="AD209">
        <v>0.5</v>
      </c>
      <c r="AE209">
        <v>0</v>
      </c>
      <c r="AF209">
        <v>0</v>
      </c>
      <c r="AG209">
        <v>1</v>
      </c>
      <c r="AH209">
        <v>20</v>
      </c>
      <c r="AI209">
        <v>415.49999999999994</v>
      </c>
    </row>
    <row r="210" spans="1:35" x14ac:dyDescent="0.3">
      <c r="A210">
        <v>0</v>
      </c>
      <c r="B210">
        <v>0.38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0.2</v>
      </c>
      <c r="Y210">
        <v>0</v>
      </c>
      <c r="Z210">
        <v>0</v>
      </c>
      <c r="AA210">
        <v>0.42</v>
      </c>
      <c r="AB210">
        <v>0</v>
      </c>
      <c r="AC210">
        <v>0</v>
      </c>
      <c r="AD210">
        <v>0.5</v>
      </c>
      <c r="AE210">
        <v>0</v>
      </c>
      <c r="AF210">
        <v>0</v>
      </c>
      <c r="AG210">
        <v>1</v>
      </c>
      <c r="AH210">
        <v>20</v>
      </c>
      <c r="AI210">
        <v>365</v>
      </c>
    </row>
    <row r="211" spans="1:35" x14ac:dyDescent="0.3">
      <c r="A211">
        <v>0</v>
      </c>
      <c r="B211">
        <v>0.2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0.2</v>
      </c>
      <c r="Y211">
        <v>0</v>
      </c>
      <c r="Z211">
        <v>0</v>
      </c>
      <c r="AA211">
        <v>0.6</v>
      </c>
      <c r="AB211">
        <v>0</v>
      </c>
      <c r="AC211">
        <v>0</v>
      </c>
      <c r="AD211">
        <v>0.5</v>
      </c>
      <c r="AE211">
        <v>0</v>
      </c>
      <c r="AF211">
        <v>0</v>
      </c>
      <c r="AG211">
        <v>1</v>
      </c>
      <c r="AH211">
        <v>20</v>
      </c>
      <c r="AI211">
        <v>285</v>
      </c>
    </row>
    <row r="212" spans="1:35" x14ac:dyDescent="0.3">
      <c r="A212">
        <v>0</v>
      </c>
      <c r="B212">
        <v>0.12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0.2</v>
      </c>
      <c r="Y212">
        <v>0</v>
      </c>
      <c r="Z212">
        <v>0</v>
      </c>
      <c r="AA212">
        <v>0.68</v>
      </c>
      <c r="AB212">
        <v>0</v>
      </c>
      <c r="AC212">
        <v>0</v>
      </c>
      <c r="AD212">
        <v>0.5</v>
      </c>
      <c r="AE212">
        <v>0</v>
      </c>
      <c r="AF212">
        <v>0</v>
      </c>
      <c r="AG212">
        <v>1</v>
      </c>
      <c r="AH212">
        <v>5</v>
      </c>
      <c r="AI212">
        <v>211.49999999999997</v>
      </c>
    </row>
    <row r="213" spans="1:35" x14ac:dyDescent="0.3">
      <c r="A213">
        <v>0</v>
      </c>
      <c r="B213">
        <v>0.23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</v>
      </c>
      <c r="Y213">
        <v>0</v>
      </c>
      <c r="Z213">
        <v>0</v>
      </c>
      <c r="AA213">
        <v>0.57000000000000006</v>
      </c>
      <c r="AB213">
        <v>0</v>
      </c>
      <c r="AC213">
        <v>0</v>
      </c>
      <c r="AD213">
        <v>0.5</v>
      </c>
      <c r="AE213">
        <v>0</v>
      </c>
      <c r="AF213">
        <v>0</v>
      </c>
      <c r="AG213">
        <v>1</v>
      </c>
      <c r="AH213">
        <v>5</v>
      </c>
      <c r="AI213">
        <v>226</v>
      </c>
    </row>
    <row r="214" spans="1:35" x14ac:dyDescent="0.3">
      <c r="A214">
        <v>0</v>
      </c>
      <c r="B214">
        <v>0.41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</v>
      </c>
      <c r="Y214">
        <v>0</v>
      </c>
      <c r="Z214">
        <v>0</v>
      </c>
      <c r="AA214">
        <v>0.39000000000000007</v>
      </c>
      <c r="AB214">
        <v>0</v>
      </c>
      <c r="AC214">
        <v>0</v>
      </c>
      <c r="AD214">
        <v>0.5</v>
      </c>
      <c r="AE214">
        <v>0</v>
      </c>
      <c r="AF214">
        <v>0</v>
      </c>
      <c r="AG214">
        <v>1</v>
      </c>
      <c r="AH214">
        <v>5</v>
      </c>
      <c r="AI214">
        <v>238.99999999999997</v>
      </c>
    </row>
    <row r="215" spans="1:35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0.73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0.09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0.18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0.5</v>
      </c>
      <c r="AE215">
        <v>0</v>
      </c>
      <c r="AF215">
        <v>0</v>
      </c>
      <c r="AG215">
        <v>1</v>
      </c>
      <c r="AH215">
        <v>20</v>
      </c>
      <c r="AI215">
        <v>700</v>
      </c>
    </row>
    <row r="216" spans="1:35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0.67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0.5</v>
      </c>
      <c r="AE216">
        <v>0</v>
      </c>
      <c r="AF216">
        <v>0</v>
      </c>
      <c r="AG216">
        <v>1</v>
      </c>
      <c r="AH216">
        <v>20</v>
      </c>
      <c r="AI216">
        <v>1093</v>
      </c>
    </row>
    <row r="217" spans="1:35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0.62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0.15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0.5</v>
      </c>
      <c r="AE217">
        <v>0</v>
      </c>
      <c r="AF217">
        <v>0</v>
      </c>
      <c r="AG217">
        <v>1</v>
      </c>
      <c r="AH217">
        <v>20</v>
      </c>
      <c r="AI217">
        <v>550</v>
      </c>
    </row>
    <row r="218" spans="1:35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</v>
      </c>
      <c r="I218">
        <v>0</v>
      </c>
      <c r="J218">
        <v>0</v>
      </c>
      <c r="K218">
        <v>0.05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0.5</v>
      </c>
      <c r="AE218">
        <v>0</v>
      </c>
      <c r="AF218">
        <v>0</v>
      </c>
      <c r="AG218">
        <v>0.1</v>
      </c>
      <c r="AH218">
        <v>10</v>
      </c>
      <c r="AI218">
        <v>23.333333333333336</v>
      </c>
    </row>
    <row r="219" spans="1:35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</v>
      </c>
      <c r="I219">
        <v>0</v>
      </c>
      <c r="J219">
        <v>0</v>
      </c>
      <c r="K219">
        <v>0.05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0.5</v>
      </c>
      <c r="AE219">
        <v>0</v>
      </c>
      <c r="AF219">
        <v>0</v>
      </c>
      <c r="AG219">
        <v>0.2</v>
      </c>
      <c r="AH219">
        <v>10</v>
      </c>
      <c r="AI219">
        <v>45</v>
      </c>
    </row>
    <row r="220" spans="1:35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0.7</v>
      </c>
      <c r="I220">
        <v>0</v>
      </c>
      <c r="J220">
        <v>0</v>
      </c>
      <c r="K220">
        <v>0.05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0.5</v>
      </c>
      <c r="AE220">
        <v>0</v>
      </c>
      <c r="AF220">
        <v>0</v>
      </c>
      <c r="AG220">
        <v>0.3</v>
      </c>
      <c r="AH220">
        <v>10</v>
      </c>
      <c r="AI220">
        <v>68.333333333333343</v>
      </c>
    </row>
    <row r="221" spans="1:35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0.7</v>
      </c>
      <c r="I221">
        <v>0</v>
      </c>
      <c r="J221">
        <v>0</v>
      </c>
      <c r="K221">
        <v>0.05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0.5</v>
      </c>
      <c r="AE221">
        <v>0</v>
      </c>
      <c r="AF221">
        <v>0</v>
      </c>
      <c r="AG221">
        <v>0.4</v>
      </c>
      <c r="AH221">
        <v>10</v>
      </c>
      <c r="AI221">
        <v>87.166666666666671</v>
      </c>
    </row>
    <row r="222" spans="1:35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0.7</v>
      </c>
      <c r="I222">
        <v>0</v>
      </c>
      <c r="J222">
        <v>0</v>
      </c>
      <c r="K222">
        <v>0.05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0.25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0.5</v>
      </c>
      <c r="AE222">
        <v>0</v>
      </c>
      <c r="AF222">
        <v>0</v>
      </c>
      <c r="AG222">
        <v>0.5</v>
      </c>
      <c r="AH222">
        <v>10</v>
      </c>
      <c r="AI222">
        <v>102.00000000000001</v>
      </c>
    </row>
    <row r="223" spans="1:35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0.7</v>
      </c>
      <c r="I223">
        <v>0</v>
      </c>
      <c r="J223">
        <v>0</v>
      </c>
      <c r="K223">
        <v>0.05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0.25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0.5</v>
      </c>
      <c r="AE223">
        <v>0</v>
      </c>
      <c r="AF223">
        <v>0</v>
      </c>
      <c r="AG223">
        <v>0.6</v>
      </c>
      <c r="AH223">
        <v>10</v>
      </c>
      <c r="AI223">
        <v>113.83333333333333</v>
      </c>
    </row>
    <row r="224" spans="1:35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</v>
      </c>
      <c r="I224">
        <v>0</v>
      </c>
      <c r="J224">
        <v>0</v>
      </c>
      <c r="K224">
        <v>0.05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0.5</v>
      </c>
      <c r="AE224">
        <v>0</v>
      </c>
      <c r="AF224">
        <v>0</v>
      </c>
      <c r="AG224">
        <v>0.6</v>
      </c>
      <c r="AH224">
        <v>100</v>
      </c>
      <c r="AI224">
        <v>140</v>
      </c>
    </row>
    <row r="225" spans="1:35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0.7</v>
      </c>
      <c r="I225">
        <v>0</v>
      </c>
      <c r="J225">
        <v>0</v>
      </c>
      <c r="K225">
        <v>0.05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0.5</v>
      </c>
      <c r="AE225">
        <v>0</v>
      </c>
      <c r="AF225">
        <v>0</v>
      </c>
      <c r="AG225">
        <v>0.6</v>
      </c>
      <c r="AH225">
        <v>80</v>
      </c>
      <c r="AI225">
        <v>135</v>
      </c>
    </row>
    <row r="226" spans="1:35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0.7</v>
      </c>
      <c r="I226">
        <v>0</v>
      </c>
      <c r="J226">
        <v>0</v>
      </c>
      <c r="K226">
        <v>0.05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0.5</v>
      </c>
      <c r="AE226">
        <v>0</v>
      </c>
      <c r="AF226">
        <v>0</v>
      </c>
      <c r="AG226">
        <v>0.6</v>
      </c>
      <c r="AH226">
        <v>60</v>
      </c>
      <c r="AI226">
        <v>131.66666666666669</v>
      </c>
    </row>
    <row r="227" spans="1:35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0.7</v>
      </c>
      <c r="I227">
        <v>0</v>
      </c>
      <c r="J227">
        <v>0</v>
      </c>
      <c r="K227">
        <v>0.05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0.5</v>
      </c>
      <c r="AE227">
        <v>0</v>
      </c>
      <c r="AF227">
        <v>0</v>
      </c>
      <c r="AG227">
        <v>0.6</v>
      </c>
      <c r="AH227">
        <v>40</v>
      </c>
      <c r="AI227">
        <v>123.33333333333334</v>
      </c>
    </row>
    <row r="228" spans="1:35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0.7</v>
      </c>
      <c r="I228">
        <v>0</v>
      </c>
      <c r="J228">
        <v>0</v>
      </c>
      <c r="K228">
        <v>0.05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0.5</v>
      </c>
      <c r="AE228">
        <v>0</v>
      </c>
      <c r="AF228">
        <v>0</v>
      </c>
      <c r="AG228">
        <v>0.6</v>
      </c>
      <c r="AH228">
        <v>20</v>
      </c>
      <c r="AI228">
        <v>116.66666666666667</v>
      </c>
    </row>
    <row r="229" spans="1:35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</v>
      </c>
      <c r="I229">
        <v>0</v>
      </c>
      <c r="J229">
        <v>0</v>
      </c>
      <c r="K229">
        <v>0.05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0.5</v>
      </c>
      <c r="AE229">
        <v>0</v>
      </c>
      <c r="AF229">
        <v>0</v>
      </c>
      <c r="AG229">
        <v>0.6</v>
      </c>
      <c r="AH229">
        <v>5</v>
      </c>
      <c r="AI229">
        <v>128</v>
      </c>
    </row>
    <row r="230" spans="1:35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</v>
      </c>
      <c r="I230">
        <v>0</v>
      </c>
      <c r="J230">
        <v>0</v>
      </c>
      <c r="K230">
        <v>0.05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0.5</v>
      </c>
      <c r="AE230">
        <v>0</v>
      </c>
      <c r="AF230">
        <v>0</v>
      </c>
      <c r="AG230">
        <v>0.6</v>
      </c>
      <c r="AH230">
        <v>2.5</v>
      </c>
      <c r="AI230">
        <v>100</v>
      </c>
    </row>
    <row r="231" spans="1:35" x14ac:dyDescent="0.3">
      <c r="A231">
        <v>0</v>
      </c>
      <c r="B231">
        <v>0</v>
      </c>
      <c r="C231">
        <v>0</v>
      </c>
      <c r="D231">
        <v>0</v>
      </c>
      <c r="E231">
        <v>0.6399999999999999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0.16000000000000003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0.5</v>
      </c>
      <c r="AE231">
        <v>0</v>
      </c>
      <c r="AF231">
        <v>0</v>
      </c>
      <c r="AG231">
        <v>1</v>
      </c>
      <c r="AH231">
        <v>50</v>
      </c>
      <c r="AI231">
        <v>610</v>
      </c>
    </row>
    <row r="232" spans="1:35" x14ac:dyDescent="0.3">
      <c r="A232">
        <v>0</v>
      </c>
      <c r="B232">
        <v>0</v>
      </c>
      <c r="C232">
        <v>0</v>
      </c>
      <c r="D232">
        <v>0</v>
      </c>
      <c r="E232">
        <v>0.60000000000000009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0.5</v>
      </c>
      <c r="AE232">
        <v>0</v>
      </c>
      <c r="AF232">
        <v>0</v>
      </c>
      <c r="AG232">
        <v>1</v>
      </c>
      <c r="AH232">
        <v>50</v>
      </c>
      <c r="AI232">
        <v>780</v>
      </c>
    </row>
    <row r="233" spans="1:35" x14ac:dyDescent="0.3">
      <c r="A233">
        <v>0</v>
      </c>
      <c r="B233">
        <v>0</v>
      </c>
      <c r="C233">
        <v>0</v>
      </c>
      <c r="D233">
        <v>0</v>
      </c>
      <c r="E233">
        <v>0.56000000000000005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0.24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0.5</v>
      </c>
      <c r="AE233">
        <v>0</v>
      </c>
      <c r="AF233">
        <v>0</v>
      </c>
      <c r="AG233">
        <v>1</v>
      </c>
      <c r="AH233">
        <v>50</v>
      </c>
      <c r="AI233">
        <v>970</v>
      </c>
    </row>
    <row r="234" spans="1:35" x14ac:dyDescent="0.3">
      <c r="A234">
        <v>0</v>
      </c>
      <c r="B234">
        <v>0</v>
      </c>
      <c r="C234">
        <v>0</v>
      </c>
      <c r="D234">
        <v>0</v>
      </c>
      <c r="E234">
        <v>0.47999999999999993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0.32000000000000006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0.5</v>
      </c>
      <c r="AE234">
        <v>0</v>
      </c>
      <c r="AF234">
        <v>0</v>
      </c>
      <c r="AG234">
        <v>1</v>
      </c>
      <c r="AH234">
        <v>50</v>
      </c>
      <c r="AI234">
        <v>803</v>
      </c>
    </row>
    <row r="235" spans="1:35" x14ac:dyDescent="0.3">
      <c r="A235">
        <v>0</v>
      </c>
      <c r="B235">
        <v>0</v>
      </c>
      <c r="C235">
        <v>0</v>
      </c>
      <c r="D235">
        <v>0</v>
      </c>
      <c r="E235">
        <v>0.39999999999999997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0.5</v>
      </c>
      <c r="AE235">
        <v>0</v>
      </c>
      <c r="AF235">
        <v>0</v>
      </c>
      <c r="AG235">
        <v>1</v>
      </c>
      <c r="AH235">
        <v>50</v>
      </c>
      <c r="AI235">
        <v>625</v>
      </c>
    </row>
    <row r="236" spans="1:35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0.48999999999999994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0.33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0.18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0.5</v>
      </c>
      <c r="AE236">
        <v>0</v>
      </c>
      <c r="AF236">
        <v>0</v>
      </c>
      <c r="AG236">
        <v>1</v>
      </c>
      <c r="AH236">
        <v>25</v>
      </c>
      <c r="AI236">
        <v>300</v>
      </c>
    </row>
    <row r="237" spans="1:35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0.49999999999999989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0.34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0.16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0.5</v>
      </c>
      <c r="AE237">
        <v>0</v>
      </c>
      <c r="AF237">
        <v>0</v>
      </c>
      <c r="AG237">
        <v>1</v>
      </c>
      <c r="AH237">
        <v>25</v>
      </c>
      <c r="AI237">
        <v>410</v>
      </c>
    </row>
    <row r="238" spans="1:35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0.27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0.14000000000000001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0.5</v>
      </c>
      <c r="AE238">
        <v>0</v>
      </c>
      <c r="AF238">
        <v>0</v>
      </c>
      <c r="AG238">
        <v>1</v>
      </c>
      <c r="AH238">
        <v>25</v>
      </c>
      <c r="AI238">
        <v>282</v>
      </c>
    </row>
    <row r="239" spans="1:35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0.15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0.05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50</v>
      </c>
      <c r="AI239">
        <v>180</v>
      </c>
    </row>
    <row r="240" spans="1:35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0.15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0.05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50</v>
      </c>
      <c r="AI240">
        <v>269</v>
      </c>
    </row>
    <row r="241" spans="1:35" x14ac:dyDescent="0.3">
      <c r="A241">
        <v>0</v>
      </c>
      <c r="B241">
        <v>0.15</v>
      </c>
      <c r="C241">
        <v>0</v>
      </c>
      <c r="D241">
        <v>0</v>
      </c>
      <c r="E241">
        <v>0.44999999999999996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0.26</v>
      </c>
      <c r="Y241">
        <v>0.14000000000000001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1</v>
      </c>
      <c r="AH241">
        <v>50</v>
      </c>
      <c r="AI241">
        <v>25</v>
      </c>
    </row>
    <row r="242" spans="1:35" x14ac:dyDescent="0.3">
      <c r="A242">
        <v>0</v>
      </c>
      <c r="B242">
        <v>0.3</v>
      </c>
      <c r="C242">
        <v>0</v>
      </c>
      <c r="D242">
        <v>0</v>
      </c>
      <c r="E242">
        <v>0.3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0.26</v>
      </c>
      <c r="Y242">
        <v>0.14000000000000001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1</v>
      </c>
      <c r="AH242">
        <v>50</v>
      </c>
      <c r="AI242">
        <v>41.666666666666664</v>
      </c>
    </row>
    <row r="243" spans="1:35" x14ac:dyDescent="0.3">
      <c r="A243">
        <v>0</v>
      </c>
      <c r="B243">
        <v>0.44999999999999996</v>
      </c>
      <c r="C243">
        <v>0</v>
      </c>
      <c r="D243">
        <v>0</v>
      </c>
      <c r="E243">
        <v>0.15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0.26</v>
      </c>
      <c r="Y243">
        <v>0.14000000000000001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50</v>
      </c>
      <c r="AI243">
        <v>15</v>
      </c>
    </row>
    <row r="244" spans="1:35" x14ac:dyDescent="0.3">
      <c r="A244">
        <v>0</v>
      </c>
      <c r="B244">
        <v>0.70000000000000007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0.21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0.5</v>
      </c>
      <c r="AE244">
        <v>0</v>
      </c>
      <c r="AF244">
        <v>0</v>
      </c>
      <c r="AG244">
        <v>0.5</v>
      </c>
      <c r="AH244">
        <v>50</v>
      </c>
      <c r="AI244">
        <v>372</v>
      </c>
    </row>
    <row r="245" spans="1:35" x14ac:dyDescent="0.3">
      <c r="A245">
        <v>0</v>
      </c>
      <c r="B245">
        <v>0.62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0.17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0.5</v>
      </c>
      <c r="AE245">
        <v>0</v>
      </c>
      <c r="AF245">
        <v>0</v>
      </c>
      <c r="AG245">
        <v>0.5</v>
      </c>
      <c r="AH245">
        <v>50</v>
      </c>
      <c r="AI245">
        <v>610</v>
      </c>
    </row>
    <row r="246" spans="1:35" x14ac:dyDescent="0.3">
      <c r="A246">
        <v>0</v>
      </c>
      <c r="B246">
        <v>0.51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0.27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0.22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0.5</v>
      </c>
      <c r="AE246">
        <v>0</v>
      </c>
      <c r="AF246">
        <v>0</v>
      </c>
      <c r="AG246">
        <v>0.5</v>
      </c>
      <c r="AH246">
        <v>50</v>
      </c>
      <c r="AI246">
        <v>280</v>
      </c>
    </row>
    <row r="247" spans="1:35" x14ac:dyDescent="0.3">
      <c r="A247">
        <v>0</v>
      </c>
      <c r="B247">
        <v>0.56000000000000005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0.04</v>
      </c>
      <c r="W247">
        <v>0</v>
      </c>
      <c r="X247">
        <v>0.4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0.1</v>
      </c>
      <c r="AF247">
        <v>0</v>
      </c>
      <c r="AG247">
        <v>1</v>
      </c>
      <c r="AH247">
        <v>50</v>
      </c>
      <c r="AI247">
        <v>210</v>
      </c>
    </row>
    <row r="248" spans="1:35" x14ac:dyDescent="0.3">
      <c r="A248">
        <v>0</v>
      </c>
      <c r="B248">
        <v>0.42000000000000004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0.14000000000000001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0.04</v>
      </c>
      <c r="W248">
        <v>0</v>
      </c>
      <c r="X248">
        <v>0.4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0.1</v>
      </c>
      <c r="AF248">
        <v>0</v>
      </c>
      <c r="AG248">
        <v>1</v>
      </c>
      <c r="AH248">
        <v>50</v>
      </c>
      <c r="AI248">
        <v>360</v>
      </c>
    </row>
    <row r="249" spans="1:35" x14ac:dyDescent="0.3">
      <c r="A249">
        <v>0</v>
      </c>
      <c r="B249">
        <v>7.0000000000000007E-2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0.17</v>
      </c>
      <c r="Y249">
        <v>0</v>
      </c>
      <c r="Z249">
        <v>0</v>
      </c>
      <c r="AA249">
        <v>0.76</v>
      </c>
      <c r="AB249">
        <v>0</v>
      </c>
      <c r="AC249">
        <v>0</v>
      </c>
      <c r="AD249">
        <v>0.5</v>
      </c>
      <c r="AE249">
        <v>0</v>
      </c>
      <c r="AF249">
        <v>0</v>
      </c>
      <c r="AG249">
        <v>1</v>
      </c>
      <c r="AH249">
        <v>50</v>
      </c>
      <c r="AI249">
        <v>324</v>
      </c>
    </row>
    <row r="250" spans="1:35" x14ac:dyDescent="0.3">
      <c r="A250">
        <v>0</v>
      </c>
      <c r="B250">
        <v>0.86399999999999999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3.6000000000000004E-2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0.5</v>
      </c>
      <c r="AE250">
        <v>0</v>
      </c>
      <c r="AF250">
        <v>0</v>
      </c>
      <c r="AG250">
        <v>0.5</v>
      </c>
      <c r="AH250">
        <v>20</v>
      </c>
      <c r="AI250">
        <v>47</v>
      </c>
    </row>
    <row r="251" spans="1:35" x14ac:dyDescent="0.3">
      <c r="A251">
        <v>0</v>
      </c>
      <c r="B251">
        <v>0.85680000000000001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4.3200000000000002E-2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0.5</v>
      </c>
      <c r="AE251">
        <v>0</v>
      </c>
      <c r="AF251">
        <v>0</v>
      </c>
      <c r="AG251">
        <v>0.5</v>
      </c>
      <c r="AH251">
        <v>20</v>
      </c>
      <c r="AI251">
        <v>161</v>
      </c>
    </row>
    <row r="252" spans="1:35" x14ac:dyDescent="0.3">
      <c r="A252">
        <v>0</v>
      </c>
      <c r="B252">
        <v>0.84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0.06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0.5</v>
      </c>
      <c r="AE252">
        <v>0</v>
      </c>
      <c r="AF252">
        <v>0</v>
      </c>
      <c r="AG252">
        <v>0.5</v>
      </c>
      <c r="AH252">
        <v>20</v>
      </c>
      <c r="AI252">
        <v>119</v>
      </c>
    </row>
    <row r="253" spans="1:35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0.83</v>
      </c>
      <c r="I253">
        <v>0</v>
      </c>
      <c r="J253">
        <v>7.0000000000000007E-2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0.5</v>
      </c>
      <c r="AE253">
        <v>0</v>
      </c>
      <c r="AF253">
        <v>0</v>
      </c>
      <c r="AG253">
        <v>0.5</v>
      </c>
      <c r="AH253">
        <v>20</v>
      </c>
      <c r="AI253">
        <v>87</v>
      </c>
    </row>
    <row r="254" spans="1:35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0.78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0.15</v>
      </c>
      <c r="Y254">
        <v>7.0000000000000007E-2</v>
      </c>
      <c r="Z254">
        <v>0</v>
      </c>
      <c r="AA254">
        <v>0</v>
      </c>
      <c r="AB254">
        <v>0</v>
      </c>
      <c r="AC254">
        <v>0</v>
      </c>
      <c r="AD254">
        <v>0.5</v>
      </c>
      <c r="AE254">
        <v>0</v>
      </c>
      <c r="AF254">
        <v>0</v>
      </c>
      <c r="AG254">
        <v>1</v>
      </c>
      <c r="AH254">
        <v>50</v>
      </c>
      <c r="AI254">
        <v>40.333333333333336</v>
      </c>
    </row>
    <row r="255" spans="1:35" x14ac:dyDescent="0.3">
      <c r="A255">
        <v>0</v>
      </c>
      <c r="B255">
        <v>0</v>
      </c>
      <c r="C255">
        <v>0</v>
      </c>
      <c r="D255">
        <v>0</v>
      </c>
      <c r="E255">
        <v>0.78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0.16</v>
      </c>
      <c r="Y255">
        <v>0.06</v>
      </c>
      <c r="Z255">
        <v>0</v>
      </c>
      <c r="AA255">
        <v>0</v>
      </c>
      <c r="AB255">
        <v>0</v>
      </c>
      <c r="AC255">
        <v>0</v>
      </c>
      <c r="AD255">
        <v>0.5</v>
      </c>
      <c r="AE255">
        <v>0</v>
      </c>
      <c r="AF255">
        <v>0</v>
      </c>
      <c r="AG255">
        <v>1</v>
      </c>
      <c r="AH255">
        <v>50</v>
      </c>
      <c r="AI255">
        <v>60.637499999999996</v>
      </c>
    </row>
    <row r="256" spans="1:35" x14ac:dyDescent="0.3">
      <c r="A256">
        <v>0</v>
      </c>
      <c r="B256">
        <v>0</v>
      </c>
      <c r="C256">
        <v>0</v>
      </c>
      <c r="D256">
        <v>0</v>
      </c>
      <c r="E256">
        <v>0.76</v>
      </c>
      <c r="F256">
        <v>0</v>
      </c>
      <c r="G256">
        <v>0</v>
      </c>
      <c r="H256">
        <v>0</v>
      </c>
      <c r="I256">
        <v>0.05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0.14000000000000001</v>
      </c>
      <c r="Y256">
        <v>0.05</v>
      </c>
      <c r="Z256">
        <v>0</v>
      </c>
      <c r="AA256">
        <v>0</v>
      </c>
      <c r="AB256">
        <v>0</v>
      </c>
      <c r="AC256">
        <v>0</v>
      </c>
      <c r="AD256">
        <v>0.5</v>
      </c>
      <c r="AE256">
        <v>0</v>
      </c>
      <c r="AF256">
        <v>0</v>
      </c>
      <c r="AG256">
        <v>1</v>
      </c>
      <c r="AH256">
        <v>50</v>
      </c>
      <c r="AI256">
        <v>112.23571428571428</v>
      </c>
    </row>
    <row r="257" spans="1:35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0.83</v>
      </c>
      <c r="H257">
        <v>0</v>
      </c>
      <c r="I257">
        <v>0.04</v>
      </c>
      <c r="J257">
        <v>0.01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0.12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0.5</v>
      </c>
      <c r="AE257">
        <v>0</v>
      </c>
      <c r="AF257">
        <v>0</v>
      </c>
      <c r="AG257">
        <v>1</v>
      </c>
      <c r="AH257">
        <v>50</v>
      </c>
      <c r="AI257">
        <v>505</v>
      </c>
    </row>
    <row r="258" spans="1:35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0.81</v>
      </c>
      <c r="H258">
        <v>0</v>
      </c>
      <c r="I258">
        <v>0.04</v>
      </c>
      <c r="J258">
        <v>0.01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0.14000000000000001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0.5</v>
      </c>
      <c r="AE258">
        <v>0</v>
      </c>
      <c r="AF258">
        <v>0</v>
      </c>
      <c r="AG258">
        <v>1</v>
      </c>
      <c r="AH258">
        <v>50</v>
      </c>
      <c r="AI258">
        <v>469</v>
      </c>
    </row>
    <row r="259" spans="1:35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0.67</v>
      </c>
      <c r="I259">
        <v>0</v>
      </c>
      <c r="J259">
        <v>0</v>
      </c>
      <c r="K259">
        <v>0.01</v>
      </c>
      <c r="L259">
        <v>0.20999999999999996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0.11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0.5</v>
      </c>
      <c r="AE259">
        <v>0</v>
      </c>
      <c r="AF259">
        <v>0</v>
      </c>
      <c r="AG259">
        <v>1</v>
      </c>
      <c r="AH259">
        <v>50</v>
      </c>
      <c r="AI259">
        <v>425</v>
      </c>
    </row>
    <row r="260" spans="1:35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0.67</v>
      </c>
      <c r="I260">
        <v>0</v>
      </c>
      <c r="J260">
        <v>0</v>
      </c>
      <c r="K260">
        <v>0.02</v>
      </c>
      <c r="L260">
        <v>0.19999999999999996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0.11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0.5</v>
      </c>
      <c r="AE260">
        <v>0</v>
      </c>
      <c r="AF260">
        <v>0</v>
      </c>
      <c r="AG260">
        <v>1</v>
      </c>
      <c r="AH260">
        <v>50</v>
      </c>
      <c r="AI260">
        <v>674</v>
      </c>
    </row>
    <row r="261" spans="1:35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0.67</v>
      </c>
      <c r="I261">
        <v>0</v>
      </c>
      <c r="J261">
        <v>0</v>
      </c>
      <c r="K261">
        <v>0.04</v>
      </c>
      <c r="L261">
        <v>0.18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0.11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0.5</v>
      </c>
      <c r="AE261">
        <v>0</v>
      </c>
      <c r="AF261">
        <v>0</v>
      </c>
      <c r="AG261">
        <v>1</v>
      </c>
      <c r="AH261">
        <v>50</v>
      </c>
      <c r="AI261">
        <v>600</v>
      </c>
    </row>
    <row r="262" spans="1:35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0.67</v>
      </c>
      <c r="I262">
        <v>0</v>
      </c>
      <c r="J262">
        <v>0</v>
      </c>
      <c r="K262">
        <v>0</v>
      </c>
      <c r="L262">
        <v>0.22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0.11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0.5</v>
      </c>
      <c r="AE262">
        <v>0</v>
      </c>
      <c r="AF262">
        <v>0</v>
      </c>
      <c r="AG262">
        <v>1</v>
      </c>
      <c r="AH262">
        <v>50</v>
      </c>
      <c r="AI262">
        <v>449</v>
      </c>
    </row>
    <row r="263" spans="1:35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0.56000000000000005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0.2</v>
      </c>
      <c r="Y263">
        <v>0</v>
      </c>
      <c r="Z263">
        <v>0.04</v>
      </c>
      <c r="AA263">
        <v>0.2</v>
      </c>
      <c r="AB263">
        <v>0</v>
      </c>
      <c r="AC263">
        <v>0</v>
      </c>
      <c r="AD263">
        <v>0.5</v>
      </c>
      <c r="AE263">
        <v>0</v>
      </c>
      <c r="AF263">
        <v>0</v>
      </c>
      <c r="AG263">
        <v>0.5</v>
      </c>
      <c r="AH263">
        <v>50</v>
      </c>
      <c r="AI263">
        <v>450</v>
      </c>
    </row>
    <row r="264" spans="1:35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0.56000000000000005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0.2</v>
      </c>
      <c r="Y264">
        <v>0</v>
      </c>
      <c r="Z264">
        <v>0.08</v>
      </c>
      <c r="AA264">
        <v>0.16</v>
      </c>
      <c r="AB264">
        <v>0</v>
      </c>
      <c r="AC264">
        <v>0</v>
      </c>
      <c r="AD264">
        <v>0.5</v>
      </c>
      <c r="AE264">
        <v>0</v>
      </c>
      <c r="AF264">
        <v>0</v>
      </c>
      <c r="AG264">
        <v>0.5</v>
      </c>
      <c r="AH264">
        <v>50</v>
      </c>
      <c r="AI264">
        <v>400</v>
      </c>
    </row>
    <row r="265" spans="1:35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0.56000000000000005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0.2</v>
      </c>
      <c r="Y265">
        <v>0</v>
      </c>
      <c r="Z265">
        <v>0.11</v>
      </c>
      <c r="AA265">
        <v>0.13</v>
      </c>
      <c r="AB265">
        <v>0</v>
      </c>
      <c r="AC265">
        <v>0</v>
      </c>
      <c r="AD265">
        <v>0.5</v>
      </c>
      <c r="AE265">
        <v>0</v>
      </c>
      <c r="AF265">
        <v>0</v>
      </c>
      <c r="AG265">
        <v>0.5</v>
      </c>
      <c r="AH265">
        <v>50</v>
      </c>
      <c r="AI265">
        <v>350</v>
      </c>
    </row>
    <row r="266" spans="1:35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0.64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0.2</v>
      </c>
      <c r="Y266">
        <v>0</v>
      </c>
      <c r="Z266">
        <v>0.03</v>
      </c>
      <c r="AA266">
        <v>0.13</v>
      </c>
      <c r="AB266">
        <v>0</v>
      </c>
      <c r="AC266">
        <v>0</v>
      </c>
      <c r="AD266">
        <v>0.5</v>
      </c>
      <c r="AE266">
        <v>0</v>
      </c>
      <c r="AF266">
        <v>0</v>
      </c>
      <c r="AG266">
        <v>0.5</v>
      </c>
      <c r="AH266">
        <v>50</v>
      </c>
      <c r="AI266">
        <v>380</v>
      </c>
    </row>
    <row r="267" spans="1:35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0.48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0.2</v>
      </c>
      <c r="Y267">
        <v>0</v>
      </c>
      <c r="Z267">
        <v>0.05</v>
      </c>
      <c r="AA267">
        <v>0.27</v>
      </c>
      <c r="AB267">
        <v>0</v>
      </c>
      <c r="AC267">
        <v>0</v>
      </c>
      <c r="AD267">
        <v>0.5</v>
      </c>
      <c r="AE267">
        <v>0</v>
      </c>
      <c r="AF267">
        <v>0</v>
      </c>
      <c r="AG267">
        <v>0.5</v>
      </c>
      <c r="AH267">
        <v>50</v>
      </c>
      <c r="AI267">
        <v>325</v>
      </c>
    </row>
    <row r="268" spans="1:35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0.56000000000000005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0.2</v>
      </c>
      <c r="Y268">
        <v>0</v>
      </c>
      <c r="Z268">
        <v>0</v>
      </c>
      <c r="AA268">
        <v>0.24</v>
      </c>
      <c r="AB268">
        <v>0</v>
      </c>
      <c r="AC268">
        <v>0</v>
      </c>
      <c r="AD268">
        <v>0.5</v>
      </c>
      <c r="AE268">
        <v>0</v>
      </c>
      <c r="AF268">
        <v>0</v>
      </c>
      <c r="AG268">
        <v>0.5</v>
      </c>
      <c r="AH268">
        <v>50</v>
      </c>
      <c r="AI268">
        <v>380</v>
      </c>
    </row>
    <row r="269" spans="1:35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</v>
      </c>
      <c r="I269">
        <v>0</v>
      </c>
      <c r="J269">
        <v>0</v>
      </c>
      <c r="K269">
        <v>0</v>
      </c>
      <c r="L269">
        <v>0.3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0.5</v>
      </c>
      <c r="AE269">
        <v>0</v>
      </c>
      <c r="AF269">
        <v>0</v>
      </c>
      <c r="AG269">
        <v>0.5</v>
      </c>
      <c r="AH269">
        <v>50</v>
      </c>
      <c r="AI269">
        <v>428</v>
      </c>
    </row>
    <row r="270" spans="1:35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0.5</v>
      </c>
      <c r="I270">
        <v>0</v>
      </c>
      <c r="J270">
        <v>0</v>
      </c>
      <c r="K270">
        <v>0</v>
      </c>
      <c r="L270">
        <v>0.25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</v>
      </c>
      <c r="Y270">
        <v>0</v>
      </c>
      <c r="Z270">
        <v>0.05</v>
      </c>
      <c r="AA270">
        <v>0</v>
      </c>
      <c r="AB270">
        <v>0</v>
      </c>
      <c r="AC270">
        <v>0</v>
      </c>
      <c r="AD270">
        <v>0.5</v>
      </c>
      <c r="AE270">
        <v>0</v>
      </c>
      <c r="AF270">
        <v>0</v>
      </c>
      <c r="AG270">
        <v>0.5</v>
      </c>
      <c r="AH270">
        <v>50</v>
      </c>
      <c r="AI270">
        <v>502</v>
      </c>
    </row>
    <row r="271" spans="1:35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0.73</v>
      </c>
      <c r="H271">
        <v>0</v>
      </c>
      <c r="I271">
        <v>0.1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0.17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0.5</v>
      </c>
      <c r="AE271">
        <v>0</v>
      </c>
      <c r="AF271">
        <v>0</v>
      </c>
      <c r="AG271">
        <v>1</v>
      </c>
      <c r="AH271">
        <v>50</v>
      </c>
      <c r="AI271">
        <v>800</v>
      </c>
    </row>
    <row r="272" spans="1:35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0.8</v>
      </c>
      <c r="H272">
        <v>0</v>
      </c>
      <c r="I272">
        <v>0.05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0.15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0.5</v>
      </c>
      <c r="AE272">
        <v>0</v>
      </c>
      <c r="AF272">
        <v>0</v>
      </c>
      <c r="AG272">
        <v>1</v>
      </c>
      <c r="AH272">
        <v>50</v>
      </c>
      <c r="AI272">
        <v>350</v>
      </c>
    </row>
    <row r="273" spans="1:35" x14ac:dyDescent="0.3">
      <c r="A273">
        <v>0</v>
      </c>
      <c r="B273">
        <v>0.27</v>
      </c>
      <c r="C273">
        <v>0</v>
      </c>
      <c r="D273">
        <v>0</v>
      </c>
      <c r="E273">
        <v>0.54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0.19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0.5</v>
      </c>
      <c r="AE273">
        <v>0</v>
      </c>
      <c r="AF273">
        <v>0</v>
      </c>
      <c r="AG273">
        <v>1</v>
      </c>
      <c r="AH273">
        <v>50</v>
      </c>
      <c r="AI273">
        <v>168</v>
      </c>
    </row>
    <row r="274" spans="1:35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4.9000000000000002E-2</v>
      </c>
      <c r="T274">
        <v>0</v>
      </c>
      <c r="U274">
        <v>0</v>
      </c>
      <c r="V274">
        <v>0</v>
      </c>
      <c r="W274">
        <v>0</v>
      </c>
      <c r="X274">
        <v>0.15</v>
      </c>
      <c r="Y274">
        <v>1E-3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0.1</v>
      </c>
      <c r="AF274">
        <v>0</v>
      </c>
      <c r="AG274">
        <v>1</v>
      </c>
      <c r="AH274">
        <v>50</v>
      </c>
      <c r="AI274">
        <v>1350</v>
      </c>
    </row>
    <row r="275" spans="1:35" x14ac:dyDescent="0.3">
      <c r="A275">
        <v>0</v>
      </c>
      <c r="B275">
        <v>0</v>
      </c>
      <c r="C275">
        <v>0</v>
      </c>
      <c r="D275">
        <v>0</v>
      </c>
      <c r="E275">
        <v>0.86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0.05</v>
      </c>
      <c r="W275">
        <v>0</v>
      </c>
      <c r="X275">
        <v>0.09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0.5</v>
      </c>
      <c r="AE275">
        <v>0</v>
      </c>
      <c r="AF275">
        <v>0</v>
      </c>
      <c r="AG275">
        <v>1</v>
      </c>
      <c r="AH275">
        <v>50</v>
      </c>
      <c r="AI275">
        <v>385</v>
      </c>
    </row>
    <row r="276" spans="1:35" x14ac:dyDescent="0.3">
      <c r="A276">
        <v>0</v>
      </c>
      <c r="B276">
        <v>0</v>
      </c>
      <c r="C276">
        <v>0</v>
      </c>
      <c r="D276">
        <v>0</v>
      </c>
      <c r="E276">
        <v>0.63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0.17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0.5</v>
      </c>
      <c r="AE276">
        <v>0</v>
      </c>
      <c r="AF276">
        <v>0</v>
      </c>
      <c r="AG276">
        <v>1</v>
      </c>
      <c r="AH276">
        <v>50</v>
      </c>
      <c r="AI276">
        <v>600</v>
      </c>
    </row>
    <row r="277" spans="1:35" x14ac:dyDescent="0.3">
      <c r="A277">
        <v>0</v>
      </c>
      <c r="B277">
        <v>0</v>
      </c>
      <c r="C277">
        <v>0</v>
      </c>
      <c r="D277">
        <v>0</v>
      </c>
      <c r="E277">
        <v>0.63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0.04</v>
      </c>
      <c r="T277">
        <v>0</v>
      </c>
      <c r="U277">
        <v>0</v>
      </c>
      <c r="V277">
        <v>0</v>
      </c>
      <c r="W277">
        <v>0</v>
      </c>
      <c r="X277">
        <v>0.13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0.5</v>
      </c>
      <c r="AE277">
        <v>0</v>
      </c>
      <c r="AF277">
        <v>0</v>
      </c>
      <c r="AG277">
        <v>1</v>
      </c>
      <c r="AH277">
        <v>50</v>
      </c>
      <c r="AI277">
        <v>800</v>
      </c>
    </row>
    <row r="278" spans="1:35" x14ac:dyDescent="0.3">
      <c r="A278">
        <v>0</v>
      </c>
      <c r="B278">
        <v>0</v>
      </c>
      <c r="C278">
        <v>0</v>
      </c>
      <c r="D278">
        <v>0</v>
      </c>
      <c r="E278">
        <v>0.64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0.21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7.0000000000000007E-2</v>
      </c>
      <c r="T278">
        <v>0</v>
      </c>
      <c r="U278">
        <v>0</v>
      </c>
      <c r="V278">
        <v>0</v>
      </c>
      <c r="W278">
        <v>0</v>
      </c>
      <c r="X278">
        <v>0.08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0.5</v>
      </c>
      <c r="AE278">
        <v>0</v>
      </c>
      <c r="AF278">
        <v>0</v>
      </c>
      <c r="AG278">
        <v>1</v>
      </c>
      <c r="AH278">
        <v>50</v>
      </c>
      <c r="AI278">
        <v>1280</v>
      </c>
    </row>
    <row r="279" spans="1:35" x14ac:dyDescent="0.3">
      <c r="A279">
        <v>0</v>
      </c>
      <c r="B279">
        <v>0</v>
      </c>
      <c r="C279">
        <v>0</v>
      </c>
      <c r="D279">
        <v>0</v>
      </c>
      <c r="E279">
        <v>0.64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0.21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0.11</v>
      </c>
      <c r="T279">
        <v>0</v>
      </c>
      <c r="U279">
        <v>0</v>
      </c>
      <c r="V279">
        <v>0</v>
      </c>
      <c r="W279">
        <v>0</v>
      </c>
      <c r="X279">
        <v>0.04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0.5</v>
      </c>
      <c r="AE279">
        <v>0</v>
      </c>
      <c r="AF279">
        <v>0</v>
      </c>
      <c r="AG279">
        <v>1</v>
      </c>
      <c r="AH279">
        <v>50</v>
      </c>
      <c r="AI279">
        <v>600</v>
      </c>
    </row>
    <row r="280" spans="1:35" x14ac:dyDescent="0.3">
      <c r="A280">
        <v>0</v>
      </c>
      <c r="B280">
        <v>0</v>
      </c>
      <c r="C280">
        <v>0</v>
      </c>
      <c r="D280">
        <v>0</v>
      </c>
      <c r="E280">
        <v>0.8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0.05</v>
      </c>
      <c r="T280">
        <v>0</v>
      </c>
      <c r="U280">
        <v>0</v>
      </c>
      <c r="V280">
        <v>0</v>
      </c>
      <c r="W280">
        <v>0</v>
      </c>
      <c r="X280">
        <v>0.15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0.5</v>
      </c>
      <c r="AE280">
        <v>0</v>
      </c>
      <c r="AF280">
        <v>0</v>
      </c>
      <c r="AG280">
        <v>0.5</v>
      </c>
      <c r="AH280">
        <v>50</v>
      </c>
      <c r="AI280">
        <v>203</v>
      </c>
    </row>
    <row r="281" spans="1:35" x14ac:dyDescent="0.3">
      <c r="A281">
        <v>0</v>
      </c>
      <c r="B281">
        <v>0</v>
      </c>
      <c r="C281">
        <v>0</v>
      </c>
      <c r="D281">
        <v>0</v>
      </c>
      <c r="E281">
        <v>0.8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0.04</v>
      </c>
      <c r="T281">
        <v>0</v>
      </c>
      <c r="U281">
        <v>0</v>
      </c>
      <c r="V281">
        <v>0</v>
      </c>
      <c r="W281">
        <v>0</v>
      </c>
      <c r="X281">
        <v>0.16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0.5</v>
      </c>
      <c r="AE281">
        <v>0</v>
      </c>
      <c r="AF281">
        <v>0</v>
      </c>
      <c r="AG281">
        <v>0.5</v>
      </c>
      <c r="AH281">
        <v>50</v>
      </c>
      <c r="AI281">
        <v>330</v>
      </c>
    </row>
    <row r="282" spans="1:35" x14ac:dyDescent="0.3">
      <c r="A282">
        <v>0</v>
      </c>
      <c r="B282">
        <v>0</v>
      </c>
      <c r="C282">
        <v>0</v>
      </c>
      <c r="D282">
        <v>0</v>
      </c>
      <c r="E282">
        <v>0.8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0.03</v>
      </c>
      <c r="T282">
        <v>0</v>
      </c>
      <c r="U282">
        <v>0</v>
      </c>
      <c r="V282">
        <v>0</v>
      </c>
      <c r="W282">
        <v>0</v>
      </c>
      <c r="X282">
        <v>0.17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0.5</v>
      </c>
      <c r="AE282">
        <v>0</v>
      </c>
      <c r="AF282">
        <v>0</v>
      </c>
      <c r="AG282">
        <v>0.5</v>
      </c>
      <c r="AH282">
        <v>50</v>
      </c>
      <c r="AI282">
        <v>666</v>
      </c>
    </row>
    <row r="283" spans="1:35" x14ac:dyDescent="0.3">
      <c r="A283">
        <v>0</v>
      </c>
      <c r="B283">
        <v>0</v>
      </c>
      <c r="C283">
        <v>0</v>
      </c>
      <c r="D283">
        <v>0</v>
      </c>
      <c r="E283">
        <v>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0.02</v>
      </c>
      <c r="T283">
        <v>0</v>
      </c>
      <c r="U283">
        <v>0</v>
      </c>
      <c r="V283">
        <v>0</v>
      </c>
      <c r="W283">
        <v>0</v>
      </c>
      <c r="X283">
        <v>0.18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0.5</v>
      </c>
      <c r="AE283">
        <v>0</v>
      </c>
      <c r="AF283">
        <v>0</v>
      </c>
      <c r="AG283">
        <v>0.5</v>
      </c>
      <c r="AH283">
        <v>50</v>
      </c>
      <c r="AI283">
        <v>1247</v>
      </c>
    </row>
    <row r="284" spans="1:35" x14ac:dyDescent="0.3">
      <c r="A284">
        <v>0</v>
      </c>
      <c r="B284">
        <v>0</v>
      </c>
      <c r="C284">
        <v>0</v>
      </c>
      <c r="D284">
        <v>0</v>
      </c>
      <c r="E284">
        <v>0.8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0.01</v>
      </c>
      <c r="T284">
        <v>0</v>
      </c>
      <c r="U284">
        <v>0</v>
      </c>
      <c r="V284">
        <v>0</v>
      </c>
      <c r="W284">
        <v>0</v>
      </c>
      <c r="X284">
        <v>0.19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0.5</v>
      </c>
      <c r="AE284">
        <v>0</v>
      </c>
      <c r="AF284">
        <v>0</v>
      </c>
      <c r="AG284">
        <v>0.5</v>
      </c>
      <c r="AH284">
        <v>50</v>
      </c>
      <c r="AI284">
        <v>556</v>
      </c>
    </row>
    <row r="285" spans="1:35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0.95</v>
      </c>
      <c r="I285">
        <v>0</v>
      </c>
      <c r="J285">
        <v>0</v>
      </c>
      <c r="K285">
        <v>0</v>
      </c>
      <c r="L285">
        <v>0.03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0.02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0.1</v>
      </c>
      <c r="AF285">
        <v>0</v>
      </c>
      <c r="AG285">
        <v>1</v>
      </c>
      <c r="AH285">
        <v>50</v>
      </c>
      <c r="AI285">
        <v>304</v>
      </c>
    </row>
    <row r="286" spans="1:35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0.95</v>
      </c>
      <c r="I286">
        <v>0</v>
      </c>
      <c r="J286">
        <v>0</v>
      </c>
      <c r="K286">
        <v>0</v>
      </c>
      <c r="L286">
        <v>0.03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1.24E-2</v>
      </c>
      <c r="X286">
        <v>7.6E-3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0.1</v>
      </c>
      <c r="AF286">
        <v>0</v>
      </c>
      <c r="AG286">
        <v>1</v>
      </c>
      <c r="AH286">
        <v>50</v>
      </c>
      <c r="AI286">
        <v>140</v>
      </c>
    </row>
    <row r="287" spans="1:35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0.95</v>
      </c>
      <c r="I287">
        <v>0</v>
      </c>
      <c r="J287">
        <v>0</v>
      </c>
      <c r="K287">
        <v>0</v>
      </c>
      <c r="L287">
        <v>0.03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6.9999999999999993E-3</v>
      </c>
      <c r="X287">
        <v>1.3000000000000001E-2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0.1</v>
      </c>
      <c r="AF287">
        <v>0</v>
      </c>
      <c r="AG287">
        <v>1</v>
      </c>
      <c r="AH287">
        <v>50</v>
      </c>
      <c r="AI287">
        <v>532</v>
      </c>
    </row>
    <row r="288" spans="1:35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0.95</v>
      </c>
      <c r="I288">
        <v>0</v>
      </c>
      <c r="J288">
        <v>0</v>
      </c>
      <c r="K288">
        <v>0</v>
      </c>
      <c r="L288">
        <v>0.03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3.0000000000000001E-3</v>
      </c>
      <c r="X288">
        <v>1.7000000000000001E-2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0.1</v>
      </c>
      <c r="AF288">
        <v>0</v>
      </c>
      <c r="AG288">
        <v>1</v>
      </c>
      <c r="AH288">
        <v>50</v>
      </c>
      <c r="AI288">
        <v>853</v>
      </c>
    </row>
    <row r="289" spans="1:35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0.83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7.0000000000000007E-2</v>
      </c>
      <c r="T289">
        <v>0</v>
      </c>
      <c r="U289">
        <v>0</v>
      </c>
      <c r="V289">
        <v>0</v>
      </c>
      <c r="W289">
        <v>0</v>
      </c>
      <c r="X289">
        <v>0.1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0.1</v>
      </c>
      <c r="AE289">
        <v>0</v>
      </c>
      <c r="AF289">
        <v>0</v>
      </c>
      <c r="AG289">
        <v>0.5</v>
      </c>
      <c r="AH289">
        <v>50</v>
      </c>
      <c r="AI289">
        <v>1390</v>
      </c>
    </row>
    <row r="290" spans="1:35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0.06</v>
      </c>
      <c r="T290">
        <v>0</v>
      </c>
      <c r="U290">
        <v>0</v>
      </c>
      <c r="V290">
        <v>0</v>
      </c>
      <c r="W290">
        <v>0</v>
      </c>
      <c r="X290">
        <v>0.11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0.1</v>
      </c>
      <c r="AE290">
        <v>0</v>
      </c>
      <c r="AF290">
        <v>0</v>
      </c>
      <c r="AG290">
        <v>0.5</v>
      </c>
      <c r="AH290">
        <v>50</v>
      </c>
      <c r="AI290">
        <v>1940</v>
      </c>
    </row>
    <row r="291" spans="1:35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0.05</v>
      </c>
      <c r="T291">
        <v>0</v>
      </c>
      <c r="U291">
        <v>0</v>
      </c>
      <c r="V291">
        <v>0</v>
      </c>
      <c r="W291">
        <v>0</v>
      </c>
      <c r="X291">
        <v>0.12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0.1</v>
      </c>
      <c r="AE291">
        <v>0</v>
      </c>
      <c r="AF291">
        <v>0</v>
      </c>
      <c r="AG291">
        <v>0.5</v>
      </c>
      <c r="AH291">
        <v>50</v>
      </c>
      <c r="AI291">
        <v>1630</v>
      </c>
    </row>
    <row r="292" spans="1:35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0.83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0.04</v>
      </c>
      <c r="T292">
        <v>0</v>
      </c>
      <c r="U292">
        <v>0</v>
      </c>
      <c r="V292">
        <v>0</v>
      </c>
      <c r="W292">
        <v>0</v>
      </c>
      <c r="X292">
        <v>0.13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0.1</v>
      </c>
      <c r="AE292">
        <v>0</v>
      </c>
      <c r="AF292">
        <v>0</v>
      </c>
      <c r="AG292">
        <v>0.5</v>
      </c>
      <c r="AH292">
        <v>50</v>
      </c>
      <c r="AI292">
        <v>1480</v>
      </c>
    </row>
    <row r="293" spans="1:35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0.02</v>
      </c>
      <c r="S293">
        <v>0</v>
      </c>
      <c r="T293">
        <v>0</v>
      </c>
      <c r="U293">
        <v>7.0000000000000007E-2</v>
      </c>
      <c r="V293">
        <v>0</v>
      </c>
      <c r="W293">
        <v>0</v>
      </c>
      <c r="X293">
        <v>0.12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0.1</v>
      </c>
      <c r="AF293">
        <v>0</v>
      </c>
      <c r="AG293">
        <v>1</v>
      </c>
      <c r="AH293">
        <v>20</v>
      </c>
      <c r="AI293">
        <v>900</v>
      </c>
    </row>
    <row r="294" spans="1:35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0.04</v>
      </c>
      <c r="S294">
        <v>0.01</v>
      </c>
      <c r="T294">
        <v>0</v>
      </c>
      <c r="U294">
        <v>0</v>
      </c>
      <c r="V294">
        <v>0</v>
      </c>
      <c r="W294">
        <v>0</v>
      </c>
      <c r="X294">
        <v>0.13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0.1</v>
      </c>
      <c r="AF294">
        <v>0</v>
      </c>
      <c r="AG294">
        <v>1</v>
      </c>
      <c r="AH294">
        <v>50</v>
      </c>
      <c r="AI294">
        <v>1560</v>
      </c>
    </row>
    <row r="295" spans="1:35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0.83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0.04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0.1</v>
      </c>
      <c r="AF295">
        <v>0</v>
      </c>
      <c r="AG295">
        <v>1</v>
      </c>
      <c r="AH295">
        <v>50</v>
      </c>
      <c r="AI295">
        <v>770</v>
      </c>
    </row>
    <row r="296" spans="1:35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0.06</v>
      </c>
      <c r="T296">
        <v>0</v>
      </c>
      <c r="U296">
        <v>0</v>
      </c>
      <c r="V296">
        <v>0</v>
      </c>
      <c r="W296">
        <v>0</v>
      </c>
      <c r="X296">
        <v>0.23</v>
      </c>
      <c r="Y296">
        <v>0</v>
      </c>
      <c r="Z296">
        <v>0</v>
      </c>
      <c r="AA296">
        <v>0.11</v>
      </c>
      <c r="AB296">
        <v>0</v>
      </c>
      <c r="AC296">
        <v>0</v>
      </c>
      <c r="AD296">
        <v>0.5</v>
      </c>
      <c r="AE296">
        <v>0</v>
      </c>
      <c r="AF296">
        <v>0</v>
      </c>
      <c r="AG296">
        <v>0.5</v>
      </c>
      <c r="AH296">
        <v>50</v>
      </c>
      <c r="AI296">
        <v>721</v>
      </c>
    </row>
    <row r="297" spans="1:35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0.11</v>
      </c>
      <c r="T297">
        <v>0</v>
      </c>
      <c r="U297">
        <v>0</v>
      </c>
      <c r="V297">
        <v>0</v>
      </c>
      <c r="W297">
        <v>0</v>
      </c>
      <c r="X297">
        <v>7.0000000000000007E-2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0.5</v>
      </c>
      <c r="AE297">
        <v>0</v>
      </c>
      <c r="AF297">
        <v>0</v>
      </c>
      <c r="AG297">
        <v>0.5</v>
      </c>
      <c r="AH297">
        <v>50</v>
      </c>
      <c r="AI297">
        <v>203</v>
      </c>
    </row>
    <row r="298" spans="1:35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0.4</v>
      </c>
      <c r="I298">
        <v>0.02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0.09</v>
      </c>
      <c r="T298">
        <v>0</v>
      </c>
      <c r="U298">
        <v>0</v>
      </c>
      <c r="V298">
        <v>0</v>
      </c>
      <c r="W298">
        <v>0</v>
      </c>
      <c r="X298">
        <v>0.49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0.5</v>
      </c>
      <c r="AE298">
        <v>0</v>
      </c>
      <c r="AF298">
        <v>0</v>
      </c>
      <c r="AG298">
        <v>1</v>
      </c>
      <c r="AH298">
        <v>100</v>
      </c>
      <c r="AI298">
        <v>3110</v>
      </c>
    </row>
    <row r="299" spans="1:35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0.83</v>
      </c>
      <c r="I299">
        <v>0.01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0.03</v>
      </c>
      <c r="T299">
        <v>0</v>
      </c>
      <c r="U299">
        <v>0</v>
      </c>
      <c r="V299">
        <v>0</v>
      </c>
      <c r="W299">
        <v>0</v>
      </c>
      <c r="X299">
        <v>0.13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0.5</v>
      </c>
      <c r="AE299">
        <v>0</v>
      </c>
      <c r="AF299">
        <v>0</v>
      </c>
      <c r="AG299">
        <v>1</v>
      </c>
      <c r="AH299">
        <v>100</v>
      </c>
      <c r="AI299">
        <v>1710</v>
      </c>
    </row>
    <row r="300" spans="1:35" x14ac:dyDescent="0.3">
      <c r="A300">
        <v>0</v>
      </c>
      <c r="B300">
        <v>0.67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7.0000000000000007E-2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0.08</v>
      </c>
      <c r="U300">
        <v>0</v>
      </c>
      <c r="V300">
        <v>0</v>
      </c>
      <c r="W300">
        <v>0</v>
      </c>
      <c r="X300">
        <v>0.11</v>
      </c>
      <c r="Y300">
        <v>7.0000000000000007E-2</v>
      </c>
      <c r="Z300">
        <v>0</v>
      </c>
      <c r="AA300">
        <v>0</v>
      </c>
      <c r="AB300">
        <v>0</v>
      </c>
      <c r="AC300">
        <v>0</v>
      </c>
      <c r="AD300">
        <v>0.5</v>
      </c>
      <c r="AE300">
        <v>0</v>
      </c>
      <c r="AF300">
        <v>0</v>
      </c>
      <c r="AG300">
        <v>1</v>
      </c>
      <c r="AH300">
        <v>20</v>
      </c>
      <c r="AI300">
        <v>1277</v>
      </c>
    </row>
    <row r="301" spans="1:35" x14ac:dyDescent="0.3">
      <c r="A301">
        <v>0</v>
      </c>
      <c r="B301">
        <v>0.67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7.0000000000000007E-2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0.08</v>
      </c>
      <c r="U301">
        <v>0</v>
      </c>
      <c r="V301">
        <v>0</v>
      </c>
      <c r="W301">
        <v>0</v>
      </c>
      <c r="X301">
        <v>0.11</v>
      </c>
      <c r="Y301">
        <v>7.0000000000000007E-2</v>
      </c>
      <c r="Z301">
        <v>0</v>
      </c>
      <c r="AA301">
        <v>0</v>
      </c>
      <c r="AB301">
        <v>0</v>
      </c>
      <c r="AC301">
        <v>0</v>
      </c>
      <c r="AD301">
        <v>0.5</v>
      </c>
      <c r="AE301">
        <v>0</v>
      </c>
      <c r="AF301">
        <v>0</v>
      </c>
      <c r="AG301">
        <v>1</v>
      </c>
      <c r="AH301">
        <v>50</v>
      </c>
      <c r="AI301">
        <v>1536.0000000000002</v>
      </c>
    </row>
    <row r="302" spans="1:35" x14ac:dyDescent="0.3">
      <c r="A302">
        <v>0</v>
      </c>
      <c r="B302">
        <v>0.67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7.0000000000000007E-2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0.08</v>
      </c>
      <c r="U302">
        <v>0</v>
      </c>
      <c r="V302">
        <v>0</v>
      </c>
      <c r="W302">
        <v>0</v>
      </c>
      <c r="X302">
        <v>0.11</v>
      </c>
      <c r="Y302">
        <v>7.0000000000000007E-2</v>
      </c>
      <c r="Z302">
        <v>0</v>
      </c>
      <c r="AA302">
        <v>0</v>
      </c>
      <c r="AB302">
        <v>0</v>
      </c>
      <c r="AC302">
        <v>0</v>
      </c>
      <c r="AD302">
        <v>0.5</v>
      </c>
      <c r="AE302">
        <v>0</v>
      </c>
      <c r="AF302">
        <v>0</v>
      </c>
      <c r="AG302">
        <v>1</v>
      </c>
      <c r="AH302">
        <v>100</v>
      </c>
      <c r="AI302">
        <v>1823.9999999999998</v>
      </c>
    </row>
    <row r="303" spans="1:35" x14ac:dyDescent="0.3">
      <c r="A303">
        <v>0</v>
      </c>
      <c r="B303">
        <v>0.67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7.0000000000000007E-2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0.08</v>
      </c>
      <c r="U303">
        <v>0</v>
      </c>
      <c r="V303">
        <v>0</v>
      </c>
      <c r="W303">
        <v>0</v>
      </c>
      <c r="X303">
        <v>0.11</v>
      </c>
      <c r="Y303">
        <v>7.0000000000000007E-2</v>
      </c>
      <c r="Z303">
        <v>0</v>
      </c>
      <c r="AA303">
        <v>0</v>
      </c>
      <c r="AB303">
        <v>0</v>
      </c>
      <c r="AC303">
        <v>0</v>
      </c>
      <c r="AD303">
        <v>0.5</v>
      </c>
      <c r="AE303">
        <v>0</v>
      </c>
      <c r="AF303">
        <v>0</v>
      </c>
      <c r="AG303">
        <v>1</v>
      </c>
      <c r="AH303">
        <v>200</v>
      </c>
      <c r="AI303">
        <v>2112</v>
      </c>
    </row>
    <row r="304" spans="1:35" x14ac:dyDescent="0.3">
      <c r="A304">
        <v>0</v>
      </c>
      <c r="B304">
        <v>0.72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0.09</v>
      </c>
      <c r="U304">
        <v>0</v>
      </c>
      <c r="V304">
        <v>0</v>
      </c>
      <c r="W304">
        <v>0</v>
      </c>
      <c r="X304">
        <v>0.12</v>
      </c>
      <c r="Y304">
        <v>7.0000000000000007E-2</v>
      </c>
      <c r="Z304">
        <v>0</v>
      </c>
      <c r="AA304">
        <v>0</v>
      </c>
      <c r="AB304">
        <v>0</v>
      </c>
      <c r="AC304">
        <v>0</v>
      </c>
      <c r="AD304">
        <v>0.5</v>
      </c>
      <c r="AE304">
        <v>0</v>
      </c>
      <c r="AF304">
        <v>0</v>
      </c>
      <c r="AG304">
        <v>1</v>
      </c>
      <c r="AH304">
        <v>20</v>
      </c>
      <c r="AI304">
        <v>451</v>
      </c>
    </row>
    <row r="305" spans="1:35" x14ac:dyDescent="0.3">
      <c r="A305">
        <v>0</v>
      </c>
      <c r="B305">
        <v>0.73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7.0000000000000007E-2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0.12</v>
      </c>
      <c r="Y305">
        <v>0.08</v>
      </c>
      <c r="Z305">
        <v>0</v>
      </c>
      <c r="AA305">
        <v>0</v>
      </c>
      <c r="AB305">
        <v>0</v>
      </c>
      <c r="AC305">
        <v>0</v>
      </c>
      <c r="AD305">
        <v>0.5</v>
      </c>
      <c r="AE305">
        <v>0</v>
      </c>
      <c r="AF305">
        <v>0</v>
      </c>
      <c r="AG305">
        <v>1</v>
      </c>
      <c r="AH305">
        <v>20</v>
      </c>
      <c r="AI305">
        <v>587</v>
      </c>
    </row>
    <row r="306" spans="1:35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0.46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0.26</v>
      </c>
      <c r="W306">
        <v>0</v>
      </c>
      <c r="X306">
        <v>0.28000000000000003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0.1</v>
      </c>
      <c r="AG306">
        <v>0.1</v>
      </c>
      <c r="AH306">
        <v>50</v>
      </c>
      <c r="AI306">
        <v>120</v>
      </c>
    </row>
    <row r="307" spans="1:35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0.46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0.37</v>
      </c>
      <c r="W307">
        <v>0</v>
      </c>
      <c r="X307">
        <v>0.17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0.1</v>
      </c>
      <c r="AG307">
        <v>0.1</v>
      </c>
      <c r="AH307">
        <v>50</v>
      </c>
      <c r="AI307">
        <v>250</v>
      </c>
    </row>
    <row r="308" spans="1:35" x14ac:dyDescent="0.3">
      <c r="A308">
        <v>0</v>
      </c>
      <c r="B308">
        <v>0</v>
      </c>
      <c r="C308">
        <v>0</v>
      </c>
      <c r="D308">
        <v>0</v>
      </c>
      <c r="E308">
        <v>0.79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0.06</v>
      </c>
      <c r="U308">
        <v>0</v>
      </c>
      <c r="V308">
        <v>0</v>
      </c>
      <c r="W308">
        <v>0</v>
      </c>
      <c r="X308">
        <v>0.15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0.5</v>
      </c>
      <c r="AE308">
        <v>0</v>
      </c>
      <c r="AF308">
        <v>0</v>
      </c>
      <c r="AG308">
        <v>1</v>
      </c>
      <c r="AH308">
        <v>100</v>
      </c>
      <c r="AI308">
        <v>43.336944745395456</v>
      </c>
    </row>
    <row r="309" spans="1:35" x14ac:dyDescent="0.3">
      <c r="A309">
        <v>0</v>
      </c>
      <c r="B309">
        <v>0</v>
      </c>
      <c r="C309">
        <v>0</v>
      </c>
      <c r="D309">
        <v>0</v>
      </c>
      <c r="E309">
        <v>0.82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0.03</v>
      </c>
      <c r="U309">
        <v>0</v>
      </c>
      <c r="V309">
        <v>0</v>
      </c>
      <c r="W309">
        <v>0</v>
      </c>
      <c r="X309">
        <v>0.15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0.5</v>
      </c>
      <c r="AE309">
        <v>0</v>
      </c>
      <c r="AF309">
        <v>0</v>
      </c>
      <c r="AG309">
        <v>1</v>
      </c>
      <c r="AH309">
        <v>100</v>
      </c>
      <c r="AI309">
        <v>123.98311193491915</v>
      </c>
    </row>
    <row r="310" spans="1:35" x14ac:dyDescent="0.3">
      <c r="A310">
        <v>0</v>
      </c>
      <c r="B310">
        <v>0</v>
      </c>
      <c r="C310">
        <v>0</v>
      </c>
      <c r="D310">
        <v>0</v>
      </c>
      <c r="E310">
        <v>0.87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0.5</v>
      </c>
      <c r="AE310">
        <v>0</v>
      </c>
      <c r="AF310">
        <v>0</v>
      </c>
      <c r="AG310">
        <v>1</v>
      </c>
      <c r="AH310">
        <v>100</v>
      </c>
      <c r="AI310">
        <v>54.893463344167579</v>
      </c>
    </row>
    <row r="311" spans="1:35" x14ac:dyDescent="0.3">
      <c r="A311">
        <v>0</v>
      </c>
      <c r="B311">
        <v>0</v>
      </c>
      <c r="C311">
        <v>0</v>
      </c>
      <c r="D311">
        <v>0</v>
      </c>
      <c r="E311">
        <v>0.53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0.2</v>
      </c>
      <c r="Y311">
        <v>0.1</v>
      </c>
      <c r="Z311">
        <v>0.17</v>
      </c>
      <c r="AA311">
        <v>0</v>
      </c>
      <c r="AB311">
        <v>0</v>
      </c>
      <c r="AC311">
        <v>0</v>
      </c>
      <c r="AD311">
        <v>0.5</v>
      </c>
      <c r="AE311">
        <v>0</v>
      </c>
      <c r="AF311">
        <v>0</v>
      </c>
      <c r="AG311">
        <v>1</v>
      </c>
      <c r="AH311">
        <v>20</v>
      </c>
      <c r="AI311">
        <v>1630</v>
      </c>
    </row>
    <row r="312" spans="1:35" x14ac:dyDescent="0.3">
      <c r="A312">
        <v>0</v>
      </c>
      <c r="B312">
        <v>0</v>
      </c>
      <c r="C312">
        <v>0</v>
      </c>
      <c r="D312">
        <v>0</v>
      </c>
      <c r="E312">
        <v>0.59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0.22</v>
      </c>
      <c r="Y312">
        <v>0</v>
      </c>
      <c r="Z312">
        <v>0.19</v>
      </c>
      <c r="AA312">
        <v>0</v>
      </c>
      <c r="AB312">
        <v>0</v>
      </c>
      <c r="AC312">
        <v>0</v>
      </c>
      <c r="AD312">
        <v>0.5</v>
      </c>
      <c r="AE312">
        <v>0</v>
      </c>
      <c r="AF312">
        <v>0</v>
      </c>
      <c r="AG312">
        <v>1</v>
      </c>
      <c r="AH312">
        <v>20</v>
      </c>
      <c r="AI312">
        <v>1259</v>
      </c>
    </row>
    <row r="313" spans="1:35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0.87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0.09</v>
      </c>
      <c r="Y313">
        <v>0.04</v>
      </c>
      <c r="Z313">
        <v>0</v>
      </c>
      <c r="AA313">
        <v>0</v>
      </c>
      <c r="AB313">
        <v>0</v>
      </c>
      <c r="AC313">
        <v>0</v>
      </c>
      <c r="AD313">
        <v>0.5</v>
      </c>
      <c r="AE313">
        <v>0</v>
      </c>
      <c r="AF313">
        <v>0</v>
      </c>
      <c r="AG313">
        <v>0.5</v>
      </c>
      <c r="AH313">
        <v>20</v>
      </c>
      <c r="AI313">
        <v>120</v>
      </c>
    </row>
    <row r="314" spans="1:35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0.84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0.06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7.0000000000000007E-2</v>
      </c>
      <c r="Y314">
        <v>0.03</v>
      </c>
      <c r="Z314">
        <v>0</v>
      </c>
      <c r="AA314">
        <v>0</v>
      </c>
      <c r="AB314">
        <v>0</v>
      </c>
      <c r="AC314">
        <v>0</v>
      </c>
      <c r="AD314">
        <v>0.5</v>
      </c>
      <c r="AE314">
        <v>0</v>
      </c>
      <c r="AF314">
        <v>0</v>
      </c>
      <c r="AG314">
        <v>0.5</v>
      </c>
      <c r="AH314">
        <v>20</v>
      </c>
      <c r="AI314">
        <v>62.333333333333336</v>
      </c>
    </row>
    <row r="315" spans="1:35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0.22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0.11</v>
      </c>
      <c r="Y315">
        <v>0.04</v>
      </c>
      <c r="Z315">
        <v>0</v>
      </c>
      <c r="AA315">
        <v>0</v>
      </c>
      <c r="AB315">
        <v>0</v>
      </c>
      <c r="AC315">
        <v>0</v>
      </c>
      <c r="AD315">
        <v>0.5</v>
      </c>
      <c r="AE315">
        <v>0</v>
      </c>
      <c r="AF315">
        <v>0</v>
      </c>
      <c r="AG315">
        <v>0.5</v>
      </c>
      <c r="AH315">
        <v>20</v>
      </c>
      <c r="AI315">
        <v>70.666666666666657</v>
      </c>
    </row>
    <row r="316" spans="1:35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0.56999999999999995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0.28000000000000003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0.11</v>
      </c>
      <c r="Y316">
        <v>0.04</v>
      </c>
      <c r="Z316">
        <v>0</v>
      </c>
      <c r="AA316">
        <v>0</v>
      </c>
      <c r="AB316">
        <v>0</v>
      </c>
      <c r="AC316">
        <v>0</v>
      </c>
      <c r="AD316">
        <v>0.5</v>
      </c>
      <c r="AE316">
        <v>0</v>
      </c>
      <c r="AF316">
        <v>0</v>
      </c>
      <c r="AG316">
        <v>0.5</v>
      </c>
      <c r="AH316">
        <v>20</v>
      </c>
      <c r="AI316">
        <v>100.66666666666667</v>
      </c>
    </row>
    <row r="317" spans="1:35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0.54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0.09</v>
      </c>
      <c r="Y317">
        <v>0.03</v>
      </c>
      <c r="Z317">
        <v>0</v>
      </c>
      <c r="AA317">
        <v>0</v>
      </c>
      <c r="AB317">
        <v>0</v>
      </c>
      <c r="AC317">
        <v>0</v>
      </c>
      <c r="AD317">
        <v>0.5</v>
      </c>
      <c r="AE317">
        <v>0</v>
      </c>
      <c r="AF317">
        <v>0</v>
      </c>
      <c r="AG317">
        <v>0.5</v>
      </c>
      <c r="AH317">
        <v>20</v>
      </c>
      <c r="AI317">
        <v>112.66666666666667</v>
      </c>
    </row>
    <row r="318" spans="1:35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0.46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0.1</v>
      </c>
      <c r="Y318">
        <v>0.04</v>
      </c>
      <c r="Z318">
        <v>0</v>
      </c>
      <c r="AA318">
        <v>0</v>
      </c>
      <c r="AB318">
        <v>0</v>
      </c>
      <c r="AC318">
        <v>0</v>
      </c>
      <c r="AD318">
        <v>0.5</v>
      </c>
      <c r="AE318">
        <v>0</v>
      </c>
      <c r="AF318">
        <v>0</v>
      </c>
      <c r="AG318">
        <v>0.5</v>
      </c>
      <c r="AH318">
        <v>20</v>
      </c>
      <c r="AI318">
        <v>90.666666666666671</v>
      </c>
    </row>
    <row r="319" spans="1:35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0.32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0.52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0.12</v>
      </c>
      <c r="Y319">
        <v>0.04</v>
      </c>
      <c r="Z319">
        <v>0</v>
      </c>
      <c r="AA319">
        <v>0</v>
      </c>
      <c r="AB319">
        <v>0</v>
      </c>
      <c r="AC319">
        <v>0</v>
      </c>
      <c r="AD319">
        <v>0.5</v>
      </c>
      <c r="AE319">
        <v>0</v>
      </c>
      <c r="AF319">
        <v>0</v>
      </c>
      <c r="AG319">
        <v>0.5</v>
      </c>
      <c r="AH319">
        <v>20</v>
      </c>
      <c r="AI319">
        <v>67</v>
      </c>
    </row>
    <row r="320" spans="1:35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0.05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0.15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0.5</v>
      </c>
      <c r="AE320">
        <v>0</v>
      </c>
      <c r="AF320">
        <v>0</v>
      </c>
      <c r="AG320">
        <v>0.5</v>
      </c>
      <c r="AH320">
        <v>50</v>
      </c>
      <c r="AI320">
        <v>828</v>
      </c>
    </row>
    <row r="321" spans="1:35" x14ac:dyDescent="0.3">
      <c r="A321">
        <v>0</v>
      </c>
      <c r="B321">
        <v>0</v>
      </c>
      <c r="C321">
        <v>0</v>
      </c>
      <c r="D321">
        <v>0</v>
      </c>
      <c r="E321">
        <v>0.8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0.05</v>
      </c>
      <c r="V321">
        <v>0</v>
      </c>
      <c r="W321">
        <v>0</v>
      </c>
      <c r="X321">
        <v>0.15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0.1</v>
      </c>
      <c r="AF321">
        <v>0</v>
      </c>
      <c r="AG321">
        <v>0.5</v>
      </c>
      <c r="AH321">
        <v>100</v>
      </c>
      <c r="AI321">
        <v>658</v>
      </c>
    </row>
    <row r="322" spans="1:35" x14ac:dyDescent="0.3">
      <c r="A322">
        <v>0</v>
      </c>
      <c r="B322">
        <v>0</v>
      </c>
      <c r="C322">
        <v>0</v>
      </c>
      <c r="D322">
        <v>0</v>
      </c>
      <c r="E322">
        <v>0.8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7.0000000000000007E-2</v>
      </c>
      <c r="V322">
        <v>0</v>
      </c>
      <c r="W322">
        <v>0</v>
      </c>
      <c r="X322">
        <v>0.13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0.1</v>
      </c>
      <c r="AF322">
        <v>0</v>
      </c>
      <c r="AG322">
        <v>0.5</v>
      </c>
      <c r="AH322">
        <v>100</v>
      </c>
      <c r="AI322">
        <v>933</v>
      </c>
    </row>
    <row r="323" spans="1:35" x14ac:dyDescent="0.3">
      <c r="A323">
        <v>0</v>
      </c>
      <c r="B323">
        <v>0</v>
      </c>
      <c r="C323">
        <v>0</v>
      </c>
      <c r="D323">
        <v>0</v>
      </c>
      <c r="E323">
        <v>0.8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0.1</v>
      </c>
      <c r="V323">
        <v>0</v>
      </c>
      <c r="W323">
        <v>0</v>
      </c>
      <c r="X323">
        <v>0.1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0.1</v>
      </c>
      <c r="AF323">
        <v>0</v>
      </c>
      <c r="AG323">
        <v>0.5</v>
      </c>
      <c r="AH323">
        <v>100</v>
      </c>
      <c r="AI323">
        <v>1091</v>
      </c>
    </row>
    <row r="324" spans="1:35" x14ac:dyDescent="0.3">
      <c r="A324">
        <v>0</v>
      </c>
      <c r="B324">
        <v>0</v>
      </c>
      <c r="C324">
        <v>0</v>
      </c>
      <c r="D324">
        <v>0</v>
      </c>
      <c r="E324">
        <v>0.8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0.1</v>
      </c>
      <c r="AF324">
        <v>0</v>
      </c>
      <c r="AG324">
        <v>0.5</v>
      </c>
      <c r="AH324">
        <v>100</v>
      </c>
      <c r="AI324">
        <v>435</v>
      </c>
    </row>
    <row r="325" spans="1:35" x14ac:dyDescent="0.3">
      <c r="A325">
        <v>0</v>
      </c>
      <c r="B325">
        <v>0.22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0.27</v>
      </c>
      <c r="X325">
        <v>0.51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0.1</v>
      </c>
      <c r="AE325">
        <v>0</v>
      </c>
      <c r="AF325">
        <v>0</v>
      </c>
      <c r="AG325">
        <v>0.5</v>
      </c>
      <c r="AH325">
        <v>50</v>
      </c>
      <c r="AI325">
        <v>404</v>
      </c>
    </row>
    <row r="326" spans="1:35" x14ac:dyDescent="0.3">
      <c r="A326">
        <v>0</v>
      </c>
      <c r="B326">
        <v>0.22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0.61</v>
      </c>
      <c r="X326">
        <v>0.17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0.1</v>
      </c>
      <c r="AE326">
        <v>0</v>
      </c>
      <c r="AF326">
        <v>0</v>
      </c>
      <c r="AG326">
        <v>0.5</v>
      </c>
      <c r="AH326">
        <v>50</v>
      </c>
      <c r="AI326">
        <v>289</v>
      </c>
    </row>
    <row r="327" spans="1:35" x14ac:dyDescent="0.3">
      <c r="A327">
        <v>0</v>
      </c>
      <c r="B327">
        <v>0.22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0.4</v>
      </c>
      <c r="X327">
        <v>0.38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0.1</v>
      </c>
      <c r="AE327">
        <v>0</v>
      </c>
      <c r="AF327">
        <v>0</v>
      </c>
      <c r="AG327">
        <v>0.5</v>
      </c>
      <c r="AH327">
        <v>50</v>
      </c>
      <c r="AI327">
        <v>185</v>
      </c>
    </row>
    <row r="328" spans="1:35" x14ac:dyDescent="0.3">
      <c r="A328">
        <v>0</v>
      </c>
      <c r="B328">
        <v>0</v>
      </c>
      <c r="C328">
        <v>0</v>
      </c>
      <c r="D328">
        <v>0</v>
      </c>
      <c r="E328">
        <v>0.91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0.02</v>
      </c>
      <c r="W328">
        <v>0</v>
      </c>
      <c r="X328">
        <v>7.0000000000000007E-2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0.5</v>
      </c>
      <c r="AE328">
        <v>0</v>
      </c>
      <c r="AF328">
        <v>0</v>
      </c>
      <c r="AG328">
        <v>1</v>
      </c>
      <c r="AH328">
        <v>50</v>
      </c>
      <c r="AI328">
        <v>390</v>
      </c>
    </row>
    <row r="329" spans="1:35" x14ac:dyDescent="0.3">
      <c r="A329">
        <v>0</v>
      </c>
      <c r="B329">
        <v>0</v>
      </c>
      <c r="C329">
        <v>0</v>
      </c>
      <c r="D329">
        <v>0</v>
      </c>
      <c r="E329">
        <v>0.94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0.03</v>
      </c>
      <c r="W329">
        <v>0</v>
      </c>
      <c r="X329">
        <v>0.03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0.5</v>
      </c>
      <c r="AE329">
        <v>0</v>
      </c>
      <c r="AF329">
        <v>0</v>
      </c>
      <c r="AG329">
        <v>1</v>
      </c>
      <c r="AH329">
        <v>50</v>
      </c>
      <c r="AI329">
        <v>274</v>
      </c>
    </row>
    <row r="330" spans="1:35" x14ac:dyDescent="0.3">
      <c r="A330">
        <v>0</v>
      </c>
      <c r="B330">
        <v>0.35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0.09</v>
      </c>
      <c r="X330">
        <v>0.56000000000000005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0.5</v>
      </c>
      <c r="AH330">
        <v>100</v>
      </c>
      <c r="AI330">
        <v>6.9</v>
      </c>
    </row>
    <row r="331" spans="1:35" x14ac:dyDescent="0.3">
      <c r="A331">
        <v>0</v>
      </c>
      <c r="B331">
        <v>0.38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0.12</v>
      </c>
      <c r="X331">
        <v>0.5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0.5</v>
      </c>
      <c r="AH331">
        <v>100</v>
      </c>
      <c r="AI331">
        <v>8.4</v>
      </c>
    </row>
    <row r="332" spans="1:35" x14ac:dyDescent="0.3">
      <c r="A332">
        <v>0</v>
      </c>
      <c r="B332">
        <v>0.31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0.22</v>
      </c>
      <c r="X332">
        <v>0.47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0.5</v>
      </c>
      <c r="AH332">
        <v>100</v>
      </c>
      <c r="AI332">
        <v>10.3</v>
      </c>
    </row>
    <row r="333" spans="1:35" x14ac:dyDescent="0.3">
      <c r="A333">
        <v>0</v>
      </c>
      <c r="B333">
        <v>0.33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0.28999999999999998</v>
      </c>
      <c r="X333">
        <v>0.38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0.5</v>
      </c>
      <c r="AH333">
        <v>100</v>
      </c>
      <c r="AI333">
        <v>14.7</v>
      </c>
    </row>
    <row r="334" spans="1:35" x14ac:dyDescent="0.3">
      <c r="A334">
        <v>0</v>
      </c>
      <c r="B334">
        <v>0.33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0.36</v>
      </c>
      <c r="X334">
        <v>0.31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0.5</v>
      </c>
      <c r="AH334">
        <v>100</v>
      </c>
      <c r="AI334">
        <v>20.399999999999999</v>
      </c>
    </row>
    <row r="335" spans="1:35" x14ac:dyDescent="0.3">
      <c r="A335">
        <v>0</v>
      </c>
      <c r="B335">
        <v>0.34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0.43</v>
      </c>
      <c r="X335">
        <v>0.23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0.5</v>
      </c>
      <c r="AH335">
        <v>100</v>
      </c>
      <c r="AI335">
        <v>22.8</v>
      </c>
    </row>
    <row r="336" spans="1:35" x14ac:dyDescent="0.3">
      <c r="A336">
        <v>0</v>
      </c>
      <c r="B336">
        <v>0.31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0.48</v>
      </c>
      <c r="X336">
        <v>0.21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0.5</v>
      </c>
      <c r="AH336">
        <v>100</v>
      </c>
      <c r="AI336">
        <v>23.4</v>
      </c>
    </row>
    <row r="337" spans="1:35" x14ac:dyDescent="0.3">
      <c r="A337">
        <v>0</v>
      </c>
      <c r="B337">
        <v>0.8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0.05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0.15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2</v>
      </c>
      <c r="AH337">
        <v>10</v>
      </c>
      <c r="AI337">
        <v>2661.751794871795</v>
      </c>
    </row>
    <row r="338" spans="1:35" x14ac:dyDescent="0.3">
      <c r="A338">
        <v>0</v>
      </c>
      <c r="B338">
        <v>0.8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0.05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0.15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2</v>
      </c>
      <c r="AH338">
        <v>20</v>
      </c>
      <c r="AI338">
        <v>3092.6358974358977</v>
      </c>
    </row>
    <row r="339" spans="1:35" x14ac:dyDescent="0.3">
      <c r="A339">
        <v>0</v>
      </c>
      <c r="B339">
        <v>0.8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0.05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0.15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2</v>
      </c>
      <c r="AH339">
        <v>30</v>
      </c>
      <c r="AI339">
        <v>3426.2235897435894</v>
      </c>
    </row>
    <row r="340" spans="1:35" x14ac:dyDescent="0.3">
      <c r="A340">
        <v>0</v>
      </c>
      <c r="B340">
        <v>0.8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0.05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0.15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2</v>
      </c>
      <c r="AH340">
        <v>40</v>
      </c>
      <c r="AI340">
        <v>3822.3589743589741</v>
      </c>
    </row>
    <row r="341" spans="1:35" x14ac:dyDescent="0.3">
      <c r="A341">
        <v>0</v>
      </c>
      <c r="B341">
        <v>0.8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0.05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0.15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2</v>
      </c>
      <c r="AH341">
        <v>50</v>
      </c>
      <c r="AI341">
        <v>3926.6051282051276</v>
      </c>
    </row>
    <row r="342" spans="1:35" x14ac:dyDescent="0.3">
      <c r="A342">
        <v>0</v>
      </c>
      <c r="B342">
        <v>0.8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0.05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0.15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2</v>
      </c>
      <c r="AH342">
        <v>60</v>
      </c>
      <c r="AI342">
        <v>4065.6</v>
      </c>
    </row>
    <row r="343" spans="1:35" x14ac:dyDescent="0.3">
      <c r="A343">
        <v>0</v>
      </c>
      <c r="B343">
        <v>0.8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0.05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0.15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2</v>
      </c>
      <c r="AH343">
        <v>70</v>
      </c>
      <c r="AI343">
        <v>4155.9466666666667</v>
      </c>
    </row>
    <row r="344" spans="1:35" x14ac:dyDescent="0.3">
      <c r="A344">
        <v>0</v>
      </c>
      <c r="B344">
        <v>0.8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0.05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2</v>
      </c>
      <c r="AH344">
        <v>80</v>
      </c>
      <c r="AI344">
        <v>4281.042051282051</v>
      </c>
    </row>
    <row r="345" spans="1:35" x14ac:dyDescent="0.3">
      <c r="A345">
        <v>0</v>
      </c>
      <c r="B345">
        <v>0.8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0.05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0.15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2</v>
      </c>
      <c r="AH345">
        <v>90</v>
      </c>
      <c r="AI345">
        <v>4385.288205128204</v>
      </c>
    </row>
    <row r="346" spans="1:35" x14ac:dyDescent="0.3">
      <c r="A346">
        <v>0</v>
      </c>
      <c r="B346">
        <v>0.8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0.05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0.15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2</v>
      </c>
      <c r="AH346">
        <v>100</v>
      </c>
      <c r="AI346">
        <v>4552.082051282051</v>
      </c>
    </row>
    <row r="347" spans="1:35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0.67999999999999994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0.02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0.2</v>
      </c>
      <c r="Y347">
        <v>0.1</v>
      </c>
      <c r="Z347">
        <v>0</v>
      </c>
      <c r="AA347">
        <v>0</v>
      </c>
      <c r="AB347">
        <v>0</v>
      </c>
      <c r="AC347">
        <v>0</v>
      </c>
      <c r="AD347">
        <v>0.5</v>
      </c>
      <c r="AE347">
        <v>0</v>
      </c>
      <c r="AF347">
        <v>0</v>
      </c>
      <c r="AG347">
        <v>0.5</v>
      </c>
      <c r="AH347">
        <v>20</v>
      </c>
      <c r="AI347">
        <v>83.937823834196891</v>
      </c>
    </row>
    <row r="348" spans="1:35" x14ac:dyDescent="0.3">
      <c r="A348">
        <v>0</v>
      </c>
      <c r="B348">
        <v>0.43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0.21</v>
      </c>
      <c r="T348">
        <v>0</v>
      </c>
      <c r="U348">
        <v>0</v>
      </c>
      <c r="V348">
        <v>0</v>
      </c>
      <c r="W348">
        <v>0</v>
      </c>
      <c r="X348">
        <v>0.27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0.5</v>
      </c>
      <c r="AE348">
        <v>0</v>
      </c>
      <c r="AF348">
        <v>0</v>
      </c>
      <c r="AG348">
        <v>1</v>
      </c>
      <c r="AH348">
        <v>10</v>
      </c>
      <c r="AI348">
        <v>448</v>
      </c>
    </row>
    <row r="349" spans="1:35" x14ac:dyDescent="0.3">
      <c r="A349">
        <v>0</v>
      </c>
      <c r="B349">
        <v>0.43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0.21</v>
      </c>
      <c r="T349">
        <v>0</v>
      </c>
      <c r="U349">
        <v>0</v>
      </c>
      <c r="V349">
        <v>0</v>
      </c>
      <c r="W349">
        <v>0</v>
      </c>
      <c r="X349">
        <v>0.27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0.5</v>
      </c>
      <c r="AE349">
        <v>0</v>
      </c>
      <c r="AF349">
        <v>0</v>
      </c>
      <c r="AG349">
        <v>1</v>
      </c>
      <c r="AH349">
        <v>20</v>
      </c>
      <c r="AI349">
        <v>616</v>
      </c>
    </row>
    <row r="350" spans="1:35" x14ac:dyDescent="0.3">
      <c r="A350">
        <v>0</v>
      </c>
      <c r="B350">
        <v>0.43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0.21</v>
      </c>
      <c r="T350">
        <v>0</v>
      </c>
      <c r="U350">
        <v>0</v>
      </c>
      <c r="V350">
        <v>0</v>
      </c>
      <c r="W350">
        <v>0</v>
      </c>
      <c r="X350">
        <v>0.27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0.5</v>
      </c>
      <c r="AE350">
        <v>0</v>
      </c>
      <c r="AF350">
        <v>0</v>
      </c>
      <c r="AG350">
        <v>1</v>
      </c>
      <c r="AH350">
        <v>30</v>
      </c>
      <c r="AI350">
        <v>760</v>
      </c>
    </row>
    <row r="351" spans="1:35" x14ac:dyDescent="0.3">
      <c r="A351">
        <v>0</v>
      </c>
      <c r="B351">
        <v>0.43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0.21</v>
      </c>
      <c r="T351">
        <v>0</v>
      </c>
      <c r="U351">
        <v>0</v>
      </c>
      <c r="V351">
        <v>0</v>
      </c>
      <c r="W351">
        <v>0</v>
      </c>
      <c r="X351">
        <v>0.27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0.5</v>
      </c>
      <c r="AE351">
        <v>0</v>
      </c>
      <c r="AF351">
        <v>0</v>
      </c>
      <c r="AG351">
        <v>1</v>
      </c>
      <c r="AH351">
        <v>40</v>
      </c>
      <c r="AI351">
        <v>840</v>
      </c>
    </row>
    <row r="352" spans="1:35" x14ac:dyDescent="0.3">
      <c r="A352">
        <v>0</v>
      </c>
      <c r="B352">
        <v>0.43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0.21</v>
      </c>
      <c r="T352">
        <v>0</v>
      </c>
      <c r="U352">
        <v>0</v>
      </c>
      <c r="V352">
        <v>0</v>
      </c>
      <c r="W352">
        <v>0</v>
      </c>
      <c r="X352">
        <v>0.27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0.5</v>
      </c>
      <c r="AE352">
        <v>0</v>
      </c>
      <c r="AF352">
        <v>0</v>
      </c>
      <c r="AG352">
        <v>1</v>
      </c>
      <c r="AH352">
        <v>50</v>
      </c>
      <c r="AI352">
        <v>919.99999999999989</v>
      </c>
    </row>
    <row r="353" spans="1:35" x14ac:dyDescent="0.3">
      <c r="A353">
        <v>0</v>
      </c>
      <c r="B353">
        <v>0.43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0.21</v>
      </c>
      <c r="T353">
        <v>0</v>
      </c>
      <c r="U353">
        <v>0</v>
      </c>
      <c r="V353">
        <v>0</v>
      </c>
      <c r="W353">
        <v>0</v>
      </c>
      <c r="X353">
        <v>0.27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0.5</v>
      </c>
      <c r="AE353">
        <v>0</v>
      </c>
      <c r="AF353">
        <v>0</v>
      </c>
      <c r="AG353">
        <v>1</v>
      </c>
      <c r="AH353">
        <v>60</v>
      </c>
      <c r="AI353">
        <v>1000</v>
      </c>
    </row>
    <row r="354" spans="1:35" x14ac:dyDescent="0.3">
      <c r="A354">
        <v>0</v>
      </c>
      <c r="B354">
        <v>0.43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0.21</v>
      </c>
      <c r="T354">
        <v>0</v>
      </c>
      <c r="U354">
        <v>0</v>
      </c>
      <c r="V354">
        <v>0</v>
      </c>
      <c r="W354">
        <v>0</v>
      </c>
      <c r="X354">
        <v>0.27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0.5</v>
      </c>
      <c r="AE354">
        <v>0</v>
      </c>
      <c r="AF354">
        <v>0</v>
      </c>
      <c r="AG354">
        <v>1</v>
      </c>
      <c r="AH354">
        <v>70</v>
      </c>
      <c r="AI354">
        <v>1059.9999999999998</v>
      </c>
    </row>
    <row r="355" spans="1:35" x14ac:dyDescent="0.3">
      <c r="A355">
        <v>0</v>
      </c>
      <c r="B355">
        <v>0.43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0.21</v>
      </c>
      <c r="T355">
        <v>0</v>
      </c>
      <c r="U355">
        <v>0</v>
      </c>
      <c r="V355">
        <v>0</v>
      </c>
      <c r="W355">
        <v>0</v>
      </c>
      <c r="X355">
        <v>0.27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0.5</v>
      </c>
      <c r="AE355">
        <v>0</v>
      </c>
      <c r="AF355">
        <v>0</v>
      </c>
      <c r="AG355">
        <v>1</v>
      </c>
      <c r="AH355">
        <v>80</v>
      </c>
      <c r="AI355">
        <v>1111.9999999999998</v>
      </c>
    </row>
    <row r="356" spans="1:35" x14ac:dyDescent="0.3">
      <c r="A356">
        <v>0</v>
      </c>
      <c r="B356">
        <v>0.43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0.21</v>
      </c>
      <c r="T356">
        <v>0</v>
      </c>
      <c r="U356">
        <v>0</v>
      </c>
      <c r="V356">
        <v>0</v>
      </c>
      <c r="W356">
        <v>0</v>
      </c>
      <c r="X356">
        <v>0.27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0.5</v>
      </c>
      <c r="AE356">
        <v>0</v>
      </c>
      <c r="AF356">
        <v>0</v>
      </c>
      <c r="AG356">
        <v>1</v>
      </c>
      <c r="AH356">
        <v>90</v>
      </c>
      <c r="AI356">
        <v>1160</v>
      </c>
    </row>
    <row r="357" spans="1:35" x14ac:dyDescent="0.3">
      <c r="A357">
        <v>0</v>
      </c>
      <c r="B357">
        <v>0.43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0.21</v>
      </c>
      <c r="T357">
        <v>0</v>
      </c>
      <c r="U357">
        <v>0</v>
      </c>
      <c r="V357">
        <v>0</v>
      </c>
      <c r="W357">
        <v>0</v>
      </c>
      <c r="X357">
        <v>0.27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0.5</v>
      </c>
      <c r="AE357">
        <v>0</v>
      </c>
      <c r="AF357">
        <v>0</v>
      </c>
      <c r="AG357">
        <v>1</v>
      </c>
      <c r="AH357">
        <v>100</v>
      </c>
      <c r="AI357">
        <v>1200</v>
      </c>
    </row>
    <row r="358" spans="1:35" x14ac:dyDescent="0.3">
      <c r="A358">
        <v>0</v>
      </c>
      <c r="B358">
        <v>0</v>
      </c>
      <c r="C358">
        <v>0.6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0.5</v>
      </c>
      <c r="AE358">
        <v>0</v>
      </c>
      <c r="AF358">
        <v>0</v>
      </c>
      <c r="AG358">
        <v>0.5</v>
      </c>
      <c r="AH358">
        <v>50</v>
      </c>
      <c r="AI358">
        <v>308.56</v>
      </c>
    </row>
    <row r="359" spans="1:35" x14ac:dyDescent="0.3">
      <c r="A359">
        <v>0</v>
      </c>
      <c r="B359">
        <v>0.42499999999999999</v>
      </c>
      <c r="C359">
        <v>0.42499999999999999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0.15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0.5</v>
      </c>
      <c r="AE359">
        <v>0</v>
      </c>
      <c r="AF359">
        <v>0</v>
      </c>
      <c r="AG359">
        <v>1</v>
      </c>
      <c r="AH359">
        <v>50</v>
      </c>
      <c r="AI359">
        <v>529</v>
      </c>
    </row>
    <row r="360" spans="1:35" x14ac:dyDescent="0.3">
      <c r="A360">
        <v>0</v>
      </c>
      <c r="B360">
        <v>0.7846153846153846</v>
      </c>
      <c r="C360">
        <v>6.5384615384615388E-2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0.5</v>
      </c>
      <c r="AE360">
        <v>0</v>
      </c>
      <c r="AF360">
        <v>0</v>
      </c>
      <c r="AG360">
        <v>1</v>
      </c>
      <c r="AH360">
        <v>50</v>
      </c>
      <c r="AI360">
        <v>179</v>
      </c>
    </row>
    <row r="361" spans="1:35" x14ac:dyDescent="0.3">
      <c r="A361">
        <v>0</v>
      </c>
      <c r="B361">
        <v>0.56666666666666665</v>
      </c>
      <c r="C361">
        <v>0.28333333333333333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0.15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0.5</v>
      </c>
      <c r="AE361">
        <v>0</v>
      </c>
      <c r="AF361">
        <v>0</v>
      </c>
      <c r="AG361">
        <v>1</v>
      </c>
      <c r="AH361">
        <v>50</v>
      </c>
      <c r="AI361">
        <v>413</v>
      </c>
    </row>
    <row r="362" spans="1:35" x14ac:dyDescent="0.3">
      <c r="A362">
        <v>0</v>
      </c>
      <c r="B362">
        <v>0.45</v>
      </c>
      <c r="C362">
        <v>0.45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0.05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0.05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0.5</v>
      </c>
      <c r="AE362">
        <v>0</v>
      </c>
      <c r="AF362">
        <v>0</v>
      </c>
      <c r="AG362">
        <v>0.5</v>
      </c>
      <c r="AH362">
        <v>50</v>
      </c>
      <c r="AI362">
        <v>437</v>
      </c>
    </row>
    <row r="363" spans="1:35" x14ac:dyDescent="0.3">
      <c r="A363">
        <v>0</v>
      </c>
      <c r="B363">
        <v>0</v>
      </c>
      <c r="C363">
        <v>0.83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0.17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0.5</v>
      </c>
      <c r="AE363">
        <v>0</v>
      </c>
      <c r="AF363">
        <v>0</v>
      </c>
      <c r="AG363">
        <v>0.5</v>
      </c>
      <c r="AH363">
        <v>50</v>
      </c>
      <c r="AI363">
        <v>139</v>
      </c>
    </row>
    <row r="364" spans="1:35" x14ac:dyDescent="0.3">
      <c r="A364">
        <v>0</v>
      </c>
      <c r="B364">
        <v>0</v>
      </c>
      <c r="C364">
        <v>0.68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0.32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0.5</v>
      </c>
      <c r="AE364">
        <v>0</v>
      </c>
      <c r="AF364">
        <v>0</v>
      </c>
      <c r="AG364">
        <v>0.5</v>
      </c>
      <c r="AH364">
        <v>50</v>
      </c>
      <c r="AI364">
        <v>147</v>
      </c>
    </row>
    <row r="365" spans="1:35" x14ac:dyDescent="0.3">
      <c r="A365">
        <v>0</v>
      </c>
      <c r="B365">
        <v>0</v>
      </c>
      <c r="C365">
        <v>0.66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0.34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0.5</v>
      </c>
      <c r="AE365">
        <v>0</v>
      </c>
      <c r="AF365">
        <v>0</v>
      </c>
      <c r="AG365">
        <v>0.5</v>
      </c>
      <c r="AH365">
        <v>50</v>
      </c>
      <c r="AI365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65"/>
  <sheetViews>
    <sheetView topLeftCell="R1" zoomScale="78" zoomScaleNormal="78" workbookViewId="0">
      <pane ySplit="1" topLeftCell="A339" activePane="bottomLeft" state="frozen"/>
      <selection pane="bottomLeft" sqref="A1:AI1048576"/>
    </sheetView>
  </sheetViews>
  <sheetFormatPr defaultRowHeight="14.4" x14ac:dyDescent="0.3"/>
  <cols>
    <col min="10" max="16" width="7.6640625" customWidth="1"/>
    <col min="17" max="17" width="8" customWidth="1"/>
    <col min="18" max="18" width="7" customWidth="1"/>
    <col min="19" max="19" width="9" customWidth="1"/>
    <col min="20" max="21" width="5.5546875" customWidth="1"/>
    <col min="22" max="23" width="5.109375" customWidth="1"/>
    <col min="24" max="24" width="7.109375" customWidth="1"/>
    <col min="25" max="25" width="5.5546875" customWidth="1"/>
    <col min="26" max="26" width="4.88671875" customWidth="1"/>
    <col min="27" max="27" width="8.44140625" customWidth="1"/>
    <col min="28" max="28" width="5.88671875" customWidth="1"/>
    <col min="29" max="29" width="7.6640625" customWidth="1"/>
    <col min="30" max="30" width="7.109375" customWidth="1"/>
    <col min="31" max="31" width="6.33203125" customWidth="1"/>
    <col min="32" max="32" width="6" customWidth="1"/>
    <col min="33" max="33" width="6.109375" customWidth="1"/>
    <col min="36" max="36" width="20.88671875" customWidth="1"/>
    <col min="37" max="37" width="44.6640625" customWidth="1"/>
    <col min="38" max="38" width="26.109375" customWidth="1"/>
  </cols>
  <sheetData>
    <row r="1" spans="1:37" s="2" customFormat="1" ht="28.8" x14ac:dyDescent="0.3">
      <c r="A1" s="3" t="s">
        <v>317</v>
      </c>
      <c r="B1" s="2" t="s">
        <v>80</v>
      </c>
      <c r="C1" s="2" t="s">
        <v>309</v>
      </c>
      <c r="D1" s="2" t="s">
        <v>327</v>
      </c>
      <c r="E1" s="2" t="s">
        <v>328</v>
      </c>
      <c r="F1" s="2" t="s">
        <v>41</v>
      </c>
      <c r="G1" s="2" t="s">
        <v>36</v>
      </c>
      <c r="H1" s="2" t="s">
        <v>0</v>
      </c>
      <c r="I1" s="2" t="s">
        <v>126</v>
      </c>
      <c r="J1" s="3" t="s">
        <v>141</v>
      </c>
      <c r="K1" s="3" t="s">
        <v>169</v>
      </c>
      <c r="L1" s="3" t="s">
        <v>146</v>
      </c>
      <c r="M1" s="3" t="s">
        <v>153</v>
      </c>
      <c r="N1" s="3" t="s">
        <v>167</v>
      </c>
      <c r="O1" s="3" t="s">
        <v>168</v>
      </c>
      <c r="P1" s="3" t="s">
        <v>176</v>
      </c>
      <c r="Q1" s="2" t="s">
        <v>121</v>
      </c>
      <c r="R1" s="2" t="s">
        <v>72</v>
      </c>
      <c r="S1" s="2" t="s">
        <v>116</v>
      </c>
      <c r="T1" s="2" t="s">
        <v>113</v>
      </c>
      <c r="U1" s="2" t="s">
        <v>77</v>
      </c>
      <c r="V1" s="2" t="s">
        <v>15</v>
      </c>
      <c r="W1" s="2" t="s">
        <v>101</v>
      </c>
      <c r="X1" s="2" t="s">
        <v>1</v>
      </c>
      <c r="Y1" s="2" t="s">
        <v>2</v>
      </c>
      <c r="Z1" s="2" t="s">
        <v>202</v>
      </c>
      <c r="AA1" s="2" t="s">
        <v>57</v>
      </c>
      <c r="AB1" s="2" t="s">
        <v>59</v>
      </c>
      <c r="AC1" s="3" t="s">
        <v>78</v>
      </c>
      <c r="AD1" s="2" t="s">
        <v>3</v>
      </c>
      <c r="AE1" s="2" t="s">
        <v>105</v>
      </c>
      <c r="AF1" s="2" t="s">
        <v>178</v>
      </c>
      <c r="AG1" s="2" t="s">
        <v>4</v>
      </c>
      <c r="AH1" s="2" t="s">
        <v>5</v>
      </c>
      <c r="AI1" s="2" t="s">
        <v>6</v>
      </c>
      <c r="AJ1" s="2" t="s">
        <v>24</v>
      </c>
      <c r="AK1" s="2" t="s">
        <v>7</v>
      </c>
    </row>
    <row r="2" spans="1:3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50</v>
      </c>
      <c r="AI2">
        <v>412</v>
      </c>
      <c r="AJ2">
        <v>134</v>
      </c>
      <c r="AK2" t="s">
        <v>25</v>
      </c>
    </row>
    <row r="3" spans="1:3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0.04</v>
      </c>
      <c r="W3">
        <v>0</v>
      </c>
      <c r="X3">
        <v>0.36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50</v>
      </c>
      <c r="AI3">
        <v>559</v>
      </c>
      <c r="AJ3">
        <v>134</v>
      </c>
      <c r="AK3" t="s">
        <v>25</v>
      </c>
    </row>
    <row r="4" spans="1:3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0.35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50</v>
      </c>
      <c r="AI4">
        <v>512</v>
      </c>
      <c r="AJ4">
        <v>134</v>
      </c>
      <c r="AK4" t="s">
        <v>25</v>
      </c>
    </row>
    <row r="5" spans="1:3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50</v>
      </c>
      <c r="AI5">
        <v>477</v>
      </c>
      <c r="AJ5">
        <v>134</v>
      </c>
      <c r="AK5" t="s">
        <v>25</v>
      </c>
    </row>
    <row r="6" spans="1:3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0.26</v>
      </c>
      <c r="Y6">
        <v>0.14000000000000001</v>
      </c>
      <c r="Z6">
        <v>0</v>
      </c>
      <c r="AA6">
        <v>0</v>
      </c>
      <c r="AB6">
        <v>0</v>
      </c>
      <c r="AC6">
        <v>0</v>
      </c>
      <c r="AD6">
        <v>0.5</v>
      </c>
      <c r="AE6">
        <v>0</v>
      </c>
      <c r="AF6">
        <v>0</v>
      </c>
      <c r="AG6">
        <v>1</v>
      </c>
      <c r="AH6">
        <v>20</v>
      </c>
      <c r="AI6">
        <v>138</v>
      </c>
      <c r="AJ6">
        <v>135</v>
      </c>
      <c r="AK6" t="s">
        <v>26</v>
      </c>
    </row>
    <row r="7" spans="1:3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0.57999999999999996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0.28999999999999998</v>
      </c>
      <c r="Y7">
        <v>0.13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>
        <v>1</v>
      </c>
      <c r="AH7">
        <v>20</v>
      </c>
      <c r="AI7">
        <v>444</v>
      </c>
      <c r="AJ7">
        <v>135</v>
      </c>
      <c r="AK7" t="s">
        <v>26</v>
      </c>
    </row>
    <row r="8" spans="1:3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0.56999999999999995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0.31</v>
      </c>
      <c r="Y8">
        <v>0.12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1</v>
      </c>
      <c r="AH8">
        <v>20</v>
      </c>
      <c r="AI8">
        <v>323</v>
      </c>
      <c r="AJ8">
        <v>135</v>
      </c>
      <c r="AK8" t="s">
        <v>26</v>
      </c>
    </row>
    <row r="9" spans="1:37" s="1" customForma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0.85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0.15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0.5</v>
      </c>
      <c r="AE9" s="1">
        <v>0</v>
      </c>
      <c r="AF9" s="1">
        <v>0</v>
      </c>
      <c r="AG9" s="1">
        <v>1</v>
      </c>
      <c r="AH9" s="1">
        <v>20</v>
      </c>
      <c r="AI9" s="1">
        <v>575</v>
      </c>
      <c r="AJ9" s="1">
        <v>136</v>
      </c>
      <c r="AK9" s="1" t="s">
        <v>27</v>
      </c>
    </row>
    <row r="10" spans="1:37" s="1" customForma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0.83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0.16600000000000001</v>
      </c>
      <c r="Y10" s="1">
        <v>4.0000000000000001E-3</v>
      </c>
      <c r="Z10" s="1">
        <v>0</v>
      </c>
      <c r="AA10" s="1">
        <v>0</v>
      </c>
      <c r="AB10" s="1">
        <v>0</v>
      </c>
      <c r="AC10" s="1">
        <v>0</v>
      </c>
      <c r="AD10" s="1">
        <v>0.5</v>
      </c>
      <c r="AE10" s="1">
        <v>0</v>
      </c>
      <c r="AF10" s="1">
        <v>0</v>
      </c>
      <c r="AG10" s="1">
        <v>1</v>
      </c>
      <c r="AH10" s="1">
        <v>10</v>
      </c>
      <c r="AI10" s="1">
        <f>0.25/0.0025</f>
        <v>100</v>
      </c>
      <c r="AJ10" s="1">
        <v>137</v>
      </c>
      <c r="AK10" s="1" t="s">
        <v>35</v>
      </c>
    </row>
    <row r="11" spans="1:37" s="1" customForma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0.55000000000000004</v>
      </c>
      <c r="H11" s="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 s="1">
        <f>0.32</f>
        <v>0.32</v>
      </c>
      <c r="Y11" s="1">
        <f>0.13</f>
        <v>0.13</v>
      </c>
      <c r="Z11">
        <v>0</v>
      </c>
      <c r="AA11">
        <v>0</v>
      </c>
      <c r="AB11">
        <v>0</v>
      </c>
      <c r="AC11">
        <v>0</v>
      </c>
      <c r="AD11" s="1">
        <v>0.5</v>
      </c>
      <c r="AE11">
        <v>0</v>
      </c>
      <c r="AF11" s="1">
        <v>0</v>
      </c>
      <c r="AG11" s="1">
        <v>1</v>
      </c>
      <c r="AH11" s="1">
        <v>10</v>
      </c>
      <c r="AI11" s="1">
        <v>150</v>
      </c>
      <c r="AJ11" s="1">
        <v>138</v>
      </c>
      <c r="AK11" s="1" t="s">
        <v>38</v>
      </c>
    </row>
    <row r="12" spans="1:37" s="1" customForma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0.55000000000000004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 s="1">
        <v>0.31</v>
      </c>
      <c r="Y12" s="1">
        <v>0.14000000000000001</v>
      </c>
      <c r="Z12">
        <v>0</v>
      </c>
      <c r="AA12">
        <v>0</v>
      </c>
      <c r="AB12">
        <v>0</v>
      </c>
      <c r="AC12">
        <v>0</v>
      </c>
      <c r="AD12" s="1">
        <v>0.5</v>
      </c>
      <c r="AE12">
        <v>0</v>
      </c>
      <c r="AF12" s="1">
        <v>0</v>
      </c>
      <c r="AG12" s="1">
        <v>1</v>
      </c>
      <c r="AH12" s="1">
        <v>10</v>
      </c>
      <c r="AI12" s="1">
        <v>87</v>
      </c>
      <c r="AJ12" s="1">
        <v>138</v>
      </c>
      <c r="AK12" s="1" t="s">
        <v>38</v>
      </c>
    </row>
    <row r="13" spans="1:3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0.65</v>
      </c>
      <c r="H13" s="1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0.35</v>
      </c>
      <c r="Y13" s="1">
        <v>0</v>
      </c>
      <c r="Z13">
        <v>0</v>
      </c>
      <c r="AA13">
        <v>0</v>
      </c>
      <c r="AB13">
        <v>0</v>
      </c>
      <c r="AC13">
        <v>0</v>
      </c>
      <c r="AD13" s="1">
        <v>0.5</v>
      </c>
      <c r="AE13">
        <v>0</v>
      </c>
      <c r="AF13" s="1">
        <v>0</v>
      </c>
      <c r="AG13" s="1">
        <v>0.5</v>
      </c>
      <c r="AH13" s="1">
        <v>50</v>
      </c>
      <c r="AI13" s="1">
        <v>250</v>
      </c>
      <c r="AJ13" s="1">
        <v>139</v>
      </c>
      <c r="AK13" t="s">
        <v>39</v>
      </c>
    </row>
    <row r="14" spans="1:3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0.6</v>
      </c>
      <c r="H14" s="1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0.4</v>
      </c>
      <c r="Y14" s="1">
        <v>0</v>
      </c>
      <c r="Z14">
        <v>0</v>
      </c>
      <c r="AA14">
        <v>0</v>
      </c>
      <c r="AB14">
        <v>0</v>
      </c>
      <c r="AC14">
        <v>0</v>
      </c>
      <c r="AD14" s="1">
        <v>0.5</v>
      </c>
      <c r="AE14">
        <v>0</v>
      </c>
      <c r="AF14" s="1">
        <v>0</v>
      </c>
      <c r="AG14" s="1">
        <v>0.5</v>
      </c>
      <c r="AH14" s="1">
        <v>50</v>
      </c>
      <c r="AI14" s="1">
        <v>217</v>
      </c>
      <c r="AJ14" s="1">
        <v>139</v>
      </c>
      <c r="AK14" t="s">
        <v>39</v>
      </c>
    </row>
    <row r="15" spans="1:37" s="1" customFormat="1" ht="15" customHeigh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>0.8</f>
        <v>0.8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0.14000000000000001</v>
      </c>
      <c r="Y15" s="1">
        <v>0.06</v>
      </c>
      <c r="Z15" s="1">
        <v>0</v>
      </c>
      <c r="AA15" s="1">
        <v>0</v>
      </c>
      <c r="AB15" s="1">
        <v>0</v>
      </c>
      <c r="AC15" s="1">
        <v>0</v>
      </c>
      <c r="AD15" s="1">
        <v>0.5</v>
      </c>
      <c r="AE15" s="1">
        <v>0</v>
      </c>
      <c r="AF15" s="1">
        <v>0</v>
      </c>
      <c r="AG15" s="1">
        <v>1</v>
      </c>
      <c r="AH15" s="1">
        <v>50</v>
      </c>
      <c r="AI15" s="1">
        <v>319</v>
      </c>
      <c r="AJ15" s="1">
        <v>140</v>
      </c>
      <c r="AK15" s="1" t="s">
        <v>40</v>
      </c>
    </row>
    <row r="16" spans="1:37" s="1" customForma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0.81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0.13</v>
      </c>
      <c r="Y16" s="1">
        <v>0.06</v>
      </c>
      <c r="Z16" s="1">
        <v>0</v>
      </c>
      <c r="AA16" s="1">
        <v>0</v>
      </c>
      <c r="AB16" s="1">
        <v>0</v>
      </c>
      <c r="AC16" s="1">
        <v>0</v>
      </c>
      <c r="AD16" s="1">
        <v>0.5</v>
      </c>
      <c r="AE16" s="1">
        <v>0</v>
      </c>
      <c r="AF16" s="1">
        <v>0</v>
      </c>
      <c r="AG16" s="1">
        <v>1</v>
      </c>
      <c r="AH16" s="1">
        <v>50</v>
      </c>
      <c r="AI16" s="1">
        <v>488</v>
      </c>
      <c r="AJ16" s="1">
        <v>140</v>
      </c>
      <c r="AK16" s="1" t="s">
        <v>40</v>
      </c>
    </row>
    <row r="17" spans="1:3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0.8</v>
      </c>
      <c r="H17" s="1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0</v>
      </c>
      <c r="W17">
        <v>0</v>
      </c>
      <c r="X17" s="1">
        <v>0.2</v>
      </c>
      <c r="Y17" s="1">
        <v>0</v>
      </c>
      <c r="Z17">
        <v>0</v>
      </c>
      <c r="AA17">
        <v>0</v>
      </c>
      <c r="AB17">
        <v>0</v>
      </c>
      <c r="AC17">
        <v>0</v>
      </c>
      <c r="AD17" s="1">
        <v>0.5</v>
      </c>
      <c r="AE17">
        <v>0</v>
      </c>
      <c r="AF17" s="1">
        <v>0</v>
      </c>
      <c r="AG17" s="1">
        <v>0.5</v>
      </c>
      <c r="AH17" s="1">
        <v>50</v>
      </c>
      <c r="AI17" s="1">
        <v>419</v>
      </c>
      <c r="AJ17" s="1">
        <v>143</v>
      </c>
      <c r="AK17" t="s">
        <v>48</v>
      </c>
    </row>
    <row r="18" spans="1:3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 s="1">
        <v>0.2</v>
      </c>
      <c r="Y18" s="1">
        <v>0</v>
      </c>
      <c r="Z18">
        <v>0</v>
      </c>
      <c r="AA18">
        <v>0</v>
      </c>
      <c r="AB18">
        <v>0</v>
      </c>
      <c r="AC18">
        <v>0</v>
      </c>
      <c r="AD18" s="1">
        <v>0.5</v>
      </c>
      <c r="AE18">
        <v>0</v>
      </c>
      <c r="AF18" s="1">
        <v>0</v>
      </c>
      <c r="AG18" s="1">
        <v>0.5</v>
      </c>
      <c r="AH18" s="1">
        <v>50</v>
      </c>
      <c r="AI18" s="1">
        <v>212</v>
      </c>
      <c r="AJ18" s="1">
        <v>143</v>
      </c>
      <c r="AK18" t="s">
        <v>48</v>
      </c>
    </row>
    <row r="19" spans="1:3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f>1-X19</f>
        <v>0.87</v>
      </c>
      <c r="G19">
        <v>0</v>
      </c>
      <c r="H19" s="1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>
        <v>0</v>
      </c>
      <c r="X19" s="1">
        <v>0.13</v>
      </c>
      <c r="Y19" s="1">
        <v>0</v>
      </c>
      <c r="Z19">
        <v>0</v>
      </c>
      <c r="AA19">
        <v>0</v>
      </c>
      <c r="AB19">
        <v>0</v>
      </c>
      <c r="AC19">
        <v>0</v>
      </c>
      <c r="AD19" s="1">
        <v>0.5</v>
      </c>
      <c r="AE19">
        <v>0</v>
      </c>
      <c r="AF19" s="1">
        <v>0</v>
      </c>
      <c r="AG19" s="1">
        <v>0.5</v>
      </c>
      <c r="AH19" s="1">
        <v>50</v>
      </c>
      <c r="AI19" s="1">
        <v>90</v>
      </c>
      <c r="AJ19" s="1">
        <v>36</v>
      </c>
      <c r="AK19" t="s">
        <v>49</v>
      </c>
    </row>
    <row r="20" spans="1:3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f t="shared" ref="F20:F22" si="0">1-X20</f>
        <v>0.51</v>
      </c>
      <c r="G20">
        <v>0</v>
      </c>
      <c r="H20" s="1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>
        <v>0</v>
      </c>
      <c r="X20" s="1">
        <v>0.49</v>
      </c>
      <c r="Y20" s="1">
        <v>0</v>
      </c>
      <c r="Z20">
        <v>0</v>
      </c>
      <c r="AA20">
        <v>0</v>
      </c>
      <c r="AB20">
        <v>0</v>
      </c>
      <c r="AC20">
        <v>0</v>
      </c>
      <c r="AD20" s="1">
        <v>0.5</v>
      </c>
      <c r="AE20">
        <v>0</v>
      </c>
      <c r="AF20" s="1">
        <v>0</v>
      </c>
      <c r="AG20" s="1">
        <v>0.5</v>
      </c>
      <c r="AH20" s="1">
        <v>50</v>
      </c>
      <c r="AI20" s="1">
        <v>413</v>
      </c>
      <c r="AJ20" s="1">
        <v>36</v>
      </c>
      <c r="AK20" t="s">
        <v>49</v>
      </c>
    </row>
    <row r="21" spans="1:3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0.38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>
        <v>0</v>
      </c>
      <c r="X21" s="1">
        <v>0.62</v>
      </c>
      <c r="Y21" s="1">
        <v>0</v>
      </c>
      <c r="Z21">
        <v>0</v>
      </c>
      <c r="AA21">
        <v>0</v>
      </c>
      <c r="AB21">
        <v>0</v>
      </c>
      <c r="AC21">
        <v>0</v>
      </c>
      <c r="AD21" s="1">
        <v>0.5</v>
      </c>
      <c r="AE21">
        <v>0</v>
      </c>
      <c r="AF21" s="1">
        <v>0</v>
      </c>
      <c r="AG21" s="1">
        <v>0.5</v>
      </c>
      <c r="AH21" s="1">
        <v>50</v>
      </c>
      <c r="AI21" s="1">
        <v>340</v>
      </c>
      <c r="AJ21" s="1">
        <v>36</v>
      </c>
      <c r="AK21" t="s">
        <v>49</v>
      </c>
    </row>
    <row r="22" spans="1:3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f t="shared" si="0"/>
        <v>0.13</v>
      </c>
      <c r="G22">
        <v>0</v>
      </c>
      <c r="H22" s="1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 s="1">
        <v>0.87</v>
      </c>
      <c r="Y22" s="1">
        <v>0</v>
      </c>
      <c r="Z22">
        <v>0</v>
      </c>
      <c r="AA22">
        <v>0</v>
      </c>
      <c r="AB22">
        <v>0</v>
      </c>
      <c r="AC22">
        <v>0</v>
      </c>
      <c r="AD22" s="1">
        <v>0.5</v>
      </c>
      <c r="AE22">
        <v>0</v>
      </c>
      <c r="AF22" s="1">
        <v>0</v>
      </c>
      <c r="AG22" s="1">
        <v>0.5</v>
      </c>
      <c r="AH22" s="1">
        <v>50</v>
      </c>
      <c r="AI22" s="1">
        <v>250</v>
      </c>
      <c r="AJ22" s="1">
        <v>36</v>
      </c>
      <c r="AK22" t="s">
        <v>49</v>
      </c>
    </row>
    <row r="23" spans="1:3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0.6</v>
      </c>
      <c r="G23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 s="1">
        <v>0.26</v>
      </c>
      <c r="Y23" s="1">
        <v>0.14000000000000001</v>
      </c>
      <c r="Z23">
        <v>0</v>
      </c>
      <c r="AA23">
        <v>0</v>
      </c>
      <c r="AB23">
        <v>0</v>
      </c>
      <c r="AC23">
        <v>0</v>
      </c>
      <c r="AD23" s="1">
        <v>0.5</v>
      </c>
      <c r="AE23">
        <v>0</v>
      </c>
      <c r="AF23" s="1">
        <v>0</v>
      </c>
      <c r="AG23" s="1">
        <v>1</v>
      </c>
      <c r="AH23" s="1">
        <v>2</v>
      </c>
      <c r="AI23" s="1">
        <v>390</v>
      </c>
      <c r="AJ23" s="1">
        <v>145</v>
      </c>
      <c r="AK23" t="s">
        <v>50</v>
      </c>
    </row>
    <row r="24" spans="1:3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0.3</v>
      </c>
      <c r="G24">
        <v>0</v>
      </c>
      <c r="H24" s="1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 s="1">
        <v>0.45</v>
      </c>
      <c r="Y24" s="1">
        <v>0.25</v>
      </c>
      <c r="Z24">
        <v>0</v>
      </c>
      <c r="AA24">
        <v>0</v>
      </c>
      <c r="AB24">
        <v>0</v>
      </c>
      <c r="AC24">
        <v>0</v>
      </c>
      <c r="AD24" s="1">
        <v>0.5</v>
      </c>
      <c r="AE24">
        <v>0</v>
      </c>
      <c r="AF24" s="1">
        <v>0</v>
      </c>
      <c r="AG24" s="1">
        <v>1</v>
      </c>
      <c r="AH24" s="1">
        <v>2</v>
      </c>
      <c r="AI24" s="1">
        <v>300</v>
      </c>
      <c r="AJ24" s="1">
        <v>145</v>
      </c>
      <c r="AK24" t="s">
        <v>50</v>
      </c>
    </row>
    <row r="25" spans="1:3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0.8</v>
      </c>
      <c r="G25">
        <v>0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 s="1">
        <v>0.2</v>
      </c>
      <c r="Y25" s="1">
        <v>0</v>
      </c>
      <c r="Z25">
        <v>0</v>
      </c>
      <c r="AA25">
        <v>0</v>
      </c>
      <c r="AB25">
        <v>0</v>
      </c>
      <c r="AC25">
        <v>0</v>
      </c>
      <c r="AD25" s="1">
        <v>0.5</v>
      </c>
      <c r="AE25">
        <v>0</v>
      </c>
      <c r="AF25" s="1">
        <v>0</v>
      </c>
      <c r="AG25" s="1">
        <v>1</v>
      </c>
      <c r="AH25" s="1">
        <v>10</v>
      </c>
      <c r="AI25" s="1">
        <v>276</v>
      </c>
      <c r="AJ25" s="1">
        <v>150</v>
      </c>
      <c r="AK25" t="s">
        <v>52</v>
      </c>
    </row>
    <row r="26" spans="1:3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>
        <v>0</v>
      </c>
      <c r="X26" s="1">
        <v>0.1</v>
      </c>
      <c r="Y26" s="1">
        <v>0.06</v>
      </c>
      <c r="Z26">
        <v>0</v>
      </c>
      <c r="AA26">
        <v>0</v>
      </c>
      <c r="AB26">
        <v>0</v>
      </c>
      <c r="AC26">
        <v>0</v>
      </c>
      <c r="AD26" s="1">
        <v>0.5</v>
      </c>
      <c r="AE26">
        <v>0</v>
      </c>
      <c r="AF26" s="1">
        <v>0</v>
      </c>
      <c r="AG26" s="1">
        <v>2</v>
      </c>
      <c r="AH26" s="1">
        <v>20</v>
      </c>
      <c r="AI26" s="1">
        <v>194.85294117647061</v>
      </c>
      <c r="AJ26" s="1">
        <v>264</v>
      </c>
      <c r="AK26" t="s">
        <v>58</v>
      </c>
    </row>
    <row r="27" spans="1:3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 s="1">
        <v>0.15</v>
      </c>
      <c r="Y27" s="1">
        <v>0.06</v>
      </c>
      <c r="Z27">
        <v>0</v>
      </c>
      <c r="AA27" s="1">
        <v>0.79</v>
      </c>
      <c r="AB27">
        <v>0</v>
      </c>
      <c r="AC27">
        <v>0</v>
      </c>
      <c r="AD27" s="1">
        <v>0.5</v>
      </c>
      <c r="AE27">
        <v>0</v>
      </c>
      <c r="AF27" s="1">
        <v>0</v>
      </c>
      <c r="AG27" s="1">
        <v>2</v>
      </c>
      <c r="AH27" s="1">
        <v>20</v>
      </c>
      <c r="AI27" s="1">
        <v>12.762295081967213</v>
      </c>
      <c r="AJ27" s="1">
        <v>264</v>
      </c>
      <c r="AK27" t="s">
        <v>58</v>
      </c>
    </row>
    <row r="28" spans="1:3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0.6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 s="1">
        <v>0.1</v>
      </c>
      <c r="Y28" s="1">
        <v>0.06</v>
      </c>
      <c r="Z28">
        <v>0</v>
      </c>
      <c r="AA28">
        <v>0.24</v>
      </c>
      <c r="AB28">
        <v>0</v>
      </c>
      <c r="AC28">
        <v>0</v>
      </c>
      <c r="AD28" s="1">
        <v>0.5</v>
      </c>
      <c r="AE28">
        <v>0</v>
      </c>
      <c r="AF28" s="1">
        <v>0</v>
      </c>
      <c r="AG28" s="1">
        <v>2</v>
      </c>
      <c r="AH28" s="1">
        <v>20</v>
      </c>
      <c r="AI28" s="1">
        <v>249.61224489795919</v>
      </c>
      <c r="AJ28" s="1">
        <v>264</v>
      </c>
      <c r="AK28" t="s">
        <v>58</v>
      </c>
    </row>
    <row r="29" spans="1:3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0.77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>
        <v>0</v>
      </c>
      <c r="X29" s="1">
        <v>0.15</v>
      </c>
      <c r="Y29" s="1">
        <v>0.08</v>
      </c>
      <c r="Z29">
        <v>0</v>
      </c>
      <c r="AA29" s="1">
        <v>0</v>
      </c>
      <c r="AB29">
        <v>0</v>
      </c>
      <c r="AC29">
        <v>0</v>
      </c>
      <c r="AD29" s="1">
        <v>0.5</v>
      </c>
      <c r="AE29">
        <v>0</v>
      </c>
      <c r="AF29" s="1">
        <v>0</v>
      </c>
      <c r="AG29" s="1">
        <v>2</v>
      </c>
      <c r="AH29" s="1">
        <v>20</v>
      </c>
      <c r="AI29" s="1">
        <v>306.01492537313436</v>
      </c>
      <c r="AJ29" s="1">
        <v>264</v>
      </c>
      <c r="AK29" t="s">
        <v>58</v>
      </c>
    </row>
    <row r="30" spans="1:3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0.6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 s="1">
        <v>0.15</v>
      </c>
      <c r="Y30" s="1">
        <v>0.08</v>
      </c>
      <c r="Z30">
        <v>0</v>
      </c>
      <c r="AA30">
        <v>0.17</v>
      </c>
      <c r="AB30">
        <v>0</v>
      </c>
      <c r="AC30">
        <v>0</v>
      </c>
      <c r="AD30" s="1">
        <v>0.5</v>
      </c>
      <c r="AE30">
        <v>0</v>
      </c>
      <c r="AF30" s="1">
        <v>0</v>
      </c>
      <c r="AG30" s="1">
        <v>2</v>
      </c>
      <c r="AH30" s="1">
        <v>20</v>
      </c>
      <c r="AI30" s="1">
        <v>478.57246376811599</v>
      </c>
      <c r="AJ30" s="1">
        <v>264</v>
      </c>
      <c r="AK30" t="s">
        <v>58</v>
      </c>
    </row>
    <row r="31" spans="1:3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0.49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 s="1">
        <v>0.12</v>
      </c>
      <c r="Y31" s="1">
        <v>7.0000000000000007E-2</v>
      </c>
      <c r="Z31">
        <v>0</v>
      </c>
      <c r="AA31" s="1">
        <v>0.32</v>
      </c>
      <c r="AB31">
        <v>0</v>
      </c>
      <c r="AC31">
        <v>0</v>
      </c>
      <c r="AD31" s="1">
        <v>0.5</v>
      </c>
      <c r="AE31">
        <v>0</v>
      </c>
      <c r="AF31" s="1">
        <v>0</v>
      </c>
      <c r="AG31" s="1">
        <v>2</v>
      </c>
      <c r="AH31" s="1">
        <v>20</v>
      </c>
      <c r="AI31" s="1">
        <v>575.14285714285711</v>
      </c>
      <c r="AJ31" s="1">
        <v>264</v>
      </c>
      <c r="AK31" t="s">
        <v>58</v>
      </c>
    </row>
    <row r="32" spans="1:3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0.33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>
        <v>0</v>
      </c>
      <c r="X32" s="1">
        <v>0.11</v>
      </c>
      <c r="Y32" s="1">
        <v>7.0000000000000007E-2</v>
      </c>
      <c r="Z32">
        <v>0</v>
      </c>
      <c r="AA32">
        <v>0.49</v>
      </c>
      <c r="AB32">
        <v>0</v>
      </c>
      <c r="AC32">
        <v>0</v>
      </c>
      <c r="AD32" s="1">
        <v>0.5</v>
      </c>
      <c r="AE32">
        <v>0</v>
      </c>
      <c r="AF32" s="1">
        <v>0</v>
      </c>
      <c r="AG32" s="1">
        <v>2</v>
      </c>
      <c r="AH32" s="1">
        <v>20</v>
      </c>
      <c r="AI32" s="1">
        <v>668.70588235294122</v>
      </c>
      <c r="AJ32" s="1">
        <v>264</v>
      </c>
      <c r="AK32" t="s">
        <v>58</v>
      </c>
    </row>
    <row r="33" spans="1:3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0.28999999999999998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>
        <v>0</v>
      </c>
      <c r="X33" s="1">
        <v>0.13</v>
      </c>
      <c r="Y33" s="1">
        <v>0.08</v>
      </c>
      <c r="Z33">
        <v>0</v>
      </c>
      <c r="AA33" s="1">
        <v>0.5</v>
      </c>
      <c r="AB33">
        <v>0</v>
      </c>
      <c r="AC33">
        <v>0</v>
      </c>
      <c r="AD33" s="1">
        <v>0.5</v>
      </c>
      <c r="AE33">
        <v>0</v>
      </c>
      <c r="AF33" s="1">
        <v>0</v>
      </c>
      <c r="AG33" s="1">
        <v>2</v>
      </c>
      <c r="AH33" s="1">
        <v>20</v>
      </c>
      <c r="AI33" s="1">
        <v>812</v>
      </c>
      <c r="AJ33" s="1">
        <v>264</v>
      </c>
      <c r="AK33" t="s">
        <v>58</v>
      </c>
    </row>
    <row r="34" spans="1:3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>
        <v>0</v>
      </c>
      <c r="X34" s="1">
        <v>0.11</v>
      </c>
      <c r="Y34" s="1">
        <v>0.08</v>
      </c>
      <c r="Z34">
        <v>0</v>
      </c>
      <c r="AA34">
        <v>0.61</v>
      </c>
      <c r="AB34">
        <v>0</v>
      </c>
      <c r="AC34">
        <v>0</v>
      </c>
      <c r="AD34" s="1">
        <v>0.5</v>
      </c>
      <c r="AE34">
        <v>0</v>
      </c>
      <c r="AF34" s="1">
        <v>0</v>
      </c>
      <c r="AG34" s="1">
        <v>2</v>
      </c>
      <c r="AH34" s="1">
        <v>20</v>
      </c>
      <c r="AI34" s="1">
        <v>771.3364485981308</v>
      </c>
      <c r="AJ34" s="1">
        <v>264</v>
      </c>
      <c r="AK34" t="s">
        <v>58</v>
      </c>
    </row>
    <row r="35" spans="1:3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0.15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 s="1">
        <v>0.13</v>
      </c>
      <c r="Y35" s="1">
        <v>7.0000000000000007E-2</v>
      </c>
      <c r="Z35">
        <v>0</v>
      </c>
      <c r="AA35" s="1">
        <v>0.65</v>
      </c>
      <c r="AB35">
        <v>0</v>
      </c>
      <c r="AC35">
        <v>0</v>
      </c>
      <c r="AD35" s="1">
        <v>0.5</v>
      </c>
      <c r="AE35">
        <v>0</v>
      </c>
      <c r="AF35" s="1">
        <v>0</v>
      </c>
      <c r="AG35" s="1">
        <v>2</v>
      </c>
      <c r="AH35" s="1">
        <v>20</v>
      </c>
      <c r="AI35" s="1">
        <v>314.41739130434786</v>
      </c>
      <c r="AJ35" s="1">
        <v>264</v>
      </c>
      <c r="AK35" t="s">
        <v>58</v>
      </c>
    </row>
    <row r="36" spans="1:37" x14ac:dyDescent="0.3">
      <c r="A36">
        <v>0</v>
      </c>
      <c r="B36">
        <v>0</v>
      </c>
      <c r="C36">
        <v>0</v>
      </c>
      <c r="D36">
        <v>0</v>
      </c>
      <c r="E36">
        <v>0.95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>
        <v>0</v>
      </c>
      <c r="X36">
        <f>0.05</f>
        <v>0.05</v>
      </c>
      <c r="Y36" s="1">
        <v>0</v>
      </c>
      <c r="Z36">
        <v>0</v>
      </c>
      <c r="AA36" s="1">
        <v>0</v>
      </c>
      <c r="AB36">
        <v>0</v>
      </c>
      <c r="AC36">
        <v>0</v>
      </c>
      <c r="AD36" s="1">
        <v>0.5</v>
      </c>
      <c r="AE36">
        <v>0</v>
      </c>
      <c r="AF36" s="1">
        <v>0</v>
      </c>
      <c r="AG36" s="1">
        <v>1</v>
      </c>
      <c r="AH36" s="1">
        <v>50</v>
      </c>
      <c r="AI36" s="1">
        <v>140</v>
      </c>
      <c r="AJ36" s="1">
        <v>122</v>
      </c>
      <c r="AK36" t="s">
        <v>65</v>
      </c>
    </row>
    <row r="37" spans="1:37" x14ac:dyDescent="0.3">
      <c r="A37">
        <v>0</v>
      </c>
      <c r="B37">
        <v>0</v>
      </c>
      <c r="C37">
        <v>0</v>
      </c>
      <c r="D37">
        <v>0</v>
      </c>
      <c r="E37">
        <v>0.95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 s="1">
        <v>3.5000000000000003E-2</v>
      </c>
      <c r="Y37" s="1">
        <v>0</v>
      </c>
      <c r="Z37">
        <v>0</v>
      </c>
      <c r="AA37" s="1">
        <v>0</v>
      </c>
      <c r="AB37">
        <v>1.4999999999999999E-2</v>
      </c>
      <c r="AC37">
        <v>0</v>
      </c>
      <c r="AD37" s="1">
        <v>0.5</v>
      </c>
      <c r="AE37">
        <v>0</v>
      </c>
      <c r="AF37" s="1">
        <v>0</v>
      </c>
      <c r="AG37" s="1">
        <v>1</v>
      </c>
      <c r="AH37" s="1">
        <v>50</v>
      </c>
      <c r="AI37" s="1">
        <v>150</v>
      </c>
      <c r="AJ37" s="1">
        <v>122</v>
      </c>
      <c r="AK37" t="s">
        <v>65</v>
      </c>
    </row>
    <row r="38" spans="1:37" x14ac:dyDescent="0.3">
      <c r="A38">
        <v>0</v>
      </c>
      <c r="B38">
        <v>0</v>
      </c>
      <c r="C38">
        <v>0</v>
      </c>
      <c r="D38">
        <v>0</v>
      </c>
      <c r="E38">
        <v>0.93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 s="1">
        <v>5.2999999999999999E-2</v>
      </c>
      <c r="Y38" s="1">
        <v>0</v>
      </c>
      <c r="Z38">
        <v>0</v>
      </c>
      <c r="AA38" s="1">
        <v>0</v>
      </c>
      <c r="AB38">
        <v>1.7000000000000001E-2</v>
      </c>
      <c r="AC38">
        <v>0</v>
      </c>
      <c r="AD38" s="1">
        <v>0.5</v>
      </c>
      <c r="AE38">
        <v>0</v>
      </c>
      <c r="AF38" s="1">
        <v>0</v>
      </c>
      <c r="AG38" s="1">
        <v>1</v>
      </c>
      <c r="AH38" s="1">
        <v>50</v>
      </c>
      <c r="AI38" s="1">
        <v>180</v>
      </c>
      <c r="AJ38" s="1">
        <v>122</v>
      </c>
      <c r="AK38" t="s">
        <v>65</v>
      </c>
    </row>
    <row r="39" spans="1:37" x14ac:dyDescent="0.3">
      <c r="A39">
        <v>0</v>
      </c>
      <c r="B39">
        <v>0</v>
      </c>
      <c r="C39">
        <v>0</v>
      </c>
      <c r="D39">
        <v>0.98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 s="1">
        <v>0.02</v>
      </c>
      <c r="Y39" s="1">
        <v>0</v>
      </c>
      <c r="Z39">
        <v>0</v>
      </c>
      <c r="AA39" s="1">
        <v>0</v>
      </c>
      <c r="AB39" s="1">
        <v>0</v>
      </c>
      <c r="AC39">
        <v>0</v>
      </c>
      <c r="AD39" s="1">
        <v>1</v>
      </c>
      <c r="AE39">
        <v>0</v>
      </c>
      <c r="AF39" s="1">
        <v>0</v>
      </c>
      <c r="AG39" s="1">
        <v>1.8</v>
      </c>
      <c r="AH39" s="1">
        <v>20</v>
      </c>
      <c r="AI39">
        <f>55/0.14</f>
        <v>392.85714285714283</v>
      </c>
      <c r="AJ39" s="1">
        <v>153</v>
      </c>
      <c r="AK39" t="s">
        <v>66</v>
      </c>
    </row>
    <row r="40" spans="1:37" x14ac:dyDescent="0.3">
      <c r="A40">
        <v>0</v>
      </c>
      <c r="B40">
        <v>0</v>
      </c>
      <c r="C40">
        <v>0</v>
      </c>
      <c r="D40">
        <f>1/1.07</f>
        <v>0.93457943925233644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f>0.07/1.07</f>
        <v>6.5420560747663559E-2</v>
      </c>
      <c r="Y40" s="1">
        <v>0</v>
      </c>
      <c r="Z40">
        <v>0</v>
      </c>
      <c r="AA40" s="1">
        <v>0</v>
      </c>
      <c r="AB40" s="1">
        <v>0</v>
      </c>
      <c r="AC40">
        <v>0</v>
      </c>
      <c r="AD40" s="1">
        <v>1</v>
      </c>
      <c r="AE40">
        <v>0</v>
      </c>
      <c r="AF40" s="1">
        <v>0</v>
      </c>
      <c r="AG40" s="1">
        <v>1.8</v>
      </c>
      <c r="AH40" s="1">
        <v>20</v>
      </c>
      <c r="AI40">
        <f>0.25/0.07</f>
        <v>3.5714285714285712</v>
      </c>
      <c r="AJ40" s="1">
        <v>153</v>
      </c>
      <c r="AK40" t="s">
        <v>66</v>
      </c>
    </row>
    <row r="41" spans="1:37" x14ac:dyDescent="0.3">
      <c r="A41">
        <v>0</v>
      </c>
      <c r="B41">
        <v>0</v>
      </c>
      <c r="C41">
        <v>0</v>
      </c>
      <c r="D41">
        <f>2/2.07</f>
        <v>0.96618357487922713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f>0.07/2.07</f>
        <v>3.3816425120772951E-2</v>
      </c>
      <c r="Y41" s="1">
        <v>0</v>
      </c>
      <c r="Z41">
        <v>0</v>
      </c>
      <c r="AA41" s="1">
        <v>0</v>
      </c>
      <c r="AB41" s="1">
        <v>0</v>
      </c>
      <c r="AC41">
        <v>0</v>
      </c>
      <c r="AD41" s="1">
        <v>1</v>
      </c>
      <c r="AE41">
        <v>0</v>
      </c>
      <c r="AF41" s="1">
        <v>0</v>
      </c>
      <c r="AG41" s="1">
        <v>1.8</v>
      </c>
      <c r="AH41" s="1">
        <v>20</v>
      </c>
      <c r="AI41">
        <f>0.5/0.07</f>
        <v>7.1428571428571423</v>
      </c>
      <c r="AJ41" s="1">
        <v>153</v>
      </c>
      <c r="AK41" t="s">
        <v>66</v>
      </c>
    </row>
    <row r="42" spans="1:37" x14ac:dyDescent="0.3">
      <c r="A42">
        <v>0</v>
      </c>
      <c r="B42">
        <v>0</v>
      </c>
      <c r="C42">
        <v>0</v>
      </c>
      <c r="D42">
        <f>3/3.07</f>
        <v>0.97719869706840401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f>0.07/3.07</f>
        <v>2.2801302931596094E-2</v>
      </c>
      <c r="Y42" s="1">
        <v>0</v>
      </c>
      <c r="Z42">
        <v>0</v>
      </c>
      <c r="AA42" s="1">
        <v>0</v>
      </c>
      <c r="AB42" s="1">
        <v>0</v>
      </c>
      <c r="AC42">
        <v>0</v>
      </c>
      <c r="AD42" s="1">
        <v>1</v>
      </c>
      <c r="AE42">
        <v>0</v>
      </c>
      <c r="AF42" s="1">
        <v>0</v>
      </c>
      <c r="AG42" s="1">
        <v>1.8</v>
      </c>
      <c r="AH42" s="1">
        <v>20</v>
      </c>
      <c r="AI42">
        <f>3.1/0.07</f>
        <v>44.285714285714285</v>
      </c>
      <c r="AJ42" s="1">
        <v>153</v>
      </c>
      <c r="AK42" t="s">
        <v>66</v>
      </c>
    </row>
    <row r="43" spans="1:37" x14ac:dyDescent="0.3">
      <c r="A43">
        <v>0</v>
      </c>
      <c r="B43">
        <v>0</v>
      </c>
      <c r="C43">
        <v>0</v>
      </c>
      <c r="D43">
        <f>5/5.07</f>
        <v>0.98619329388560151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>
        <v>0</v>
      </c>
      <c r="X43">
        <f>0.07/5.07</f>
        <v>1.3806706114398423E-2</v>
      </c>
      <c r="Y43" s="1">
        <v>0</v>
      </c>
      <c r="Z43">
        <v>0</v>
      </c>
      <c r="AA43" s="1">
        <v>0</v>
      </c>
      <c r="AB43" s="1">
        <v>0</v>
      </c>
      <c r="AC43">
        <v>0</v>
      </c>
      <c r="AD43" s="1">
        <v>1</v>
      </c>
      <c r="AE43">
        <v>0</v>
      </c>
      <c r="AF43" s="1">
        <v>0</v>
      </c>
      <c r="AG43" s="1">
        <v>1.8</v>
      </c>
      <c r="AH43" s="1">
        <v>20</v>
      </c>
      <c r="AI43">
        <f>6/0.07</f>
        <v>85.714285714285708</v>
      </c>
      <c r="AJ43" s="1">
        <v>153</v>
      </c>
      <c r="AK43" t="s">
        <v>66</v>
      </c>
    </row>
    <row r="44" spans="1:37" x14ac:dyDescent="0.3">
      <c r="A44">
        <v>0</v>
      </c>
      <c r="B44">
        <v>0</v>
      </c>
      <c r="C44">
        <v>0</v>
      </c>
      <c r="D44">
        <f>6/6.07</f>
        <v>0.98846787479406917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f>0.07/6.07</f>
        <v>1.1532125205930808E-2</v>
      </c>
      <c r="Y44" s="1">
        <v>0</v>
      </c>
      <c r="Z44">
        <v>0</v>
      </c>
      <c r="AA44" s="1">
        <v>0</v>
      </c>
      <c r="AB44" s="1">
        <v>0</v>
      </c>
      <c r="AC44">
        <v>0</v>
      </c>
      <c r="AD44" s="1">
        <v>1</v>
      </c>
      <c r="AE44">
        <v>0</v>
      </c>
      <c r="AF44" s="1">
        <v>0</v>
      </c>
      <c r="AG44" s="1">
        <v>1.8</v>
      </c>
      <c r="AH44" s="1">
        <v>20</v>
      </c>
      <c r="AI44">
        <f>10/0.07</f>
        <v>142.85714285714283</v>
      </c>
      <c r="AJ44" s="1">
        <v>153</v>
      </c>
      <c r="AK44" t="s">
        <v>66</v>
      </c>
    </row>
    <row r="45" spans="1:37" x14ac:dyDescent="0.3">
      <c r="A45">
        <v>0</v>
      </c>
      <c r="B45">
        <v>0</v>
      </c>
      <c r="C45">
        <v>0</v>
      </c>
      <c r="D45">
        <f>6/6.03</f>
        <v>0.99502487562189046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f>0.03/6.03</f>
        <v>4.9751243781094526E-3</v>
      </c>
      <c r="Y45" s="1">
        <v>0</v>
      </c>
      <c r="Z45">
        <v>0</v>
      </c>
      <c r="AA45" s="1">
        <v>0</v>
      </c>
      <c r="AB45" s="1">
        <v>0</v>
      </c>
      <c r="AC45">
        <v>0</v>
      </c>
      <c r="AD45" s="1">
        <v>1</v>
      </c>
      <c r="AE45">
        <v>0</v>
      </c>
      <c r="AF45" s="1">
        <v>0</v>
      </c>
      <c r="AG45" s="1">
        <v>1.8</v>
      </c>
      <c r="AH45" s="1">
        <v>20</v>
      </c>
      <c r="AI45">
        <f>4/0.03</f>
        <v>133.33333333333334</v>
      </c>
      <c r="AJ45" s="1">
        <v>153</v>
      </c>
      <c r="AK45" t="s">
        <v>66</v>
      </c>
    </row>
    <row r="46" spans="1:37" x14ac:dyDescent="0.3">
      <c r="A46">
        <v>0</v>
      </c>
      <c r="B46">
        <v>0</v>
      </c>
      <c r="C46">
        <v>0</v>
      </c>
      <c r="D46">
        <f>6/6.07</f>
        <v>0.98846787479406917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f>0.07/6.07</f>
        <v>1.1532125205930808E-2</v>
      </c>
      <c r="Y46" s="1">
        <v>0</v>
      </c>
      <c r="Z46">
        <v>0</v>
      </c>
      <c r="AA46" s="1">
        <v>0</v>
      </c>
      <c r="AB46" s="1">
        <v>0</v>
      </c>
      <c r="AC46">
        <v>0</v>
      </c>
      <c r="AD46" s="1">
        <v>1</v>
      </c>
      <c r="AE46">
        <v>0</v>
      </c>
      <c r="AF46" s="1">
        <v>0</v>
      </c>
      <c r="AG46" s="1">
        <v>1.8</v>
      </c>
      <c r="AH46" s="1">
        <v>20</v>
      </c>
      <c r="AI46">
        <f>14/0.07</f>
        <v>199.99999999999997</v>
      </c>
      <c r="AJ46" s="1">
        <v>153</v>
      </c>
      <c r="AK46" t="s">
        <v>66</v>
      </c>
    </row>
    <row r="47" spans="1:37" x14ac:dyDescent="0.3">
      <c r="A47">
        <v>0</v>
      </c>
      <c r="B47">
        <v>0</v>
      </c>
      <c r="C47">
        <v>0</v>
      </c>
      <c r="D47">
        <f>6/6.11</f>
        <v>0.98199672667757765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f>0.11/6.11</f>
        <v>1.8003273322422259E-2</v>
      </c>
      <c r="Y47" s="1">
        <v>0</v>
      </c>
      <c r="Z47">
        <v>0</v>
      </c>
      <c r="AA47" s="1">
        <v>0</v>
      </c>
      <c r="AB47" s="1">
        <v>0</v>
      </c>
      <c r="AC47">
        <v>0</v>
      </c>
      <c r="AD47" s="1">
        <v>1</v>
      </c>
      <c r="AE47">
        <v>0</v>
      </c>
      <c r="AF47" s="1">
        <v>0</v>
      </c>
      <c r="AG47" s="1">
        <v>1.8</v>
      </c>
      <c r="AH47" s="1">
        <v>20</v>
      </c>
      <c r="AI47">
        <f>19/0.11</f>
        <v>172.72727272727272</v>
      </c>
      <c r="AJ47" s="1">
        <v>153</v>
      </c>
      <c r="AK47" t="s">
        <v>66</v>
      </c>
    </row>
    <row r="48" spans="1:37" x14ac:dyDescent="0.3">
      <c r="A48">
        <v>0</v>
      </c>
      <c r="B48">
        <v>0</v>
      </c>
      <c r="C48">
        <v>0</v>
      </c>
      <c r="D48">
        <v>0.69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>
        <v>0</v>
      </c>
      <c r="X48">
        <v>0.2</v>
      </c>
      <c r="Y48">
        <v>0.11</v>
      </c>
      <c r="Z48">
        <v>0</v>
      </c>
      <c r="AA48" s="1">
        <v>0</v>
      </c>
      <c r="AB48" s="1">
        <v>0</v>
      </c>
      <c r="AC48">
        <v>0</v>
      </c>
      <c r="AD48" s="1">
        <v>1</v>
      </c>
      <c r="AE48">
        <v>0</v>
      </c>
      <c r="AF48" s="1">
        <v>0</v>
      </c>
      <c r="AG48" s="1">
        <v>1</v>
      </c>
      <c r="AH48" s="1">
        <v>20</v>
      </c>
      <c r="AI48">
        <f>55/0.2</f>
        <v>275</v>
      </c>
      <c r="AJ48" s="1">
        <v>154</v>
      </c>
      <c r="AK48" t="s">
        <v>67</v>
      </c>
    </row>
    <row r="49" spans="1:37" x14ac:dyDescent="0.3">
      <c r="A49">
        <v>0</v>
      </c>
      <c r="B49">
        <v>0</v>
      </c>
      <c r="C49">
        <v>0</v>
      </c>
      <c r="D49">
        <v>0</v>
      </c>
      <c r="E49">
        <v>0.69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f>0.4/1.3*0.65</f>
        <v>0.2</v>
      </c>
      <c r="Y49">
        <v>0.11</v>
      </c>
      <c r="Z49">
        <v>0</v>
      </c>
      <c r="AA49" s="1">
        <v>0</v>
      </c>
      <c r="AB49" s="1">
        <v>0</v>
      </c>
      <c r="AC49">
        <v>0</v>
      </c>
      <c r="AD49" s="1">
        <v>1</v>
      </c>
      <c r="AE49">
        <v>0</v>
      </c>
      <c r="AF49" s="1">
        <v>0</v>
      </c>
      <c r="AG49" s="1">
        <v>1</v>
      </c>
      <c r="AH49" s="1">
        <v>20</v>
      </c>
      <c r="AI49">
        <f>38/0.2</f>
        <v>190</v>
      </c>
      <c r="AJ49" s="1">
        <v>154</v>
      </c>
      <c r="AK49" t="s">
        <v>67</v>
      </c>
    </row>
    <row r="50" spans="1:3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0</v>
      </c>
      <c r="W50">
        <v>0</v>
      </c>
      <c r="X50">
        <f>0.4/1.3*0.65</f>
        <v>0.2</v>
      </c>
      <c r="Y50">
        <v>0.11</v>
      </c>
      <c r="Z50">
        <v>0</v>
      </c>
      <c r="AA50" s="1">
        <v>0</v>
      </c>
      <c r="AB50" s="1">
        <v>0</v>
      </c>
      <c r="AC50">
        <v>0</v>
      </c>
      <c r="AD50" s="1">
        <v>1</v>
      </c>
      <c r="AE50">
        <v>0</v>
      </c>
      <c r="AF50" s="1">
        <v>0</v>
      </c>
      <c r="AG50" s="1">
        <v>1</v>
      </c>
      <c r="AH50" s="1">
        <v>50</v>
      </c>
      <c r="AI50">
        <f>22/0.2</f>
        <v>110</v>
      </c>
      <c r="AJ50" s="1">
        <v>154</v>
      </c>
      <c r="AK50" t="s">
        <v>67</v>
      </c>
    </row>
    <row r="51" spans="1:3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0</v>
      </c>
      <c r="W51">
        <v>0</v>
      </c>
      <c r="X51">
        <f>0.4/1.3*0.65</f>
        <v>0.2</v>
      </c>
      <c r="Y51">
        <v>0.11</v>
      </c>
      <c r="Z51">
        <v>0</v>
      </c>
      <c r="AA51" s="1">
        <v>0</v>
      </c>
      <c r="AB51" s="1">
        <v>0</v>
      </c>
      <c r="AC51">
        <v>0</v>
      </c>
      <c r="AD51" s="1">
        <v>1</v>
      </c>
      <c r="AE51">
        <v>0</v>
      </c>
      <c r="AF51" s="1">
        <v>0</v>
      </c>
      <c r="AG51" s="1">
        <v>1</v>
      </c>
      <c r="AH51" s="1">
        <v>50</v>
      </c>
      <c r="AI51">
        <f>11/0.2</f>
        <v>55</v>
      </c>
      <c r="AJ51" s="1">
        <v>154</v>
      </c>
      <c r="AK51" t="s">
        <v>67</v>
      </c>
    </row>
    <row r="52" spans="1:37" x14ac:dyDescent="0.3">
      <c r="A52">
        <v>0</v>
      </c>
      <c r="B52">
        <v>0</v>
      </c>
      <c r="C52">
        <v>0</v>
      </c>
      <c r="D52">
        <v>0</v>
      </c>
      <c r="E52">
        <v>0.95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>
        <v>0</v>
      </c>
      <c r="W52">
        <v>0</v>
      </c>
      <c r="X52">
        <v>0.02</v>
      </c>
      <c r="Y52">
        <v>0.03</v>
      </c>
      <c r="Z52">
        <v>0</v>
      </c>
      <c r="AA52">
        <v>0</v>
      </c>
      <c r="AB52" s="1">
        <v>0</v>
      </c>
      <c r="AC52">
        <v>0</v>
      </c>
      <c r="AD52" s="1">
        <v>0.5</v>
      </c>
      <c r="AE52">
        <v>0</v>
      </c>
      <c r="AF52" s="1">
        <v>0</v>
      </c>
      <c r="AG52" s="1">
        <v>1</v>
      </c>
      <c r="AH52" s="1">
        <v>50</v>
      </c>
      <c r="AI52">
        <v>40</v>
      </c>
      <c r="AJ52" s="1">
        <v>155</v>
      </c>
      <c r="AK52" t="s">
        <v>69</v>
      </c>
    </row>
    <row r="53" spans="1:37" x14ac:dyDescent="0.3">
      <c r="A53">
        <v>0</v>
      </c>
      <c r="B53">
        <v>0</v>
      </c>
      <c r="C53">
        <v>0</v>
      </c>
      <c r="D53">
        <v>0</v>
      </c>
      <c r="E53">
        <v>0.87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</v>
      </c>
      <c r="W53">
        <v>0</v>
      </c>
      <c r="X53">
        <v>0.13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1</v>
      </c>
      <c r="AE53">
        <v>0</v>
      </c>
      <c r="AF53" s="1">
        <v>0</v>
      </c>
      <c r="AG53" s="1">
        <v>0.5</v>
      </c>
      <c r="AH53" s="1">
        <v>100</v>
      </c>
      <c r="AI53">
        <f>0.06*1000/0.5</f>
        <v>120</v>
      </c>
      <c r="AJ53" s="1">
        <v>156</v>
      </c>
      <c r="AK53" t="s">
        <v>70</v>
      </c>
    </row>
    <row r="54" spans="1:3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>
        <v>0</v>
      </c>
      <c r="W54">
        <v>0</v>
      </c>
      <c r="X54">
        <v>0.08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1</v>
      </c>
      <c r="AE54">
        <v>0</v>
      </c>
      <c r="AF54" s="1">
        <v>0</v>
      </c>
      <c r="AG54" s="1">
        <v>0.5</v>
      </c>
      <c r="AH54" s="1">
        <v>100</v>
      </c>
      <c r="AI54">
        <f>0.05/0.5*1000</f>
        <v>100</v>
      </c>
      <c r="AJ54" s="1">
        <v>156</v>
      </c>
      <c r="AK54" t="s">
        <v>70</v>
      </c>
    </row>
    <row r="55" spans="1:37" x14ac:dyDescent="0.3">
      <c r="A55">
        <v>0</v>
      </c>
      <c r="B55">
        <v>0</v>
      </c>
      <c r="C55">
        <v>0</v>
      </c>
      <c r="D55">
        <v>0</v>
      </c>
      <c r="E55">
        <v>0.5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0.5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1</v>
      </c>
      <c r="AE55">
        <v>0</v>
      </c>
      <c r="AF55" s="1">
        <v>0</v>
      </c>
      <c r="AG55" s="1">
        <v>2</v>
      </c>
      <c r="AH55" s="1">
        <v>20</v>
      </c>
      <c r="AI55" s="1">
        <v>162</v>
      </c>
      <c r="AJ55" s="1">
        <v>159</v>
      </c>
      <c r="AK55" t="s">
        <v>332</v>
      </c>
    </row>
    <row r="56" spans="1:37" x14ac:dyDescent="0.3">
      <c r="A56">
        <v>0</v>
      </c>
      <c r="B56">
        <v>0</v>
      </c>
      <c r="C56">
        <v>0</v>
      </c>
      <c r="D56">
        <v>0</v>
      </c>
      <c r="E56">
        <v>0.6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0.4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1</v>
      </c>
      <c r="AE56">
        <v>0</v>
      </c>
      <c r="AF56" s="1">
        <v>0</v>
      </c>
      <c r="AG56" s="1">
        <v>2</v>
      </c>
      <c r="AH56" s="1">
        <v>20</v>
      </c>
      <c r="AI56" s="1">
        <v>218</v>
      </c>
      <c r="AJ56" s="1">
        <v>159</v>
      </c>
      <c r="AK56" t="s">
        <v>332</v>
      </c>
    </row>
    <row r="57" spans="1:37" x14ac:dyDescent="0.3">
      <c r="A57">
        <v>0</v>
      </c>
      <c r="B57">
        <v>0</v>
      </c>
      <c r="C57">
        <v>0</v>
      </c>
      <c r="D57">
        <v>0</v>
      </c>
      <c r="E57">
        <v>0.75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0.25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1</v>
      </c>
      <c r="AE57">
        <v>0</v>
      </c>
      <c r="AF57" s="1">
        <v>0</v>
      </c>
      <c r="AG57" s="1">
        <v>2</v>
      </c>
      <c r="AH57" s="1">
        <v>20</v>
      </c>
      <c r="AI57" s="1">
        <v>279</v>
      </c>
      <c r="AJ57" s="1">
        <v>159</v>
      </c>
      <c r="AK57" t="s">
        <v>332</v>
      </c>
    </row>
    <row r="58" spans="1:37" x14ac:dyDescent="0.3">
      <c r="A58">
        <v>0</v>
      </c>
      <c r="B58">
        <v>0</v>
      </c>
      <c r="C58">
        <v>0</v>
      </c>
      <c r="D58">
        <v>0</v>
      </c>
      <c r="E58">
        <v>0.86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0.14000000000000001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1</v>
      </c>
      <c r="AE58">
        <v>0</v>
      </c>
      <c r="AF58" s="1">
        <v>0</v>
      </c>
      <c r="AG58" s="1">
        <v>2</v>
      </c>
      <c r="AH58" s="1">
        <v>20</v>
      </c>
      <c r="AI58" s="1">
        <v>360</v>
      </c>
      <c r="AJ58" s="1">
        <v>159</v>
      </c>
      <c r="AK58" t="s">
        <v>332</v>
      </c>
    </row>
    <row r="59" spans="1:3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0</v>
      </c>
      <c r="W59">
        <v>0</v>
      </c>
      <c r="X59">
        <v>0.09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0.5</v>
      </c>
      <c r="AE59">
        <v>0</v>
      </c>
      <c r="AF59" s="1">
        <v>0</v>
      </c>
      <c r="AG59" s="1">
        <v>0.5</v>
      </c>
      <c r="AH59" s="1">
        <v>50</v>
      </c>
      <c r="AI59">
        <f>0.08/0.00098</f>
        <v>81.632653061224488</v>
      </c>
      <c r="AJ59" s="1">
        <v>160</v>
      </c>
      <c r="AK59" s="6" t="s">
        <v>71</v>
      </c>
    </row>
    <row r="60" spans="1:37" x14ac:dyDescent="0.3">
      <c r="A60">
        <v>0</v>
      </c>
      <c r="B60">
        <v>0</v>
      </c>
      <c r="C60">
        <v>0</v>
      </c>
      <c r="D60">
        <v>0</v>
      </c>
      <c r="E60">
        <v>0.91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1">
        <v>0</v>
      </c>
      <c r="W60">
        <v>0</v>
      </c>
      <c r="X60">
        <v>0.09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0.5</v>
      </c>
      <c r="AE60">
        <v>0</v>
      </c>
      <c r="AF60" s="1">
        <v>0</v>
      </c>
      <c r="AG60" s="1">
        <v>0.5</v>
      </c>
      <c r="AH60" s="1">
        <v>50</v>
      </c>
      <c r="AI60">
        <f>0.115/0.00098</f>
        <v>117.34693877551021</v>
      </c>
      <c r="AJ60" s="1">
        <v>160</v>
      </c>
      <c r="AK60" t="s">
        <v>71</v>
      </c>
    </row>
    <row r="61" spans="1:37" x14ac:dyDescent="0.3">
      <c r="A61">
        <v>0</v>
      </c>
      <c r="B61">
        <v>0</v>
      </c>
      <c r="C61">
        <v>0</v>
      </c>
      <c r="D61">
        <v>0</v>
      </c>
      <c r="E61">
        <v>0.8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">
        <v>0</v>
      </c>
      <c r="W61">
        <v>0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0.5</v>
      </c>
      <c r="AE61">
        <v>0</v>
      </c>
      <c r="AF61" s="1">
        <v>0</v>
      </c>
      <c r="AG61" s="1">
        <v>0.5</v>
      </c>
      <c r="AH61" s="1">
        <v>50</v>
      </c>
      <c r="AI61">
        <f>1.49/0.0017</f>
        <v>876.47058823529414</v>
      </c>
      <c r="AJ61" s="1">
        <v>160</v>
      </c>
      <c r="AK61" t="s">
        <v>71</v>
      </c>
    </row>
    <row r="62" spans="1:37" x14ac:dyDescent="0.3">
      <c r="A62">
        <v>0</v>
      </c>
      <c r="B62">
        <v>0</v>
      </c>
      <c r="C62">
        <v>0</v>
      </c>
      <c r="D62">
        <v>0</v>
      </c>
      <c r="E62">
        <v>0.6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">
        <v>0</v>
      </c>
      <c r="W62">
        <v>0</v>
      </c>
      <c r="X62">
        <v>0.4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0.5</v>
      </c>
      <c r="AE62">
        <v>0</v>
      </c>
      <c r="AF62" s="1">
        <v>0</v>
      </c>
      <c r="AG62" s="1">
        <v>0.5</v>
      </c>
      <c r="AH62" s="1">
        <v>50</v>
      </c>
      <c r="AI62">
        <f>2/0.0036</f>
        <v>555.55555555555554</v>
      </c>
      <c r="AJ62" s="1">
        <v>160</v>
      </c>
      <c r="AK62" t="s">
        <v>71</v>
      </c>
    </row>
    <row r="63" spans="1:3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0.57999999999999996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1">
        <v>0</v>
      </c>
      <c r="W63">
        <v>0</v>
      </c>
      <c r="X63">
        <v>0.42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0.5</v>
      </c>
      <c r="AE63">
        <v>0</v>
      </c>
      <c r="AF63" s="1">
        <v>0</v>
      </c>
      <c r="AG63" s="1">
        <v>0.5</v>
      </c>
      <c r="AH63" s="1">
        <v>50</v>
      </c>
      <c r="AI63">
        <f>1.82/0.0042</f>
        <v>433.33333333333337</v>
      </c>
      <c r="AJ63" s="1">
        <v>160</v>
      </c>
      <c r="AK63" t="s">
        <v>71</v>
      </c>
    </row>
    <row r="64" spans="1:37" x14ac:dyDescent="0.3">
      <c r="A64">
        <v>0</v>
      </c>
      <c r="B64">
        <v>0</v>
      </c>
      <c r="C64">
        <v>0</v>
      </c>
      <c r="D64">
        <v>0</v>
      </c>
      <c r="E64">
        <v>0.4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">
        <v>0</v>
      </c>
      <c r="W64">
        <v>0</v>
      </c>
      <c r="X64">
        <v>0.6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0.5</v>
      </c>
      <c r="AE64">
        <v>0</v>
      </c>
      <c r="AF64" s="1">
        <v>0</v>
      </c>
      <c r="AG64" s="1">
        <v>0.5</v>
      </c>
      <c r="AH64" s="1">
        <v>50</v>
      </c>
      <c r="AI64">
        <f>1.37/0.0055</f>
        <v>249.09090909090912</v>
      </c>
      <c r="AJ64" s="1">
        <v>160</v>
      </c>
      <c r="AK64" t="s">
        <v>71</v>
      </c>
    </row>
    <row r="65" spans="1:3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0.37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">
        <v>0</v>
      </c>
      <c r="W65">
        <v>0</v>
      </c>
      <c r="X65">
        <v>0.41</v>
      </c>
      <c r="Y65">
        <v>0.22</v>
      </c>
      <c r="Z65">
        <v>0</v>
      </c>
      <c r="AA65">
        <v>0</v>
      </c>
      <c r="AB65">
        <v>0</v>
      </c>
      <c r="AC65">
        <v>0</v>
      </c>
      <c r="AD65" s="1">
        <v>0.5</v>
      </c>
      <c r="AE65">
        <v>0</v>
      </c>
      <c r="AF65" s="1">
        <v>0</v>
      </c>
      <c r="AG65" s="1">
        <v>0.5</v>
      </c>
      <c r="AH65" s="1">
        <v>50</v>
      </c>
      <c r="AI65">
        <f>1.4/0.0058</f>
        <v>241.37931034482759</v>
      </c>
      <c r="AJ65" s="1">
        <v>160</v>
      </c>
      <c r="AK65" t="s">
        <v>71</v>
      </c>
    </row>
    <row r="66" spans="1:37" x14ac:dyDescent="0.3">
      <c r="A66">
        <v>0</v>
      </c>
      <c r="B66">
        <v>0</v>
      </c>
      <c r="C66">
        <v>0</v>
      </c>
      <c r="D66">
        <v>0</v>
      </c>
      <c r="E66">
        <v>0.6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0</v>
      </c>
      <c r="W66">
        <v>0</v>
      </c>
      <c r="X66">
        <v>0.2</v>
      </c>
      <c r="Y66">
        <v>0.2</v>
      </c>
      <c r="Z66">
        <v>0</v>
      </c>
      <c r="AA66">
        <v>0</v>
      </c>
      <c r="AB66">
        <v>0</v>
      </c>
      <c r="AC66">
        <v>0</v>
      </c>
      <c r="AD66" s="1">
        <v>0.5</v>
      </c>
      <c r="AE66">
        <v>0</v>
      </c>
      <c r="AF66" s="1">
        <v>0</v>
      </c>
      <c r="AG66" s="1">
        <v>0.5</v>
      </c>
      <c r="AH66" s="1">
        <v>50</v>
      </c>
      <c r="AI66">
        <f>2.05/0.0035</f>
        <v>585.71428571428567</v>
      </c>
      <c r="AJ66" s="1">
        <v>160</v>
      </c>
      <c r="AK66" t="s">
        <v>71</v>
      </c>
    </row>
    <row r="67" spans="1:37" x14ac:dyDescent="0.3">
      <c r="A67">
        <v>0</v>
      </c>
      <c r="B67">
        <v>0</v>
      </c>
      <c r="C67">
        <v>0</v>
      </c>
      <c r="D67">
        <v>0</v>
      </c>
      <c r="E67">
        <v>0.4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</v>
      </c>
      <c r="S67">
        <v>0</v>
      </c>
      <c r="T67">
        <v>0</v>
      </c>
      <c r="U67">
        <v>0</v>
      </c>
      <c r="V67" s="1">
        <v>0</v>
      </c>
      <c r="W67">
        <v>0</v>
      </c>
      <c r="X67">
        <v>0.27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1</v>
      </c>
      <c r="AE67">
        <v>0</v>
      </c>
      <c r="AF67" s="1">
        <v>0</v>
      </c>
      <c r="AG67" s="1">
        <v>2</v>
      </c>
      <c r="AH67" s="1">
        <v>20</v>
      </c>
      <c r="AI67">
        <v>118</v>
      </c>
      <c r="AJ67" s="1">
        <v>162</v>
      </c>
      <c r="AK67" t="s">
        <v>75</v>
      </c>
    </row>
    <row r="68" spans="1:37" x14ac:dyDescent="0.3">
      <c r="A68">
        <v>0</v>
      </c>
      <c r="B68">
        <v>0</v>
      </c>
      <c r="C68">
        <v>0</v>
      </c>
      <c r="D68">
        <v>0</v>
      </c>
      <c r="E68">
        <v>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0.22</v>
      </c>
      <c r="S68">
        <v>0</v>
      </c>
      <c r="T68">
        <v>0</v>
      </c>
      <c r="U68">
        <v>0</v>
      </c>
      <c r="V68" s="1">
        <v>0</v>
      </c>
      <c r="W68">
        <v>0</v>
      </c>
      <c r="X68">
        <v>0.38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1</v>
      </c>
      <c r="AE68">
        <v>0</v>
      </c>
      <c r="AF68" s="1">
        <v>0</v>
      </c>
      <c r="AG68" s="1">
        <v>2</v>
      </c>
      <c r="AH68" s="1">
        <v>20</v>
      </c>
      <c r="AI68">
        <v>162</v>
      </c>
      <c r="AJ68" s="1">
        <v>162</v>
      </c>
      <c r="AK68" t="s">
        <v>75</v>
      </c>
    </row>
    <row r="69" spans="1:37" x14ac:dyDescent="0.3">
      <c r="A69">
        <v>0</v>
      </c>
      <c r="B69">
        <v>0</v>
      </c>
      <c r="C69">
        <v>0</v>
      </c>
      <c r="D69">
        <v>0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0.14000000000000001</v>
      </c>
      <c r="S69">
        <v>0</v>
      </c>
      <c r="T69">
        <v>0</v>
      </c>
      <c r="U69">
        <v>0</v>
      </c>
      <c r="V69" s="1">
        <v>0</v>
      </c>
      <c r="W69">
        <v>0</v>
      </c>
      <c r="X69">
        <v>0.46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1</v>
      </c>
      <c r="AE69">
        <v>0</v>
      </c>
      <c r="AF69" s="1">
        <v>0</v>
      </c>
      <c r="AG69" s="1">
        <v>2</v>
      </c>
      <c r="AH69" s="1">
        <v>20</v>
      </c>
      <c r="AI69">
        <v>428</v>
      </c>
      <c r="AJ69" s="1">
        <v>162</v>
      </c>
      <c r="AK69" t="s">
        <v>75</v>
      </c>
    </row>
    <row r="70" spans="1:37" x14ac:dyDescent="0.3">
      <c r="A70">
        <v>0</v>
      </c>
      <c r="B70">
        <v>0</v>
      </c>
      <c r="C70">
        <v>0</v>
      </c>
      <c r="D70">
        <v>0</v>
      </c>
      <c r="E70">
        <v>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0.08</v>
      </c>
      <c r="S70">
        <v>0</v>
      </c>
      <c r="T70">
        <v>0</v>
      </c>
      <c r="U70">
        <v>0</v>
      </c>
      <c r="V70" s="1">
        <v>0</v>
      </c>
      <c r="W70">
        <v>0</v>
      </c>
      <c r="X70">
        <v>0.52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1</v>
      </c>
      <c r="AE70">
        <v>0</v>
      </c>
      <c r="AF70" s="1">
        <v>0</v>
      </c>
      <c r="AG70" s="1">
        <v>2</v>
      </c>
      <c r="AH70" s="1">
        <v>20</v>
      </c>
      <c r="AI70">
        <v>337</v>
      </c>
      <c r="AJ70" s="1">
        <v>162</v>
      </c>
      <c r="AK70" t="s">
        <v>75</v>
      </c>
    </row>
    <row r="71" spans="1:37" x14ac:dyDescent="0.3">
      <c r="A71">
        <v>0</v>
      </c>
      <c r="B71">
        <v>0</v>
      </c>
      <c r="C71">
        <v>0</v>
      </c>
      <c r="D71">
        <v>0</v>
      </c>
      <c r="E71">
        <v>0.4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">
        <v>0</v>
      </c>
      <c r="W71">
        <v>0</v>
      </c>
      <c r="X71">
        <v>0.6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1</v>
      </c>
      <c r="AE71">
        <v>0</v>
      </c>
      <c r="AF71" s="1">
        <v>0</v>
      </c>
      <c r="AG71" s="1">
        <v>2</v>
      </c>
      <c r="AH71" s="1">
        <v>20</v>
      </c>
      <c r="AI71">
        <v>146</v>
      </c>
      <c r="AJ71" s="1">
        <v>162</v>
      </c>
      <c r="AK71" t="s">
        <v>75</v>
      </c>
    </row>
    <row r="72" spans="1:37" x14ac:dyDescent="0.3">
      <c r="A72">
        <v>0</v>
      </c>
      <c r="B72">
        <v>0</v>
      </c>
      <c r="C72">
        <v>0</v>
      </c>
      <c r="D72">
        <v>0</v>
      </c>
      <c r="E72">
        <v>0.79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0.09</v>
      </c>
      <c r="V72" s="1">
        <v>0</v>
      </c>
      <c r="W72">
        <v>0</v>
      </c>
      <c r="X72">
        <v>0.09</v>
      </c>
      <c r="Y72">
        <v>0</v>
      </c>
      <c r="Z72">
        <v>0</v>
      </c>
      <c r="AA72">
        <v>0</v>
      </c>
      <c r="AB72">
        <v>0</v>
      </c>
      <c r="AC72">
        <f>0.03</f>
        <v>0.03</v>
      </c>
      <c r="AD72" s="1">
        <v>0.5</v>
      </c>
      <c r="AE72">
        <v>0</v>
      </c>
      <c r="AF72" s="1">
        <v>0</v>
      </c>
      <c r="AG72" s="1">
        <v>0.5</v>
      </c>
      <c r="AH72" s="1">
        <v>50</v>
      </c>
      <c r="AI72">
        <v>92</v>
      </c>
      <c r="AJ72" s="1">
        <v>164</v>
      </c>
      <c r="AK72" t="s">
        <v>79</v>
      </c>
    </row>
    <row r="73" spans="1:37" x14ac:dyDescent="0.3">
      <c r="A73">
        <v>0</v>
      </c>
      <c r="B73">
        <v>0</v>
      </c>
      <c r="C73">
        <v>0</v>
      </c>
      <c r="D73">
        <v>0</v>
      </c>
      <c r="E73">
        <v>0.75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0.06</v>
      </c>
      <c r="V73" s="1">
        <v>0</v>
      </c>
      <c r="W73">
        <v>0</v>
      </c>
      <c r="X73">
        <v>0.12</v>
      </c>
      <c r="Y73">
        <v>0</v>
      </c>
      <c r="Z73">
        <v>0</v>
      </c>
      <c r="AA73">
        <v>0</v>
      </c>
      <c r="AB73">
        <v>0</v>
      </c>
      <c r="AC73">
        <f>0.07</f>
        <v>7.0000000000000007E-2</v>
      </c>
      <c r="AD73" s="1">
        <v>0.5</v>
      </c>
      <c r="AE73">
        <v>0</v>
      </c>
      <c r="AF73" s="1">
        <v>0</v>
      </c>
      <c r="AG73" s="1">
        <v>0.5</v>
      </c>
      <c r="AH73" s="1">
        <v>50</v>
      </c>
      <c r="AI73">
        <v>138</v>
      </c>
      <c r="AJ73" s="1">
        <v>164</v>
      </c>
      <c r="AK73" t="s">
        <v>79</v>
      </c>
    </row>
    <row r="74" spans="1:37" x14ac:dyDescent="0.3">
      <c r="A74">
        <v>0</v>
      </c>
      <c r="B74">
        <v>0</v>
      </c>
      <c r="C74">
        <v>0</v>
      </c>
      <c r="D74">
        <v>0</v>
      </c>
      <c r="E74">
        <v>0.72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0.04</v>
      </c>
      <c r="V74" s="1">
        <v>0</v>
      </c>
      <c r="W74">
        <v>0</v>
      </c>
      <c r="X74">
        <v>0.15</v>
      </c>
      <c r="Y74">
        <v>0</v>
      </c>
      <c r="Z74">
        <v>0</v>
      </c>
      <c r="AA74">
        <v>0</v>
      </c>
      <c r="AB74">
        <v>0</v>
      </c>
      <c r="AC74">
        <v>0.09</v>
      </c>
      <c r="AD74" s="1">
        <v>0.5</v>
      </c>
      <c r="AE74">
        <v>0</v>
      </c>
      <c r="AF74" s="1">
        <v>0</v>
      </c>
      <c r="AG74" s="1">
        <v>0.5</v>
      </c>
      <c r="AH74" s="1">
        <v>50</v>
      </c>
      <c r="AI74">
        <v>311</v>
      </c>
      <c r="AJ74" s="1">
        <v>164</v>
      </c>
      <c r="AK74" t="s">
        <v>79</v>
      </c>
    </row>
    <row r="75" spans="1:37" x14ac:dyDescent="0.3">
      <c r="A75">
        <v>0</v>
      </c>
      <c r="B75">
        <v>0</v>
      </c>
      <c r="C75">
        <v>0</v>
      </c>
      <c r="D75">
        <v>0</v>
      </c>
      <c r="E75">
        <v>0.74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0.02</v>
      </c>
      <c r="V75" s="1">
        <v>0</v>
      </c>
      <c r="W75">
        <v>0</v>
      </c>
      <c r="X75">
        <v>0.16</v>
      </c>
      <c r="Y75">
        <v>0</v>
      </c>
      <c r="Z75">
        <v>0</v>
      </c>
      <c r="AA75">
        <v>0</v>
      </c>
      <c r="AB75">
        <v>0</v>
      </c>
      <c r="AC75">
        <v>0.08</v>
      </c>
      <c r="AD75" s="1">
        <v>0.5</v>
      </c>
      <c r="AE75">
        <v>0</v>
      </c>
      <c r="AF75" s="1">
        <v>0</v>
      </c>
      <c r="AG75" s="1">
        <v>0.5</v>
      </c>
      <c r="AH75" s="1">
        <v>50</v>
      </c>
      <c r="AI75">
        <v>183</v>
      </c>
      <c r="AJ75" s="1">
        <v>164</v>
      </c>
      <c r="AK75" t="s">
        <v>79</v>
      </c>
    </row>
    <row r="76" spans="1:37" x14ac:dyDescent="0.3">
      <c r="A76">
        <v>0</v>
      </c>
      <c r="B76">
        <v>0</v>
      </c>
      <c r="C76">
        <v>0</v>
      </c>
      <c r="D76">
        <v>0</v>
      </c>
      <c r="E76">
        <v>0.73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>
        <v>0</v>
      </c>
      <c r="W76">
        <v>0</v>
      </c>
      <c r="X76">
        <v>0.18</v>
      </c>
      <c r="Y76">
        <v>0</v>
      </c>
      <c r="Z76">
        <v>0</v>
      </c>
      <c r="AA76">
        <v>0</v>
      </c>
      <c r="AB76">
        <v>0</v>
      </c>
      <c r="AC76">
        <v>0.09</v>
      </c>
      <c r="AD76" s="1">
        <v>0.5</v>
      </c>
      <c r="AE76">
        <v>0</v>
      </c>
      <c r="AF76" s="1">
        <v>0</v>
      </c>
      <c r="AG76" s="1">
        <v>0.5</v>
      </c>
      <c r="AH76" s="1">
        <v>50</v>
      </c>
      <c r="AI76">
        <v>121</v>
      </c>
      <c r="AJ76" s="1">
        <v>164</v>
      </c>
      <c r="AK76" t="s">
        <v>79</v>
      </c>
    </row>
    <row r="77" spans="1:37" x14ac:dyDescent="0.3">
      <c r="A77">
        <v>0</v>
      </c>
      <c r="B77">
        <v>0</v>
      </c>
      <c r="C77">
        <v>0</v>
      </c>
      <c r="D77">
        <v>0</v>
      </c>
      <c r="E77">
        <v>0.81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0.04</v>
      </c>
      <c r="V77" s="1">
        <v>0</v>
      </c>
      <c r="W77">
        <v>0</v>
      </c>
      <c r="X77">
        <v>0.15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0.5</v>
      </c>
      <c r="AE77">
        <v>0</v>
      </c>
      <c r="AF77" s="1">
        <v>0</v>
      </c>
      <c r="AG77" s="1">
        <v>0.5</v>
      </c>
      <c r="AH77" s="1">
        <v>50</v>
      </c>
      <c r="AI77">
        <v>109</v>
      </c>
      <c r="AJ77" s="1">
        <v>164</v>
      </c>
      <c r="AK77" t="s">
        <v>79</v>
      </c>
    </row>
    <row r="78" spans="1:37" x14ac:dyDescent="0.3">
      <c r="A78">
        <v>0</v>
      </c>
      <c r="B78">
        <v>0.55000000000000004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0.45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0.5</v>
      </c>
      <c r="AE78">
        <v>0</v>
      </c>
      <c r="AF78" s="1">
        <v>0</v>
      </c>
      <c r="AG78" s="1">
        <v>0.5</v>
      </c>
      <c r="AH78" s="1">
        <v>50</v>
      </c>
      <c r="AI78" s="1">
        <v>200</v>
      </c>
      <c r="AJ78" s="1">
        <v>173</v>
      </c>
      <c r="AK78" t="s">
        <v>81</v>
      </c>
    </row>
    <row r="79" spans="1:3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0.55000000000000004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0.45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0.5</v>
      </c>
      <c r="AE79">
        <v>0</v>
      </c>
      <c r="AF79" s="1">
        <v>0</v>
      </c>
      <c r="AG79" s="1">
        <v>0.5</v>
      </c>
      <c r="AH79" s="1">
        <v>50</v>
      </c>
      <c r="AI79" s="1">
        <v>101</v>
      </c>
      <c r="AJ79" s="1">
        <v>173</v>
      </c>
      <c r="AK79" t="s">
        <v>81</v>
      </c>
    </row>
    <row r="80" spans="1:37" x14ac:dyDescent="0.3">
      <c r="A80">
        <v>0</v>
      </c>
      <c r="B80">
        <v>0.9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0.5</v>
      </c>
      <c r="AE80">
        <v>0</v>
      </c>
      <c r="AF80" s="1">
        <v>0</v>
      </c>
      <c r="AG80" s="1">
        <v>1</v>
      </c>
      <c r="AH80" s="1">
        <v>50</v>
      </c>
      <c r="AI80">
        <f>31*0.07/0.005</f>
        <v>434.00000000000006</v>
      </c>
      <c r="AJ80" s="1">
        <v>174</v>
      </c>
      <c r="AK80" t="s">
        <v>82</v>
      </c>
    </row>
    <row r="81" spans="1:37" x14ac:dyDescent="0.3">
      <c r="A81">
        <v>0</v>
      </c>
      <c r="B81">
        <v>0</v>
      </c>
      <c r="C81">
        <v>0</v>
      </c>
      <c r="D81">
        <v>0</v>
      </c>
      <c r="E81">
        <v>0.9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0.1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0.5</v>
      </c>
      <c r="AE81">
        <v>0</v>
      </c>
      <c r="AF81" s="1">
        <v>0</v>
      </c>
      <c r="AG81" s="1">
        <v>1</v>
      </c>
      <c r="AH81" s="1">
        <v>50</v>
      </c>
      <c r="AI81">
        <f>22*0.07/0.005</f>
        <v>308</v>
      </c>
      <c r="AJ81" s="1">
        <v>174</v>
      </c>
      <c r="AK81" t="s">
        <v>82</v>
      </c>
    </row>
    <row r="82" spans="1:37" x14ac:dyDescent="0.3">
      <c r="A82">
        <v>0</v>
      </c>
      <c r="B82">
        <f>1-X82</f>
        <v>0.54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0.46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0.5</v>
      </c>
      <c r="AE82">
        <v>0</v>
      </c>
      <c r="AF82" s="1">
        <v>0</v>
      </c>
      <c r="AG82" s="1">
        <v>0.5</v>
      </c>
      <c r="AH82" s="1">
        <v>50</v>
      </c>
      <c r="AI82" s="1">
        <v>182</v>
      </c>
      <c r="AJ82" s="1">
        <v>176</v>
      </c>
      <c r="AK82" t="s">
        <v>83</v>
      </c>
    </row>
    <row r="83" spans="1:3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0.79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0.21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0.5</v>
      </c>
      <c r="AE83">
        <v>0</v>
      </c>
      <c r="AF83" s="1">
        <v>0</v>
      </c>
      <c r="AG83" s="1">
        <v>0.5</v>
      </c>
      <c r="AH83" s="1">
        <v>50</v>
      </c>
      <c r="AI83" s="1">
        <v>122</v>
      </c>
      <c r="AJ83" s="1">
        <v>176</v>
      </c>
      <c r="AK83" t="s">
        <v>83</v>
      </c>
    </row>
    <row r="84" spans="1:3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0.88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0.12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0.5</v>
      </c>
      <c r="AE84">
        <v>0</v>
      </c>
      <c r="AF84" s="1">
        <v>0</v>
      </c>
      <c r="AG84" s="1">
        <v>0.5</v>
      </c>
      <c r="AH84" s="1">
        <v>50</v>
      </c>
      <c r="AI84" s="1">
        <v>57</v>
      </c>
      <c r="AJ84" s="1">
        <v>176</v>
      </c>
      <c r="AK84" t="s">
        <v>83</v>
      </c>
    </row>
    <row r="85" spans="1:37" ht="20.25" customHeight="1" x14ac:dyDescent="0.3">
      <c r="A85">
        <v>0</v>
      </c>
      <c r="B85">
        <v>0.95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0.05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0.05</v>
      </c>
      <c r="AE85">
        <v>0</v>
      </c>
      <c r="AF85" s="1">
        <v>0</v>
      </c>
      <c r="AG85" s="1">
        <v>1</v>
      </c>
      <c r="AH85" s="1">
        <v>5</v>
      </c>
      <c r="AI85">
        <f>0.9*0.07/0.005</f>
        <v>12.600000000000003</v>
      </c>
      <c r="AJ85" s="1">
        <v>177</v>
      </c>
      <c r="AK85" t="s">
        <v>84</v>
      </c>
    </row>
    <row r="86" spans="1:37" x14ac:dyDescent="0.3">
      <c r="A86">
        <v>0</v>
      </c>
      <c r="B86">
        <v>0.98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0.02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0.05</v>
      </c>
      <c r="AE86">
        <v>0</v>
      </c>
      <c r="AF86" s="1">
        <v>0</v>
      </c>
      <c r="AG86" s="1">
        <v>1</v>
      </c>
      <c r="AH86" s="1">
        <v>5</v>
      </c>
      <c r="AI86">
        <f>0.75*0.07/0.005</f>
        <v>10.5</v>
      </c>
      <c r="AJ86" s="1">
        <v>177</v>
      </c>
      <c r="AK86" t="s">
        <v>84</v>
      </c>
    </row>
    <row r="87" spans="1:37" x14ac:dyDescent="0.3">
      <c r="A87">
        <v>0</v>
      </c>
      <c r="B87">
        <v>0.8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0.05</v>
      </c>
      <c r="AE87">
        <v>0</v>
      </c>
      <c r="AF87" s="1">
        <v>0</v>
      </c>
      <c r="AG87" s="1">
        <v>1</v>
      </c>
      <c r="AH87" s="1">
        <v>5</v>
      </c>
      <c r="AI87">
        <f>0.4*0.07/0.005</f>
        <v>5.6000000000000005</v>
      </c>
      <c r="AJ87" s="1">
        <v>177</v>
      </c>
      <c r="AK87" t="s">
        <v>84</v>
      </c>
    </row>
    <row r="88" spans="1:37" x14ac:dyDescent="0.3">
      <c r="A88">
        <v>0</v>
      </c>
      <c r="B88">
        <v>0.95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1</v>
      </c>
      <c r="AE88">
        <v>0</v>
      </c>
      <c r="AF88" s="1">
        <v>0</v>
      </c>
      <c r="AG88" s="1">
        <v>0.5</v>
      </c>
      <c r="AH88">
        <v>10.240000000000002</v>
      </c>
      <c r="AI88">
        <v>132.75862068965517</v>
      </c>
      <c r="AJ88" s="1">
        <v>179</v>
      </c>
      <c r="AK88" t="s">
        <v>99</v>
      </c>
    </row>
    <row r="89" spans="1:37" x14ac:dyDescent="0.3">
      <c r="A89">
        <v>0</v>
      </c>
      <c r="B89">
        <v>0.95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0.05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1</v>
      </c>
      <c r="AE89">
        <v>0</v>
      </c>
      <c r="AF89" s="1">
        <v>0</v>
      </c>
      <c r="AG89" s="1">
        <v>0.5</v>
      </c>
      <c r="AH89">
        <v>19.951111111111111</v>
      </c>
      <c r="AI89">
        <v>168.96551724137933</v>
      </c>
      <c r="AJ89" s="1">
        <v>179</v>
      </c>
      <c r="AK89" t="s">
        <v>99</v>
      </c>
    </row>
    <row r="90" spans="1:37" x14ac:dyDescent="0.3">
      <c r="A90">
        <v>0</v>
      </c>
      <c r="B90">
        <v>0.95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0.05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1</v>
      </c>
      <c r="AE90">
        <v>0</v>
      </c>
      <c r="AF90" s="1">
        <v>0</v>
      </c>
      <c r="AG90" s="1">
        <v>0.5</v>
      </c>
      <c r="AH90">
        <v>40.111111111111107</v>
      </c>
      <c r="AI90">
        <v>217.24137931034488</v>
      </c>
      <c r="AJ90" s="1">
        <v>179</v>
      </c>
      <c r="AK90" t="s">
        <v>99</v>
      </c>
    </row>
    <row r="91" spans="1:37" x14ac:dyDescent="0.3">
      <c r="A91">
        <v>0</v>
      </c>
      <c r="B91">
        <v>0.95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0.05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1</v>
      </c>
      <c r="AE91">
        <v>0</v>
      </c>
      <c r="AF91" s="1">
        <v>0</v>
      </c>
      <c r="AG91" s="1">
        <v>0.5</v>
      </c>
      <c r="AH91">
        <v>49.937777777777775</v>
      </c>
      <c r="AI91">
        <v>229.31034482758625</v>
      </c>
      <c r="AJ91" s="1">
        <v>179</v>
      </c>
      <c r="AK91" t="s">
        <v>99</v>
      </c>
    </row>
    <row r="92" spans="1:37" x14ac:dyDescent="0.3">
      <c r="A92">
        <v>0</v>
      </c>
      <c r="B92">
        <v>0.95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0.05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1</v>
      </c>
      <c r="AE92">
        <v>0</v>
      </c>
      <c r="AF92" s="1">
        <v>0</v>
      </c>
      <c r="AG92" s="1">
        <v>0.5</v>
      </c>
      <c r="AH92">
        <v>59.804444444444442</v>
      </c>
      <c r="AI92">
        <v>253.44827586206901</v>
      </c>
      <c r="AJ92" s="1">
        <v>179</v>
      </c>
      <c r="AK92" t="s">
        <v>99</v>
      </c>
    </row>
    <row r="93" spans="1:37" x14ac:dyDescent="0.3">
      <c r="A93">
        <v>0</v>
      </c>
      <c r="B93">
        <v>0.95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0.05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1</v>
      </c>
      <c r="AE93">
        <v>0</v>
      </c>
      <c r="AF93" s="1">
        <v>0</v>
      </c>
      <c r="AG93" s="1">
        <v>0.5</v>
      </c>
      <c r="AH93">
        <v>80.401111111111106</v>
      </c>
      <c r="AI93">
        <v>289.65517241379314</v>
      </c>
      <c r="AJ93" s="1">
        <v>179</v>
      </c>
      <c r="AK93" t="s">
        <v>99</v>
      </c>
    </row>
    <row r="94" spans="1:37" x14ac:dyDescent="0.3">
      <c r="A94">
        <v>0</v>
      </c>
      <c r="B94">
        <v>0.95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0.05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1</v>
      </c>
      <c r="AE94">
        <v>0</v>
      </c>
      <c r="AF94" s="1">
        <v>0</v>
      </c>
      <c r="AG94" s="1">
        <v>0.5</v>
      </c>
      <c r="AH94">
        <v>100</v>
      </c>
      <c r="AI94">
        <v>325.86206896551727</v>
      </c>
      <c r="AJ94" s="1">
        <v>179</v>
      </c>
      <c r="AK94" t="s">
        <v>99</v>
      </c>
    </row>
    <row r="95" spans="1:3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0.05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1</v>
      </c>
      <c r="AE95">
        <v>0</v>
      </c>
      <c r="AF95" s="1">
        <v>0</v>
      </c>
      <c r="AG95" s="1">
        <v>0.5</v>
      </c>
      <c r="AH95">
        <v>10.240000000000002</v>
      </c>
      <c r="AI95">
        <v>78.448275862068982</v>
      </c>
      <c r="AJ95" s="1">
        <v>179</v>
      </c>
      <c r="AK95" t="s">
        <v>99</v>
      </c>
    </row>
    <row r="96" spans="1:3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0.05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1</v>
      </c>
      <c r="AE96">
        <v>0</v>
      </c>
      <c r="AF96" s="1">
        <v>0</v>
      </c>
      <c r="AG96" s="1">
        <v>0.5</v>
      </c>
      <c r="AH96">
        <v>19.951111111111111</v>
      </c>
      <c r="AI96">
        <v>102.58620689655174</v>
      </c>
      <c r="AJ96" s="1">
        <v>179</v>
      </c>
      <c r="AK96" t="s">
        <v>99</v>
      </c>
    </row>
    <row r="97" spans="1:3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0.05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1</v>
      </c>
      <c r="AE97">
        <v>0</v>
      </c>
      <c r="AF97" s="1">
        <v>0</v>
      </c>
      <c r="AG97" s="1">
        <v>0.5</v>
      </c>
      <c r="AH97">
        <v>40.111111111111107</v>
      </c>
      <c r="AI97">
        <v>132.75862068965517</v>
      </c>
      <c r="AJ97" s="1">
        <v>179</v>
      </c>
      <c r="AK97" t="s">
        <v>99</v>
      </c>
    </row>
    <row r="98" spans="1:3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0.95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0.05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1</v>
      </c>
      <c r="AE98">
        <v>0</v>
      </c>
      <c r="AF98" s="1">
        <v>0</v>
      </c>
      <c r="AG98" s="1">
        <v>0.5</v>
      </c>
      <c r="AH98">
        <v>49.937777777777775</v>
      </c>
      <c r="AI98">
        <v>120.68965517241381</v>
      </c>
      <c r="AJ98" s="1">
        <v>179</v>
      </c>
      <c r="AK98" t="s">
        <v>99</v>
      </c>
    </row>
    <row r="99" spans="1:3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0.05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1</v>
      </c>
      <c r="AE99">
        <v>0</v>
      </c>
      <c r="AF99" s="1">
        <v>0</v>
      </c>
      <c r="AG99" s="1">
        <v>0.5</v>
      </c>
      <c r="AH99">
        <v>59.804444444444442</v>
      </c>
      <c r="AI99">
        <v>144.82758620689657</v>
      </c>
      <c r="AJ99" s="1">
        <v>179</v>
      </c>
      <c r="AK99" t="s">
        <v>99</v>
      </c>
    </row>
    <row r="100" spans="1:3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0.05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1</v>
      </c>
      <c r="AE100">
        <v>0</v>
      </c>
      <c r="AF100" s="1">
        <v>0</v>
      </c>
      <c r="AG100" s="1">
        <v>0.5</v>
      </c>
      <c r="AH100">
        <v>80.401111111111106</v>
      </c>
      <c r="AI100">
        <v>156.89655172413796</v>
      </c>
      <c r="AJ100" s="1">
        <v>179</v>
      </c>
      <c r="AK100" t="s">
        <v>99</v>
      </c>
    </row>
    <row r="101" spans="1:3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0.05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1</v>
      </c>
      <c r="AE101">
        <v>0</v>
      </c>
      <c r="AF101" s="1">
        <v>0</v>
      </c>
      <c r="AG101" s="1">
        <v>0.5</v>
      </c>
      <c r="AH101">
        <v>100</v>
      </c>
      <c r="AI101">
        <v>175.00000000000003</v>
      </c>
      <c r="AJ101" s="1">
        <v>179</v>
      </c>
      <c r="AK101" t="s">
        <v>99</v>
      </c>
    </row>
    <row r="102" spans="1:37" x14ac:dyDescent="0.3">
      <c r="A102">
        <v>0</v>
      </c>
      <c r="B102">
        <v>0.9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0.05</v>
      </c>
      <c r="Y102">
        <v>0.05</v>
      </c>
      <c r="Z102">
        <v>0</v>
      </c>
      <c r="AA102">
        <v>0</v>
      </c>
      <c r="AB102">
        <v>0</v>
      </c>
      <c r="AC102">
        <v>0</v>
      </c>
      <c r="AD102" s="1">
        <v>1</v>
      </c>
      <c r="AE102">
        <v>0</v>
      </c>
      <c r="AF102" s="1">
        <v>0</v>
      </c>
      <c r="AG102" s="1">
        <v>0.5</v>
      </c>
      <c r="AH102">
        <v>10.240000000000002</v>
      </c>
      <c r="AI102">
        <v>114.54545454545458</v>
      </c>
      <c r="AJ102" s="1">
        <v>179</v>
      </c>
      <c r="AK102" t="s">
        <v>99</v>
      </c>
    </row>
    <row r="103" spans="1:37" x14ac:dyDescent="0.3">
      <c r="A103">
        <v>0</v>
      </c>
      <c r="B103">
        <v>0.9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0.05</v>
      </c>
      <c r="Y103">
        <v>0.05</v>
      </c>
      <c r="Z103">
        <v>0</v>
      </c>
      <c r="AA103">
        <v>0</v>
      </c>
      <c r="AB103">
        <v>0</v>
      </c>
      <c r="AC103">
        <v>0</v>
      </c>
      <c r="AD103" s="1">
        <v>1</v>
      </c>
      <c r="AE103">
        <v>0</v>
      </c>
      <c r="AF103" s="1">
        <v>0</v>
      </c>
      <c r="AG103" s="1">
        <v>0.5</v>
      </c>
      <c r="AH103">
        <v>19.951111111111111</v>
      </c>
      <c r="AI103">
        <v>152.72727272727275</v>
      </c>
      <c r="AJ103" s="1">
        <v>179</v>
      </c>
      <c r="AK103" t="s">
        <v>99</v>
      </c>
    </row>
    <row r="104" spans="1:37" x14ac:dyDescent="0.3">
      <c r="A104">
        <v>0</v>
      </c>
      <c r="B104">
        <v>0.9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0.05</v>
      </c>
      <c r="Y104">
        <v>0.05</v>
      </c>
      <c r="Z104">
        <v>0</v>
      </c>
      <c r="AA104">
        <v>0</v>
      </c>
      <c r="AB104">
        <v>0</v>
      </c>
      <c r="AC104">
        <v>0</v>
      </c>
      <c r="AD104" s="1">
        <v>1</v>
      </c>
      <c r="AE104">
        <v>0</v>
      </c>
      <c r="AF104" s="1">
        <v>0</v>
      </c>
      <c r="AG104" s="1">
        <v>0.5</v>
      </c>
      <c r="AH104">
        <v>40.111111111111107</v>
      </c>
      <c r="AI104">
        <v>210.00000000000003</v>
      </c>
      <c r="AJ104" s="1">
        <v>179</v>
      </c>
      <c r="AK104" t="s">
        <v>99</v>
      </c>
    </row>
    <row r="105" spans="1:37" x14ac:dyDescent="0.3">
      <c r="A105">
        <v>0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0.05</v>
      </c>
      <c r="Y105">
        <v>0.05</v>
      </c>
      <c r="Z105">
        <v>0</v>
      </c>
      <c r="AA105">
        <v>0</v>
      </c>
      <c r="AB105">
        <v>0</v>
      </c>
      <c r="AC105">
        <v>0</v>
      </c>
      <c r="AD105" s="1">
        <v>1</v>
      </c>
      <c r="AE105">
        <v>0</v>
      </c>
      <c r="AF105" s="1">
        <v>0</v>
      </c>
      <c r="AG105" s="1">
        <v>0.5</v>
      </c>
      <c r="AH105">
        <v>49.937777777777775</v>
      </c>
      <c r="AI105">
        <v>210.00000000000003</v>
      </c>
      <c r="AJ105" s="1">
        <v>179</v>
      </c>
      <c r="AK105" t="s">
        <v>99</v>
      </c>
    </row>
    <row r="106" spans="1:37" x14ac:dyDescent="0.3">
      <c r="A106">
        <v>0</v>
      </c>
      <c r="B106">
        <v>0.9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0.05</v>
      </c>
      <c r="Y106">
        <v>0.05</v>
      </c>
      <c r="Z106">
        <v>0</v>
      </c>
      <c r="AA106">
        <v>0</v>
      </c>
      <c r="AB106">
        <v>0</v>
      </c>
      <c r="AC106">
        <v>0</v>
      </c>
      <c r="AD106" s="1">
        <v>1</v>
      </c>
      <c r="AE106">
        <v>0</v>
      </c>
      <c r="AF106" s="1">
        <v>0</v>
      </c>
      <c r="AG106" s="1">
        <v>0.5</v>
      </c>
      <c r="AH106">
        <v>59.804444444444442</v>
      </c>
      <c r="AI106">
        <v>254.54545454545459</v>
      </c>
      <c r="AJ106" s="1">
        <v>179</v>
      </c>
      <c r="AK106" t="s">
        <v>99</v>
      </c>
    </row>
    <row r="107" spans="1:37" x14ac:dyDescent="0.3">
      <c r="A107">
        <v>0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0.05</v>
      </c>
      <c r="Y107">
        <v>0.05</v>
      </c>
      <c r="Z107">
        <v>0</v>
      </c>
      <c r="AA107">
        <v>0</v>
      </c>
      <c r="AB107">
        <v>0</v>
      </c>
      <c r="AC107">
        <v>0</v>
      </c>
      <c r="AD107" s="1">
        <v>1</v>
      </c>
      <c r="AE107">
        <v>0</v>
      </c>
      <c r="AF107" s="1">
        <v>0</v>
      </c>
      <c r="AG107" s="1">
        <v>0.5</v>
      </c>
      <c r="AH107">
        <v>80.401111111111106</v>
      </c>
      <c r="AI107">
        <v>292.72727272727275</v>
      </c>
      <c r="AJ107" s="1">
        <v>179</v>
      </c>
      <c r="AK107" t="s">
        <v>99</v>
      </c>
    </row>
    <row r="108" spans="1:37" x14ac:dyDescent="0.3">
      <c r="A108">
        <v>0</v>
      </c>
      <c r="B108">
        <v>0.9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0.05</v>
      </c>
      <c r="Y108">
        <v>0.05</v>
      </c>
      <c r="Z108">
        <v>0</v>
      </c>
      <c r="AA108">
        <v>0</v>
      </c>
      <c r="AB108">
        <v>0</v>
      </c>
      <c r="AC108">
        <v>0</v>
      </c>
      <c r="AD108" s="1">
        <v>1</v>
      </c>
      <c r="AE108">
        <v>0</v>
      </c>
      <c r="AF108" s="1">
        <v>0</v>
      </c>
      <c r="AG108" s="1">
        <v>0.5</v>
      </c>
      <c r="AH108">
        <v>100</v>
      </c>
      <c r="AI108">
        <v>330.90909090909099</v>
      </c>
      <c r="AJ108" s="1">
        <v>179</v>
      </c>
      <c r="AK108" t="s">
        <v>99</v>
      </c>
    </row>
    <row r="109" spans="1:3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>0.9</f>
        <v>0.9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0.05</v>
      </c>
      <c r="Y109">
        <v>0.05</v>
      </c>
      <c r="Z109">
        <v>0</v>
      </c>
      <c r="AA109">
        <v>0</v>
      </c>
      <c r="AB109">
        <v>0</v>
      </c>
      <c r="AC109">
        <v>0</v>
      </c>
      <c r="AD109" s="1">
        <v>1</v>
      </c>
      <c r="AE109">
        <v>0</v>
      </c>
      <c r="AF109" s="1">
        <v>0</v>
      </c>
      <c r="AG109" s="1">
        <v>0.5</v>
      </c>
      <c r="AH109">
        <v>10.240000000000002</v>
      </c>
      <c r="AI109">
        <v>38.181818181818201</v>
      </c>
      <c r="AJ109" s="1">
        <v>179</v>
      </c>
      <c r="AK109" t="s">
        <v>99</v>
      </c>
    </row>
    <row r="110" spans="1:3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ref="H110:H115" si="1">0.9</f>
        <v>0.9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0.05</v>
      </c>
      <c r="Y110">
        <v>0.05</v>
      </c>
      <c r="Z110">
        <v>0</v>
      </c>
      <c r="AA110">
        <v>0</v>
      </c>
      <c r="AB110">
        <v>0</v>
      </c>
      <c r="AC110">
        <v>0</v>
      </c>
      <c r="AD110" s="1">
        <v>1</v>
      </c>
      <c r="AE110">
        <v>0</v>
      </c>
      <c r="AF110" s="1">
        <v>0</v>
      </c>
      <c r="AG110" s="1">
        <v>0.5</v>
      </c>
      <c r="AH110">
        <v>19.951111111111111</v>
      </c>
      <c r="AI110">
        <v>49.63636363636364</v>
      </c>
      <c r="AJ110" s="1">
        <v>179</v>
      </c>
      <c r="AK110" t="s">
        <v>99</v>
      </c>
    </row>
    <row r="111" spans="1:3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0.9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0.05</v>
      </c>
      <c r="Y111">
        <v>0.05</v>
      </c>
      <c r="Z111">
        <v>0</v>
      </c>
      <c r="AA111">
        <v>0</v>
      </c>
      <c r="AB111">
        <v>0</v>
      </c>
      <c r="AC111">
        <v>0</v>
      </c>
      <c r="AD111" s="1">
        <v>1</v>
      </c>
      <c r="AE111">
        <v>0</v>
      </c>
      <c r="AF111" s="1">
        <v>0</v>
      </c>
      <c r="AG111" s="1">
        <v>0.5</v>
      </c>
      <c r="AH111">
        <v>40.111111111111107</v>
      </c>
      <c r="AI111">
        <v>63.636363636363647</v>
      </c>
      <c r="AJ111" s="1">
        <v>179</v>
      </c>
      <c r="AK111" t="s">
        <v>99</v>
      </c>
    </row>
    <row r="112" spans="1:3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0.9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0.05</v>
      </c>
      <c r="Y112">
        <v>0.05</v>
      </c>
      <c r="Z112">
        <v>0</v>
      </c>
      <c r="AA112">
        <v>0</v>
      </c>
      <c r="AB112">
        <v>0</v>
      </c>
      <c r="AC112">
        <v>0</v>
      </c>
      <c r="AD112" s="1">
        <v>1</v>
      </c>
      <c r="AE112">
        <v>0</v>
      </c>
      <c r="AF112" s="1">
        <v>0</v>
      </c>
      <c r="AG112" s="1">
        <v>0.5</v>
      </c>
      <c r="AH112">
        <v>49.937777777777775</v>
      </c>
      <c r="AI112">
        <v>70</v>
      </c>
      <c r="AJ112" s="1">
        <v>179</v>
      </c>
      <c r="AK112" t="s">
        <v>99</v>
      </c>
    </row>
    <row r="113" spans="1:3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0.9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0.05</v>
      </c>
      <c r="Y113">
        <v>0.05</v>
      </c>
      <c r="Z113">
        <v>0</v>
      </c>
      <c r="AA113">
        <v>0</v>
      </c>
      <c r="AB113">
        <v>0</v>
      </c>
      <c r="AC113">
        <v>0</v>
      </c>
      <c r="AD113" s="1">
        <v>1</v>
      </c>
      <c r="AE113">
        <v>0</v>
      </c>
      <c r="AF113" s="1">
        <v>0</v>
      </c>
      <c r="AG113" s="1">
        <v>0.5</v>
      </c>
      <c r="AH113">
        <v>59.804444444444442</v>
      </c>
      <c r="AI113">
        <v>70</v>
      </c>
      <c r="AJ113" s="1">
        <v>179</v>
      </c>
      <c r="AK113" t="s">
        <v>99</v>
      </c>
    </row>
    <row r="114" spans="1:3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0.05</v>
      </c>
      <c r="Y114">
        <v>0.05</v>
      </c>
      <c r="Z114">
        <v>0</v>
      </c>
      <c r="AA114">
        <v>0</v>
      </c>
      <c r="AB114">
        <v>0</v>
      </c>
      <c r="AC114">
        <v>0</v>
      </c>
      <c r="AD114" s="1">
        <v>1</v>
      </c>
      <c r="AE114">
        <v>0</v>
      </c>
      <c r="AF114" s="1">
        <v>0</v>
      </c>
      <c r="AG114" s="1">
        <v>0.5</v>
      </c>
      <c r="AH114">
        <v>80.401111111111106</v>
      </c>
      <c r="AI114">
        <v>76.363636363636374</v>
      </c>
      <c r="AJ114" s="1">
        <v>179</v>
      </c>
      <c r="AK114" t="s">
        <v>99</v>
      </c>
    </row>
    <row r="115" spans="1:3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"/>
        <v>0.9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0.05</v>
      </c>
      <c r="Y115">
        <v>0.05</v>
      </c>
      <c r="Z115">
        <v>0</v>
      </c>
      <c r="AA115">
        <v>0</v>
      </c>
      <c r="AB115">
        <v>0</v>
      </c>
      <c r="AC115">
        <v>0</v>
      </c>
      <c r="AD115" s="1">
        <v>1</v>
      </c>
      <c r="AE115">
        <v>0</v>
      </c>
      <c r="AF115" s="1">
        <v>0</v>
      </c>
      <c r="AG115" s="1">
        <v>0.5</v>
      </c>
      <c r="AH115">
        <v>100</v>
      </c>
      <c r="AI115">
        <v>89.090909090909108</v>
      </c>
      <c r="AJ115" s="1">
        <v>179</v>
      </c>
      <c r="AK115" t="s">
        <v>99</v>
      </c>
    </row>
    <row r="116" spans="1:37" x14ac:dyDescent="0.3">
      <c r="A116">
        <v>0.95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0.05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1</v>
      </c>
      <c r="AE116">
        <v>0</v>
      </c>
      <c r="AF116" s="1">
        <v>0</v>
      </c>
      <c r="AG116" s="1">
        <v>0.5</v>
      </c>
      <c r="AH116">
        <v>10.240000000000002</v>
      </c>
      <c r="AI116">
        <v>49.482758620689651</v>
      </c>
      <c r="AJ116" s="1">
        <v>179</v>
      </c>
      <c r="AK116" t="s">
        <v>99</v>
      </c>
    </row>
    <row r="117" spans="1:37" x14ac:dyDescent="0.3">
      <c r="A117">
        <v>0.95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0.05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1</v>
      </c>
      <c r="AE117">
        <v>0</v>
      </c>
      <c r="AF117" s="1">
        <v>0</v>
      </c>
      <c r="AG117" s="1">
        <v>0.5</v>
      </c>
      <c r="AH117">
        <v>19.951111111111111</v>
      </c>
      <c r="AI117">
        <v>66.379310344827587</v>
      </c>
      <c r="AJ117" s="1">
        <v>179</v>
      </c>
      <c r="AK117" t="s">
        <v>99</v>
      </c>
    </row>
    <row r="118" spans="1:37" x14ac:dyDescent="0.3">
      <c r="A118">
        <v>0.95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0.05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1</v>
      </c>
      <c r="AE118">
        <v>0</v>
      </c>
      <c r="AF118" s="1">
        <v>0</v>
      </c>
      <c r="AG118" s="1">
        <v>0.5</v>
      </c>
      <c r="AH118">
        <v>40.111111111111107</v>
      </c>
      <c r="AI118">
        <v>82.068965517241395</v>
      </c>
      <c r="AJ118" s="1">
        <v>179</v>
      </c>
      <c r="AK118" t="s">
        <v>99</v>
      </c>
    </row>
    <row r="119" spans="1:37" x14ac:dyDescent="0.3">
      <c r="A119">
        <v>0.95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0.05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1</v>
      </c>
      <c r="AE119">
        <v>0</v>
      </c>
      <c r="AF119" s="1">
        <v>0</v>
      </c>
      <c r="AG119" s="1">
        <v>0.5</v>
      </c>
      <c r="AH119">
        <v>49.937777777777775</v>
      </c>
      <c r="AI119">
        <v>74.827586206896569</v>
      </c>
      <c r="AJ119" s="1">
        <v>179</v>
      </c>
      <c r="AK119" t="s">
        <v>99</v>
      </c>
    </row>
    <row r="120" spans="1:37" x14ac:dyDescent="0.3">
      <c r="A120">
        <v>0.95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0.05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1</v>
      </c>
      <c r="AE120">
        <v>0</v>
      </c>
      <c r="AF120" s="1">
        <v>0</v>
      </c>
      <c r="AG120" s="1">
        <v>0.5</v>
      </c>
      <c r="AH120">
        <v>59.804444444444442</v>
      </c>
      <c r="AI120">
        <v>90.517241379310349</v>
      </c>
      <c r="AJ120" s="1">
        <v>179</v>
      </c>
      <c r="AK120" t="s">
        <v>99</v>
      </c>
    </row>
    <row r="121" spans="1:37" x14ac:dyDescent="0.3">
      <c r="A121">
        <v>0.95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0.05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1</v>
      </c>
      <c r="AE121">
        <v>0</v>
      </c>
      <c r="AF121" s="1">
        <v>0</v>
      </c>
      <c r="AG121" s="1">
        <v>0.5</v>
      </c>
      <c r="AH121">
        <v>80.401111111111106</v>
      </c>
      <c r="AI121">
        <v>96.551724137931046</v>
      </c>
      <c r="AJ121" s="1">
        <v>179</v>
      </c>
      <c r="AK121" t="s">
        <v>99</v>
      </c>
    </row>
    <row r="122" spans="1:37" x14ac:dyDescent="0.3">
      <c r="A122">
        <v>0.95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0.05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1</v>
      </c>
      <c r="AE122">
        <v>0</v>
      </c>
      <c r="AF122" s="1">
        <v>0</v>
      </c>
      <c r="AG122" s="1">
        <v>0.5</v>
      </c>
      <c r="AH122">
        <v>100</v>
      </c>
      <c r="AI122">
        <v>107.4137931034483</v>
      </c>
      <c r="AJ122" s="1">
        <v>179</v>
      </c>
      <c r="AK122" t="s">
        <v>99</v>
      </c>
    </row>
    <row r="123" spans="1:37" x14ac:dyDescent="0.3">
      <c r="A123">
        <v>0.9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0.05</v>
      </c>
      <c r="Y123">
        <v>0.05</v>
      </c>
      <c r="Z123">
        <v>0</v>
      </c>
      <c r="AA123">
        <v>0</v>
      </c>
      <c r="AB123">
        <v>0</v>
      </c>
      <c r="AC123">
        <v>0</v>
      </c>
      <c r="AD123" s="1">
        <v>1</v>
      </c>
      <c r="AE123">
        <v>0</v>
      </c>
      <c r="AF123" s="1">
        <v>0</v>
      </c>
      <c r="AG123" s="1">
        <v>0.5</v>
      </c>
      <c r="AH123">
        <v>10.240000000000002</v>
      </c>
      <c r="AI123">
        <v>20.363636363636367</v>
      </c>
      <c r="AJ123" s="1">
        <v>179</v>
      </c>
      <c r="AK123" t="s">
        <v>99</v>
      </c>
    </row>
    <row r="124" spans="1:37" x14ac:dyDescent="0.3">
      <c r="A124">
        <v>0.9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0.05</v>
      </c>
      <c r="Y124">
        <v>0.05</v>
      </c>
      <c r="Z124">
        <v>0</v>
      </c>
      <c r="AA124">
        <v>0</v>
      </c>
      <c r="AB124">
        <v>0</v>
      </c>
      <c r="AC124">
        <v>0</v>
      </c>
      <c r="AD124" s="1">
        <v>1</v>
      </c>
      <c r="AE124">
        <v>0</v>
      </c>
      <c r="AF124" s="1">
        <v>0</v>
      </c>
      <c r="AG124" s="1">
        <v>0.5</v>
      </c>
      <c r="AH124">
        <v>19.951111111111111</v>
      </c>
      <c r="AI124">
        <v>25.454545454545457</v>
      </c>
      <c r="AJ124" s="1">
        <v>179</v>
      </c>
      <c r="AK124" t="s">
        <v>99</v>
      </c>
    </row>
    <row r="125" spans="1:37" x14ac:dyDescent="0.3">
      <c r="A125">
        <v>0.9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0.05</v>
      </c>
      <c r="Y125">
        <v>0.05</v>
      </c>
      <c r="Z125">
        <v>0</v>
      </c>
      <c r="AA125">
        <v>0</v>
      </c>
      <c r="AB125">
        <v>0</v>
      </c>
      <c r="AC125">
        <v>0</v>
      </c>
      <c r="AD125" s="1">
        <v>1</v>
      </c>
      <c r="AE125">
        <v>0</v>
      </c>
      <c r="AF125" s="1">
        <v>0</v>
      </c>
      <c r="AG125" s="1">
        <v>0.5</v>
      </c>
      <c r="AH125">
        <v>40.111111111111107</v>
      </c>
      <c r="AI125">
        <v>26.727272727272734</v>
      </c>
      <c r="AJ125" s="1">
        <v>179</v>
      </c>
      <c r="AK125" t="s">
        <v>99</v>
      </c>
    </row>
    <row r="126" spans="1:37" x14ac:dyDescent="0.3">
      <c r="A126">
        <v>0.9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0.05</v>
      </c>
      <c r="Y126">
        <v>0.05</v>
      </c>
      <c r="Z126">
        <v>0</v>
      </c>
      <c r="AA126">
        <v>0</v>
      </c>
      <c r="AB126">
        <v>0</v>
      </c>
      <c r="AC126">
        <v>0</v>
      </c>
      <c r="AD126" s="1">
        <v>1</v>
      </c>
      <c r="AE126">
        <v>0</v>
      </c>
      <c r="AF126" s="1">
        <v>0</v>
      </c>
      <c r="AG126" s="1">
        <v>0.5</v>
      </c>
      <c r="AH126">
        <v>49.937777777777775</v>
      </c>
      <c r="AI126">
        <v>28.000000000000007</v>
      </c>
      <c r="AJ126" s="1">
        <v>179</v>
      </c>
      <c r="AK126" t="s">
        <v>99</v>
      </c>
    </row>
    <row r="127" spans="1:37" x14ac:dyDescent="0.3">
      <c r="A127">
        <v>0.9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0.05</v>
      </c>
      <c r="Y127">
        <v>0.05</v>
      </c>
      <c r="Z127">
        <v>0</v>
      </c>
      <c r="AA127">
        <v>0</v>
      </c>
      <c r="AB127">
        <v>0</v>
      </c>
      <c r="AC127">
        <v>0</v>
      </c>
      <c r="AD127" s="1">
        <v>1</v>
      </c>
      <c r="AE127">
        <v>0</v>
      </c>
      <c r="AF127" s="1">
        <v>0</v>
      </c>
      <c r="AG127" s="1">
        <v>0.5</v>
      </c>
      <c r="AH127">
        <v>59.804444444444442</v>
      </c>
      <c r="AI127">
        <v>28.000000000000007</v>
      </c>
      <c r="AJ127" s="1">
        <v>179</v>
      </c>
      <c r="AK127" t="s">
        <v>99</v>
      </c>
    </row>
    <row r="128" spans="1:37" x14ac:dyDescent="0.3">
      <c r="A128">
        <v>0.9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0.05</v>
      </c>
      <c r="Y128">
        <v>0.05</v>
      </c>
      <c r="Z128">
        <v>0</v>
      </c>
      <c r="AA128">
        <v>0</v>
      </c>
      <c r="AB128">
        <v>0</v>
      </c>
      <c r="AC128">
        <v>0</v>
      </c>
      <c r="AD128" s="1">
        <v>1</v>
      </c>
      <c r="AE128">
        <v>0</v>
      </c>
      <c r="AF128" s="1">
        <v>0</v>
      </c>
      <c r="AG128" s="1">
        <v>0.5</v>
      </c>
      <c r="AH128">
        <v>80.401111111111106</v>
      </c>
      <c r="AI128">
        <v>34.363636363636374</v>
      </c>
      <c r="AJ128" s="1">
        <v>179</v>
      </c>
      <c r="AK128" t="s">
        <v>99</v>
      </c>
    </row>
    <row r="129" spans="1:37" x14ac:dyDescent="0.3">
      <c r="A129">
        <v>0.9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0.05</v>
      </c>
      <c r="Y129">
        <v>0.05</v>
      </c>
      <c r="Z129">
        <v>0</v>
      </c>
      <c r="AA129">
        <v>0</v>
      </c>
      <c r="AB129">
        <v>0</v>
      </c>
      <c r="AC129">
        <v>0</v>
      </c>
      <c r="AD129" s="1">
        <v>1</v>
      </c>
      <c r="AE129">
        <v>0</v>
      </c>
      <c r="AF129" s="1">
        <v>0</v>
      </c>
      <c r="AG129" s="1">
        <v>0.5</v>
      </c>
      <c r="AH129">
        <v>100</v>
      </c>
      <c r="AI129">
        <v>38.181818181818187</v>
      </c>
      <c r="AJ129" s="1">
        <v>179</v>
      </c>
      <c r="AK129" t="s">
        <v>99</v>
      </c>
    </row>
    <row r="130" spans="1:37" x14ac:dyDescent="0.3">
      <c r="A130">
        <v>0</v>
      </c>
      <c r="B130">
        <v>0.7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</v>
      </c>
      <c r="Y130">
        <v>0.1</v>
      </c>
      <c r="Z130">
        <v>0</v>
      </c>
      <c r="AA130">
        <v>0</v>
      </c>
      <c r="AB130">
        <v>0</v>
      </c>
      <c r="AC130">
        <v>0</v>
      </c>
      <c r="AD130" s="1">
        <v>0.5</v>
      </c>
      <c r="AE130">
        <v>0</v>
      </c>
      <c r="AF130" s="1">
        <v>0</v>
      </c>
      <c r="AG130" s="1">
        <v>1</v>
      </c>
      <c r="AH130" s="1">
        <v>50</v>
      </c>
      <c r="AI130" s="1">
        <v>206</v>
      </c>
      <c r="AJ130" s="1">
        <v>180</v>
      </c>
      <c r="AK130" t="s">
        <v>100</v>
      </c>
    </row>
    <row r="131" spans="1:37" x14ac:dyDescent="0.3">
      <c r="A131">
        <v>0</v>
      </c>
      <c r="B131">
        <v>0.14000000000000001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0.13</v>
      </c>
      <c r="X131">
        <v>0.73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0.5</v>
      </c>
      <c r="AE131" s="1">
        <v>0</v>
      </c>
      <c r="AF131" s="1">
        <v>0</v>
      </c>
      <c r="AG131" s="1">
        <v>0.5</v>
      </c>
      <c r="AH131" s="1">
        <v>50</v>
      </c>
      <c r="AI131" s="1">
        <v>394</v>
      </c>
      <c r="AJ131" s="1">
        <v>182</v>
      </c>
      <c r="AK131" t="s">
        <v>104</v>
      </c>
    </row>
    <row r="132" spans="1:37" x14ac:dyDescent="0.3">
      <c r="A132">
        <v>0</v>
      </c>
      <c r="B132">
        <v>0.24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0.17</v>
      </c>
      <c r="X132">
        <v>0.59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0.1</v>
      </c>
      <c r="AF132" s="1">
        <v>0</v>
      </c>
      <c r="AG132" s="1">
        <v>1</v>
      </c>
      <c r="AH132" s="1">
        <v>50</v>
      </c>
      <c r="AI132" s="1">
        <v>260</v>
      </c>
      <c r="AJ132" s="1">
        <v>183</v>
      </c>
      <c r="AK132" t="s">
        <v>106</v>
      </c>
    </row>
    <row r="133" spans="1:37" x14ac:dyDescent="0.3">
      <c r="A133">
        <v>0</v>
      </c>
      <c r="B133">
        <v>0.68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0.05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0.27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1</v>
      </c>
      <c r="AE133">
        <v>0</v>
      </c>
      <c r="AF133">
        <v>0</v>
      </c>
      <c r="AG133" s="1">
        <v>2</v>
      </c>
      <c r="AH133" s="1">
        <v>20</v>
      </c>
      <c r="AI133" s="1">
        <v>241</v>
      </c>
      <c r="AJ133" s="1">
        <v>184</v>
      </c>
      <c r="AK133" t="s">
        <v>111</v>
      </c>
    </row>
    <row r="134" spans="1:37" x14ac:dyDescent="0.3">
      <c r="A134">
        <v>0</v>
      </c>
      <c r="B134">
        <v>0</v>
      </c>
      <c r="C134">
        <v>0</v>
      </c>
      <c r="D134">
        <v>0</v>
      </c>
      <c r="E134">
        <v>0.68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0.27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1</v>
      </c>
      <c r="AE134">
        <v>0</v>
      </c>
      <c r="AF134">
        <v>0</v>
      </c>
      <c r="AG134" s="1">
        <v>2</v>
      </c>
      <c r="AH134" s="1">
        <v>20</v>
      </c>
      <c r="AI134" s="1">
        <v>132</v>
      </c>
      <c r="AJ134" s="1">
        <v>184</v>
      </c>
      <c r="AK134" t="s">
        <v>111</v>
      </c>
    </row>
    <row r="135" spans="1:37" x14ac:dyDescent="0.3">
      <c r="A135">
        <v>0</v>
      </c>
      <c r="B135">
        <v>0.31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0.53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0.1</v>
      </c>
      <c r="AE135">
        <v>0</v>
      </c>
      <c r="AF135" s="1">
        <v>0</v>
      </c>
      <c r="AG135" s="1">
        <v>1</v>
      </c>
      <c r="AH135" s="1">
        <v>25</v>
      </c>
      <c r="AI135">
        <f>3.8/0.255</f>
        <v>14.901960784313724</v>
      </c>
      <c r="AJ135" s="1">
        <v>185</v>
      </c>
      <c r="AK135" t="s">
        <v>112</v>
      </c>
    </row>
    <row r="136" spans="1:37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0.53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0.1</v>
      </c>
      <c r="AE136">
        <v>0</v>
      </c>
      <c r="AF136" s="1">
        <v>0</v>
      </c>
      <c r="AG136" s="1">
        <v>1</v>
      </c>
      <c r="AH136" s="1">
        <v>25</v>
      </c>
      <c r="AI136">
        <f>3.8/0.255</f>
        <v>14.901960784313724</v>
      </c>
      <c r="AJ136" s="1">
        <v>185</v>
      </c>
      <c r="AK136" t="s">
        <v>112</v>
      </c>
    </row>
    <row r="137" spans="1:37" x14ac:dyDescent="0.3">
      <c r="A137">
        <v>0</v>
      </c>
      <c r="B137">
        <v>0.37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0.63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0.1</v>
      </c>
      <c r="AE137">
        <v>0</v>
      </c>
      <c r="AF137" s="1">
        <v>0</v>
      </c>
      <c r="AG137" s="1">
        <v>1</v>
      </c>
      <c r="AH137" s="1">
        <v>25</v>
      </c>
      <c r="AI137">
        <f>1.9/0.255</f>
        <v>7.450980392156862</v>
      </c>
      <c r="AJ137" s="1">
        <v>185</v>
      </c>
      <c r="AK137" t="s">
        <v>112</v>
      </c>
    </row>
    <row r="138" spans="1:37" x14ac:dyDescent="0.3">
      <c r="A138">
        <v>0</v>
      </c>
      <c r="B138">
        <v>0.69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0.06</v>
      </c>
      <c r="U138">
        <v>0</v>
      </c>
      <c r="V138">
        <v>0</v>
      </c>
      <c r="W138">
        <v>0</v>
      </c>
      <c r="X138">
        <v>0.25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0.5</v>
      </c>
      <c r="AE138">
        <v>0</v>
      </c>
      <c r="AF138" s="1">
        <v>0</v>
      </c>
      <c r="AG138" s="1">
        <v>1</v>
      </c>
      <c r="AH138" s="1">
        <v>50</v>
      </c>
      <c r="AI138">
        <f>2.99*22.6*10</f>
        <v>675.74000000000012</v>
      </c>
      <c r="AJ138" s="1">
        <v>186</v>
      </c>
      <c r="AK138" t="s">
        <v>114</v>
      </c>
    </row>
    <row r="139" spans="1:37" x14ac:dyDescent="0.3">
      <c r="A139">
        <v>0</v>
      </c>
      <c r="B139">
        <v>0.65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0.08</v>
      </c>
      <c r="U139">
        <v>0</v>
      </c>
      <c r="V139">
        <v>0</v>
      </c>
      <c r="W139">
        <v>0</v>
      </c>
      <c r="X139">
        <v>0.27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0.5</v>
      </c>
      <c r="AE139">
        <v>0</v>
      </c>
      <c r="AF139" s="1">
        <v>0</v>
      </c>
      <c r="AG139" s="1">
        <v>1</v>
      </c>
      <c r="AH139" s="1">
        <v>50</v>
      </c>
      <c r="AI139" s="1">
        <v>69</v>
      </c>
      <c r="AJ139" s="1">
        <v>187</v>
      </c>
      <c r="AK139" t="s">
        <v>115</v>
      </c>
    </row>
    <row r="140" spans="1:37" x14ac:dyDescent="0.3">
      <c r="A140">
        <v>0</v>
      </c>
      <c r="B140">
        <v>0.85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0.02</v>
      </c>
      <c r="T140">
        <v>0</v>
      </c>
      <c r="U140">
        <v>0</v>
      </c>
      <c r="V140">
        <v>0</v>
      </c>
      <c r="W140">
        <v>0</v>
      </c>
      <c r="X140">
        <v>0.13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0.5</v>
      </c>
      <c r="AE140">
        <v>0</v>
      </c>
      <c r="AF140" s="1">
        <v>0</v>
      </c>
      <c r="AG140" s="1">
        <v>0.5</v>
      </c>
      <c r="AH140" s="1">
        <v>20</v>
      </c>
      <c r="AI140" s="1">
        <v>1100</v>
      </c>
      <c r="AJ140" s="1">
        <v>188</v>
      </c>
      <c r="AK140" t="s">
        <v>119</v>
      </c>
    </row>
    <row r="141" spans="1:3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0.85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0.02</v>
      </c>
      <c r="T141">
        <v>0</v>
      </c>
      <c r="U141">
        <v>0</v>
      </c>
      <c r="V141">
        <v>0</v>
      </c>
      <c r="W141">
        <v>0</v>
      </c>
      <c r="X141">
        <v>0.13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0.5</v>
      </c>
      <c r="AE141">
        <v>0</v>
      </c>
      <c r="AF141" s="1">
        <v>0</v>
      </c>
      <c r="AG141" s="1">
        <v>0.5</v>
      </c>
      <c r="AH141" s="1">
        <v>20</v>
      </c>
      <c r="AI141" s="1">
        <v>600</v>
      </c>
      <c r="AJ141" s="1">
        <v>188</v>
      </c>
      <c r="AK141" t="s">
        <v>119</v>
      </c>
    </row>
    <row r="142" spans="1:37" x14ac:dyDescent="0.3">
      <c r="A142">
        <v>0</v>
      </c>
      <c r="B142">
        <f>1-X142-Z142</f>
        <v>0.98699999999999999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0.01</v>
      </c>
      <c r="Y142">
        <v>0</v>
      </c>
      <c r="Z142">
        <v>3.0000000000000001E-3</v>
      </c>
      <c r="AA142">
        <v>0</v>
      </c>
      <c r="AB142">
        <v>0</v>
      </c>
      <c r="AC142">
        <v>0</v>
      </c>
      <c r="AD142" s="1">
        <v>0.5</v>
      </c>
      <c r="AE142">
        <v>0</v>
      </c>
      <c r="AF142" s="1">
        <v>0</v>
      </c>
      <c r="AG142" s="1">
        <v>0.5</v>
      </c>
      <c r="AH142" s="1">
        <v>50</v>
      </c>
      <c r="AI142">
        <f>16.47*0.07/0.00075</f>
        <v>1537.2</v>
      </c>
      <c r="AJ142" s="1">
        <v>189</v>
      </c>
      <c r="AK142" t="s">
        <v>120</v>
      </c>
    </row>
    <row r="143" spans="1:37" x14ac:dyDescent="0.3">
      <c r="A143">
        <v>0</v>
      </c>
      <c r="B143">
        <f>1-X143-Z143</f>
        <v>0.99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0.01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0.5</v>
      </c>
      <c r="AE143">
        <v>0</v>
      </c>
      <c r="AF143" s="1">
        <v>0</v>
      </c>
      <c r="AG143" s="1">
        <v>0.5</v>
      </c>
      <c r="AH143" s="1">
        <v>50</v>
      </c>
      <c r="AI143">
        <f>16.21*0.07/0.00075</f>
        <v>1512.9333333333336</v>
      </c>
      <c r="AJ143" s="1">
        <v>189</v>
      </c>
      <c r="AK143" t="s">
        <v>120</v>
      </c>
    </row>
    <row r="144" spans="1:3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0.01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0.5</v>
      </c>
      <c r="AE144">
        <v>0</v>
      </c>
      <c r="AF144">
        <v>0</v>
      </c>
      <c r="AG144" s="1">
        <v>0.5</v>
      </c>
      <c r="AH144" s="1">
        <v>50</v>
      </c>
      <c r="AI144">
        <f>10.49*0.07/0.00075</f>
        <v>979.06666666666672</v>
      </c>
      <c r="AJ144" s="1">
        <v>189</v>
      </c>
      <c r="AK144" t="s">
        <v>120</v>
      </c>
    </row>
    <row r="145" spans="1:37" x14ac:dyDescent="0.3">
      <c r="A145">
        <v>0</v>
      </c>
      <c r="B145">
        <v>0.6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0.4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0.5</v>
      </c>
      <c r="AE145">
        <v>0</v>
      </c>
      <c r="AF145">
        <v>0</v>
      </c>
      <c r="AG145" s="1">
        <v>2</v>
      </c>
      <c r="AH145" s="1">
        <v>50</v>
      </c>
      <c r="AI145" s="1">
        <v>260</v>
      </c>
      <c r="AJ145" s="1">
        <v>193</v>
      </c>
      <c r="AK145" t="s">
        <v>122</v>
      </c>
    </row>
    <row r="146" spans="1:37" x14ac:dyDescent="0.3">
      <c r="A146">
        <v>0</v>
      </c>
      <c r="B146">
        <v>0.4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0.6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0.5</v>
      </c>
      <c r="AE146">
        <v>0</v>
      </c>
      <c r="AF146">
        <v>0</v>
      </c>
      <c r="AG146" s="1">
        <v>2</v>
      </c>
      <c r="AH146" s="1">
        <v>50</v>
      </c>
      <c r="AI146" s="1">
        <v>305</v>
      </c>
      <c r="AJ146" s="1">
        <v>193</v>
      </c>
      <c r="AK146" t="s">
        <v>122</v>
      </c>
    </row>
    <row r="147" spans="1:37" x14ac:dyDescent="0.3">
      <c r="A147">
        <v>0</v>
      </c>
      <c r="B147">
        <v>0.2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0.8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0.5</v>
      </c>
      <c r="AE147">
        <v>0</v>
      </c>
      <c r="AF147">
        <v>0</v>
      </c>
      <c r="AG147" s="1">
        <v>2</v>
      </c>
      <c r="AH147" s="1">
        <v>50</v>
      </c>
      <c r="AI147" s="1">
        <v>250</v>
      </c>
      <c r="AJ147" s="1">
        <v>193</v>
      </c>
      <c r="AK147" t="s">
        <v>122</v>
      </c>
    </row>
    <row r="148" spans="1:37" x14ac:dyDescent="0.3">
      <c r="A148">
        <v>0</v>
      </c>
      <c r="B148">
        <v>0.44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0.34</v>
      </c>
      <c r="T148">
        <v>0</v>
      </c>
      <c r="U148">
        <v>0</v>
      </c>
      <c r="V148">
        <v>0</v>
      </c>
      <c r="W148">
        <v>0</v>
      </c>
      <c r="X148">
        <v>0.22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0.1</v>
      </c>
      <c r="AE148">
        <v>0</v>
      </c>
      <c r="AF148">
        <v>0</v>
      </c>
      <c r="AG148" s="1">
        <v>2</v>
      </c>
      <c r="AH148" s="1">
        <v>50</v>
      </c>
      <c r="AI148" s="1">
        <v>780</v>
      </c>
      <c r="AJ148" s="1">
        <v>194</v>
      </c>
      <c r="AK148" t="s">
        <v>125</v>
      </c>
    </row>
    <row r="149" spans="1:37" x14ac:dyDescent="0.3">
      <c r="A149">
        <v>0</v>
      </c>
      <c r="B149">
        <v>0.42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0.32</v>
      </c>
      <c r="T149">
        <v>0</v>
      </c>
      <c r="U149">
        <v>0</v>
      </c>
      <c r="V149">
        <v>0</v>
      </c>
      <c r="W149">
        <v>0</v>
      </c>
      <c r="X149">
        <v>0.26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0.1</v>
      </c>
      <c r="AE149">
        <v>0</v>
      </c>
      <c r="AF149">
        <v>0</v>
      </c>
      <c r="AG149" s="1">
        <v>2</v>
      </c>
      <c r="AH149" s="1">
        <v>50</v>
      </c>
      <c r="AI149" s="1">
        <v>610</v>
      </c>
      <c r="AJ149" s="1">
        <v>194</v>
      </c>
      <c r="AK149" t="s">
        <v>125</v>
      </c>
    </row>
    <row r="150" spans="1:37" x14ac:dyDescent="0.3">
      <c r="A150">
        <v>0</v>
      </c>
      <c r="B150">
        <v>0.35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0.28000000000000003</v>
      </c>
      <c r="T150">
        <v>0</v>
      </c>
      <c r="U150">
        <v>0</v>
      </c>
      <c r="V150">
        <v>0</v>
      </c>
      <c r="W150">
        <v>0</v>
      </c>
      <c r="X150">
        <v>0.37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0.1</v>
      </c>
      <c r="AE150">
        <v>0</v>
      </c>
      <c r="AF150">
        <v>0</v>
      </c>
      <c r="AG150" s="1">
        <v>2</v>
      </c>
      <c r="AH150" s="1">
        <v>50</v>
      </c>
      <c r="AI150" s="1">
        <v>500</v>
      </c>
      <c r="AJ150" s="1">
        <v>194</v>
      </c>
      <c r="AK150" t="s">
        <v>125</v>
      </c>
    </row>
    <row r="151" spans="1:37" x14ac:dyDescent="0.3">
      <c r="A151">
        <v>0</v>
      </c>
      <c r="B151">
        <v>0.45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0.35</v>
      </c>
      <c r="T151">
        <v>0</v>
      </c>
      <c r="U151">
        <v>0</v>
      </c>
      <c r="V151">
        <v>0</v>
      </c>
      <c r="W151">
        <v>0</v>
      </c>
      <c r="X151">
        <v>0.2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0.1</v>
      </c>
      <c r="AE151">
        <v>0</v>
      </c>
      <c r="AF151">
        <v>0</v>
      </c>
      <c r="AG151" s="1">
        <v>2</v>
      </c>
      <c r="AH151" s="1">
        <v>50</v>
      </c>
      <c r="AI151" s="1">
        <v>490</v>
      </c>
      <c r="AJ151" s="1">
        <v>194</v>
      </c>
      <c r="AK151" t="s">
        <v>125</v>
      </c>
    </row>
    <row r="152" spans="1:37" x14ac:dyDescent="0.3">
      <c r="A152">
        <v>0</v>
      </c>
      <c r="B152">
        <v>0.49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0.38</v>
      </c>
      <c r="T152">
        <v>0</v>
      </c>
      <c r="U152">
        <v>0</v>
      </c>
      <c r="V152">
        <v>0</v>
      </c>
      <c r="W152">
        <v>0</v>
      </c>
      <c r="X152">
        <v>0.13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0.1</v>
      </c>
      <c r="AE152">
        <v>0</v>
      </c>
      <c r="AF152">
        <v>0</v>
      </c>
      <c r="AG152" s="1">
        <v>2</v>
      </c>
      <c r="AH152" s="1">
        <v>50</v>
      </c>
      <c r="AI152" s="1">
        <v>390</v>
      </c>
      <c r="AJ152" s="1">
        <v>194</v>
      </c>
      <c r="AK152" t="s">
        <v>125</v>
      </c>
    </row>
    <row r="153" spans="1:3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0.44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0.34</v>
      </c>
      <c r="T153">
        <v>0</v>
      </c>
      <c r="U153">
        <v>0</v>
      </c>
      <c r="V153">
        <v>0</v>
      </c>
      <c r="W153">
        <v>0</v>
      </c>
      <c r="X153">
        <v>0.22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0.1</v>
      </c>
      <c r="AE153">
        <v>0</v>
      </c>
      <c r="AF153">
        <v>0</v>
      </c>
      <c r="AG153" s="1">
        <v>2</v>
      </c>
      <c r="AH153" s="1">
        <v>50</v>
      </c>
      <c r="AI153" s="1">
        <v>275</v>
      </c>
      <c r="AJ153" s="1">
        <v>194</v>
      </c>
      <c r="AK153" t="s">
        <v>125</v>
      </c>
    </row>
    <row r="154" spans="1:37" x14ac:dyDescent="0.3">
      <c r="A154">
        <v>0</v>
      </c>
      <c r="B154">
        <v>0.94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0.06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0.5</v>
      </c>
      <c r="AE154">
        <v>0</v>
      </c>
      <c r="AF154">
        <v>0</v>
      </c>
      <c r="AG154" s="1">
        <v>1</v>
      </c>
      <c r="AH154">
        <v>9.7344000000000008</v>
      </c>
      <c r="AI154" s="1">
        <v>225</v>
      </c>
      <c r="AJ154" s="1">
        <v>219</v>
      </c>
      <c r="AK154" t="s">
        <v>129</v>
      </c>
    </row>
    <row r="155" spans="1:37" x14ac:dyDescent="0.3">
      <c r="A155">
        <v>0</v>
      </c>
      <c r="B155">
        <v>0.94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0.06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0.5</v>
      </c>
      <c r="AE155">
        <v>0</v>
      </c>
      <c r="AF155">
        <v>0</v>
      </c>
      <c r="AG155" s="1">
        <v>1</v>
      </c>
      <c r="AH155">
        <v>20.070400000000003</v>
      </c>
      <c r="AI155" s="1">
        <v>275</v>
      </c>
      <c r="AJ155" s="1">
        <v>219</v>
      </c>
      <c r="AK155" t="s">
        <v>129</v>
      </c>
    </row>
    <row r="156" spans="1:37" x14ac:dyDescent="0.3">
      <c r="A156">
        <v>0</v>
      </c>
      <c r="B156">
        <v>0.94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0.06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0.5</v>
      </c>
      <c r="AE156">
        <v>0</v>
      </c>
      <c r="AF156">
        <v>0</v>
      </c>
      <c r="AG156" s="1">
        <v>1</v>
      </c>
      <c r="AH156">
        <v>50.126400000000004</v>
      </c>
      <c r="AI156">
        <v>290</v>
      </c>
      <c r="AJ156" s="1">
        <v>219</v>
      </c>
      <c r="AK156" t="s">
        <v>129</v>
      </c>
    </row>
    <row r="157" spans="1:37" x14ac:dyDescent="0.3">
      <c r="A157">
        <v>0</v>
      </c>
      <c r="B157">
        <v>0.94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0.06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0.5</v>
      </c>
      <c r="AE157">
        <v>0</v>
      </c>
      <c r="AF157">
        <v>0</v>
      </c>
      <c r="AG157" s="1">
        <v>1</v>
      </c>
      <c r="AH157">
        <v>98.406400000000005</v>
      </c>
      <c r="AI157">
        <v>338</v>
      </c>
      <c r="AJ157" s="1">
        <v>219</v>
      </c>
      <c r="AK157" t="s">
        <v>129</v>
      </c>
    </row>
    <row r="158" spans="1:37" x14ac:dyDescent="0.3">
      <c r="A158">
        <v>0</v>
      </c>
      <c r="B158">
        <v>0.94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0.06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0.5</v>
      </c>
      <c r="AE158">
        <v>0</v>
      </c>
      <c r="AF158">
        <v>0</v>
      </c>
      <c r="AG158" s="1">
        <v>1</v>
      </c>
      <c r="AH158">
        <v>198</v>
      </c>
      <c r="AI158">
        <v>438</v>
      </c>
      <c r="AJ158" s="1">
        <v>219</v>
      </c>
      <c r="AK158" t="s">
        <v>129</v>
      </c>
    </row>
    <row r="159" spans="1:37" x14ac:dyDescent="0.3">
      <c r="A159">
        <v>0</v>
      </c>
      <c r="B159">
        <v>0.88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0.06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0.5</v>
      </c>
      <c r="AE159">
        <v>0</v>
      </c>
      <c r="AF159">
        <v>0</v>
      </c>
      <c r="AG159" s="1">
        <v>1</v>
      </c>
      <c r="AH159">
        <v>9.7344000000000008</v>
      </c>
      <c r="AI159">
        <v>62</v>
      </c>
      <c r="AJ159" s="1">
        <v>219</v>
      </c>
      <c r="AK159" t="s">
        <v>129</v>
      </c>
    </row>
    <row r="160" spans="1:37" x14ac:dyDescent="0.3">
      <c r="A160">
        <v>0</v>
      </c>
      <c r="B160">
        <v>0.88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0.06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0.06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0.5</v>
      </c>
      <c r="AE160">
        <v>0</v>
      </c>
      <c r="AF160">
        <v>0</v>
      </c>
      <c r="AG160" s="1">
        <v>1</v>
      </c>
      <c r="AH160">
        <v>20.070400000000003</v>
      </c>
      <c r="AI160">
        <v>75</v>
      </c>
      <c r="AJ160" s="1">
        <v>219</v>
      </c>
      <c r="AK160" t="s">
        <v>129</v>
      </c>
    </row>
    <row r="161" spans="1:37" x14ac:dyDescent="0.3">
      <c r="A161">
        <v>0</v>
      </c>
      <c r="B161">
        <v>0.88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0.06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0.5</v>
      </c>
      <c r="AE161">
        <v>0</v>
      </c>
      <c r="AF161">
        <v>0</v>
      </c>
      <c r="AG161" s="1">
        <v>1</v>
      </c>
      <c r="AH161">
        <v>50.126400000000004</v>
      </c>
      <c r="AI161">
        <v>100</v>
      </c>
      <c r="AJ161" s="1">
        <v>219</v>
      </c>
      <c r="AK161" t="s">
        <v>129</v>
      </c>
    </row>
    <row r="162" spans="1:37" x14ac:dyDescent="0.3">
      <c r="A162">
        <v>0</v>
      </c>
      <c r="B162">
        <v>0.88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0.06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0.06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0.5</v>
      </c>
      <c r="AE162">
        <v>0</v>
      </c>
      <c r="AF162">
        <v>0</v>
      </c>
      <c r="AG162" s="1">
        <v>1</v>
      </c>
      <c r="AH162">
        <v>98.406400000000005</v>
      </c>
      <c r="AI162">
        <v>120</v>
      </c>
      <c r="AJ162" s="1">
        <v>219</v>
      </c>
      <c r="AK162" t="s">
        <v>129</v>
      </c>
    </row>
    <row r="163" spans="1:37" x14ac:dyDescent="0.3">
      <c r="A163">
        <v>0</v>
      </c>
      <c r="B163">
        <v>0.88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0.06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0.06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0.5</v>
      </c>
      <c r="AE163">
        <v>0</v>
      </c>
      <c r="AF163">
        <v>0</v>
      </c>
      <c r="AG163" s="1">
        <v>1</v>
      </c>
      <c r="AH163">
        <v>198</v>
      </c>
      <c r="AI163">
        <v>142</v>
      </c>
      <c r="AJ163" s="1">
        <v>219</v>
      </c>
      <c r="AK163" t="s">
        <v>129</v>
      </c>
    </row>
    <row r="164" spans="1:37" x14ac:dyDescent="0.3">
      <c r="A164">
        <v>0</v>
      </c>
      <c r="B164">
        <f>1-I164-Q164-X164</f>
        <v>0.66999999999999993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7.0000000000000007E-2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0.2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0.5</v>
      </c>
      <c r="AE164">
        <v>0</v>
      </c>
      <c r="AF164">
        <v>0</v>
      </c>
      <c r="AG164" s="1">
        <v>0.5</v>
      </c>
      <c r="AH164">
        <v>50</v>
      </c>
      <c r="AI164">
        <v>420</v>
      </c>
      <c r="AJ164" s="1">
        <v>220</v>
      </c>
      <c r="AK164" t="s">
        <v>130</v>
      </c>
    </row>
    <row r="165" spans="1:37" x14ac:dyDescent="0.3">
      <c r="A165">
        <v>0</v>
      </c>
      <c r="B165">
        <f>1-I165-Q165-X165</f>
        <v>0.74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0.06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0.2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0.5</v>
      </c>
      <c r="AE165">
        <v>0</v>
      </c>
      <c r="AF165">
        <v>0</v>
      </c>
      <c r="AG165" s="1">
        <v>0.5</v>
      </c>
      <c r="AH165">
        <v>50</v>
      </c>
      <c r="AI165">
        <v>190</v>
      </c>
      <c r="AJ165" s="1">
        <v>220</v>
      </c>
      <c r="AK165" t="s">
        <v>130</v>
      </c>
    </row>
    <row r="166" spans="1:3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0.37</v>
      </c>
      <c r="I166">
        <v>0.04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0.59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0.5</v>
      </c>
      <c r="AE166">
        <v>0</v>
      </c>
      <c r="AF166">
        <v>0</v>
      </c>
      <c r="AG166" s="1">
        <v>1</v>
      </c>
      <c r="AH166">
        <v>50</v>
      </c>
      <c r="AI166">
        <v>90</v>
      </c>
      <c r="AJ166" s="1">
        <v>225</v>
      </c>
      <c r="AK166" t="s">
        <v>131</v>
      </c>
    </row>
    <row r="167" spans="1:3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0.53</v>
      </c>
      <c r="I167">
        <v>7.0000000000000007E-2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0.4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0.5</v>
      </c>
      <c r="AE167">
        <v>0</v>
      </c>
      <c r="AF167">
        <v>0</v>
      </c>
      <c r="AG167" s="1">
        <v>1</v>
      </c>
      <c r="AH167">
        <v>50</v>
      </c>
      <c r="AI167">
        <v>50</v>
      </c>
      <c r="AJ167" s="1">
        <v>225</v>
      </c>
      <c r="AK167" t="s">
        <v>131</v>
      </c>
    </row>
    <row r="168" spans="1:37" x14ac:dyDescent="0.3">
      <c r="A168">
        <v>0</v>
      </c>
      <c r="B168">
        <v>0</v>
      </c>
      <c r="C168">
        <v>0</v>
      </c>
      <c r="D168">
        <v>0</v>
      </c>
      <c r="E168">
        <v>0.78</v>
      </c>
      <c r="F168">
        <v>0</v>
      </c>
      <c r="G168">
        <v>0</v>
      </c>
      <c r="H168">
        <v>0</v>
      </c>
      <c r="I168">
        <v>0.06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0.16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0.5</v>
      </c>
      <c r="AE168">
        <v>0</v>
      </c>
      <c r="AF168">
        <v>0</v>
      </c>
      <c r="AG168" s="1">
        <v>1</v>
      </c>
      <c r="AH168">
        <v>20</v>
      </c>
      <c r="AI168">
        <f>0.6/50.6*1000</f>
        <v>11.857707509881422</v>
      </c>
      <c r="AJ168" s="1">
        <v>227</v>
      </c>
      <c r="AK168" t="s">
        <v>132</v>
      </c>
    </row>
    <row r="169" spans="1:37" x14ac:dyDescent="0.3">
      <c r="A169">
        <v>0</v>
      </c>
      <c r="B169">
        <v>0</v>
      </c>
      <c r="C169">
        <v>0</v>
      </c>
      <c r="D169">
        <v>0</v>
      </c>
      <c r="E169">
        <v>0.8</v>
      </c>
      <c r="F169">
        <v>0</v>
      </c>
      <c r="G169">
        <v>0</v>
      </c>
      <c r="H169">
        <v>0</v>
      </c>
      <c r="I169">
        <v>0.06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0.14000000000000001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0.5</v>
      </c>
      <c r="AE169">
        <v>0</v>
      </c>
      <c r="AF169">
        <v>0</v>
      </c>
      <c r="AG169" s="1">
        <v>1</v>
      </c>
      <c r="AH169">
        <v>20</v>
      </c>
      <c r="AI169">
        <f>13.2/50.6*1000</f>
        <v>260.86956521739131</v>
      </c>
      <c r="AJ169" s="1">
        <v>227</v>
      </c>
      <c r="AK169" t="s">
        <v>132</v>
      </c>
    </row>
    <row r="170" spans="1:37" x14ac:dyDescent="0.3">
      <c r="A170">
        <v>0</v>
      </c>
      <c r="B170">
        <v>0</v>
      </c>
      <c r="C170">
        <v>0</v>
      </c>
      <c r="D170">
        <v>0</v>
      </c>
      <c r="E170">
        <v>0.64</v>
      </c>
      <c r="F170">
        <v>0</v>
      </c>
      <c r="G170">
        <v>0</v>
      </c>
      <c r="H170">
        <v>0</v>
      </c>
      <c r="I170">
        <v>0.05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0.31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0.5</v>
      </c>
      <c r="AE170">
        <v>0</v>
      </c>
      <c r="AF170">
        <v>0</v>
      </c>
      <c r="AG170" s="1">
        <v>1</v>
      </c>
      <c r="AH170">
        <v>20</v>
      </c>
      <c r="AI170">
        <f>6.8/50.6*1000</f>
        <v>134.38735177865613</v>
      </c>
      <c r="AJ170" s="1">
        <v>227</v>
      </c>
      <c r="AK170" t="s">
        <v>132</v>
      </c>
    </row>
    <row r="171" spans="1:37" x14ac:dyDescent="0.3">
      <c r="A171">
        <v>0</v>
      </c>
      <c r="B171">
        <v>0</v>
      </c>
      <c r="C171">
        <v>0</v>
      </c>
      <c r="D171">
        <v>0</v>
      </c>
      <c r="E171">
        <v>0.81</v>
      </c>
      <c r="F171">
        <v>0</v>
      </c>
      <c r="G171">
        <v>0</v>
      </c>
      <c r="H171">
        <v>0</v>
      </c>
      <c r="I171">
        <v>0.06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0.13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0.5</v>
      </c>
      <c r="AE171">
        <v>0</v>
      </c>
      <c r="AF171">
        <v>0</v>
      </c>
      <c r="AG171" s="1">
        <v>1</v>
      </c>
      <c r="AH171">
        <v>20</v>
      </c>
      <c r="AI171">
        <f>0.51/50.6*1000</f>
        <v>10.079051383399209</v>
      </c>
      <c r="AJ171" s="1">
        <v>227</v>
      </c>
      <c r="AK171" t="s">
        <v>132</v>
      </c>
    </row>
    <row r="172" spans="1:3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0.77</v>
      </c>
      <c r="I172">
        <v>0.03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1</v>
      </c>
      <c r="AE172">
        <v>0</v>
      </c>
      <c r="AF172">
        <v>0</v>
      </c>
      <c r="AG172" s="1">
        <v>2</v>
      </c>
      <c r="AH172">
        <v>50</v>
      </c>
      <c r="AI172">
        <v>300</v>
      </c>
      <c r="AJ172" s="1">
        <v>230</v>
      </c>
      <c r="AK172" t="s">
        <v>133</v>
      </c>
    </row>
    <row r="173" spans="1:3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0.67</v>
      </c>
      <c r="I173">
        <v>0.03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0.25</v>
      </c>
      <c r="Y173">
        <v>0.05</v>
      </c>
      <c r="Z173">
        <v>0</v>
      </c>
      <c r="AA173">
        <v>0</v>
      </c>
      <c r="AB173">
        <v>0</v>
      </c>
      <c r="AC173">
        <v>0</v>
      </c>
      <c r="AD173" s="1">
        <v>1</v>
      </c>
      <c r="AE173">
        <v>0</v>
      </c>
      <c r="AF173">
        <v>0</v>
      </c>
      <c r="AG173" s="1">
        <v>2</v>
      </c>
      <c r="AH173">
        <v>50</v>
      </c>
      <c r="AI173">
        <v>320</v>
      </c>
      <c r="AJ173" s="1">
        <v>230</v>
      </c>
      <c r="AK173" t="s">
        <v>133</v>
      </c>
    </row>
    <row r="174" spans="1:37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0.67</v>
      </c>
      <c r="I174">
        <v>0.03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0.24</v>
      </c>
      <c r="Y174">
        <v>0.06</v>
      </c>
      <c r="Z174">
        <v>0</v>
      </c>
      <c r="AA174">
        <v>0</v>
      </c>
      <c r="AB174">
        <v>0</v>
      </c>
      <c r="AC174">
        <v>0</v>
      </c>
      <c r="AD174" s="1">
        <v>1</v>
      </c>
      <c r="AE174">
        <v>0</v>
      </c>
      <c r="AF174">
        <v>0</v>
      </c>
      <c r="AG174" s="1">
        <v>2</v>
      </c>
      <c r="AH174">
        <v>50</v>
      </c>
      <c r="AI174">
        <v>380</v>
      </c>
      <c r="AJ174" s="1">
        <v>230</v>
      </c>
      <c r="AK174" t="s">
        <v>133</v>
      </c>
    </row>
    <row r="175" spans="1:3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0.67</v>
      </c>
      <c r="I175">
        <v>0.03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0.19</v>
      </c>
      <c r="Y175">
        <v>0.11</v>
      </c>
      <c r="Z175">
        <v>0</v>
      </c>
      <c r="AA175">
        <v>0</v>
      </c>
      <c r="AB175">
        <v>0</v>
      </c>
      <c r="AC175">
        <v>0</v>
      </c>
      <c r="AD175" s="1">
        <v>1</v>
      </c>
      <c r="AE175">
        <v>0</v>
      </c>
      <c r="AF175">
        <v>0</v>
      </c>
      <c r="AG175" s="1">
        <v>2</v>
      </c>
      <c r="AH175">
        <v>50</v>
      </c>
      <c r="AI175">
        <v>400</v>
      </c>
      <c r="AJ175" s="1">
        <v>230</v>
      </c>
      <c r="AK175" t="s">
        <v>133</v>
      </c>
    </row>
    <row r="176" spans="1:37" x14ac:dyDescent="0.3">
      <c r="A176">
        <v>0</v>
      </c>
      <c r="B176">
        <v>0.77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0.14000000000000001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1</v>
      </c>
      <c r="AE176">
        <v>0</v>
      </c>
      <c r="AF176">
        <v>0</v>
      </c>
      <c r="AG176" s="1">
        <v>1</v>
      </c>
      <c r="AH176">
        <v>20</v>
      </c>
      <c r="AI176">
        <v>135</v>
      </c>
      <c r="AJ176" s="1">
        <v>231</v>
      </c>
      <c r="AK176" t="s">
        <v>134</v>
      </c>
    </row>
    <row r="177" spans="1:37" x14ac:dyDescent="0.3">
      <c r="A177">
        <v>0</v>
      </c>
      <c r="B177">
        <v>0.73</v>
      </c>
      <c r="C177">
        <v>0</v>
      </c>
      <c r="D177">
        <v>0</v>
      </c>
      <c r="E177">
        <v>0</v>
      </c>
      <c r="F177">
        <v>0</v>
      </c>
      <c r="G177">
        <v>0</v>
      </c>
      <c r="H177" s="4">
        <v>0</v>
      </c>
      <c r="I177">
        <v>0.13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0.14000000000000001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1</v>
      </c>
      <c r="AE177">
        <v>0</v>
      </c>
      <c r="AF177">
        <v>0</v>
      </c>
      <c r="AG177" s="1">
        <v>1</v>
      </c>
      <c r="AH177">
        <v>20</v>
      </c>
      <c r="AI177">
        <v>40</v>
      </c>
      <c r="AJ177" s="1">
        <v>231</v>
      </c>
      <c r="AK177" t="s">
        <v>134</v>
      </c>
    </row>
    <row r="178" spans="1:37" x14ac:dyDescent="0.3">
      <c r="A178">
        <v>0</v>
      </c>
      <c r="B178">
        <v>0.74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0.04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0.22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0.5</v>
      </c>
      <c r="AE178">
        <v>0</v>
      </c>
      <c r="AF178">
        <v>0</v>
      </c>
      <c r="AG178" s="1">
        <v>0.5</v>
      </c>
      <c r="AH178">
        <v>20</v>
      </c>
      <c r="AI178">
        <f>25/51*1000</f>
        <v>490.19607843137254</v>
      </c>
      <c r="AJ178" s="1">
        <v>232</v>
      </c>
      <c r="AK178" t="s">
        <v>135</v>
      </c>
    </row>
    <row r="179" spans="1:37" x14ac:dyDescent="0.3">
      <c r="A179">
        <v>0</v>
      </c>
      <c r="B179">
        <v>0</v>
      </c>
      <c r="C179">
        <v>0</v>
      </c>
      <c r="D179">
        <v>0</v>
      </c>
      <c r="E179">
        <v>0.73</v>
      </c>
      <c r="F179">
        <v>0</v>
      </c>
      <c r="G179">
        <v>0</v>
      </c>
      <c r="H179">
        <v>0</v>
      </c>
      <c r="I179">
        <v>0</v>
      </c>
      <c r="J179">
        <v>7.0000000000000007E-2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0.5</v>
      </c>
      <c r="AE179">
        <v>0</v>
      </c>
      <c r="AF179">
        <v>0</v>
      </c>
      <c r="AG179" s="1">
        <v>1</v>
      </c>
      <c r="AH179">
        <v>20</v>
      </c>
      <c r="AI179">
        <v>615</v>
      </c>
      <c r="AJ179" s="1">
        <v>236</v>
      </c>
      <c r="AK179" t="s">
        <v>142</v>
      </c>
    </row>
    <row r="180" spans="1:37" x14ac:dyDescent="0.3">
      <c r="A180">
        <v>0</v>
      </c>
      <c r="B180">
        <v>0</v>
      </c>
      <c r="C180">
        <v>0</v>
      </c>
      <c r="D180">
        <v>0</v>
      </c>
      <c r="E180">
        <v>0.67</v>
      </c>
      <c r="F180">
        <v>0</v>
      </c>
      <c r="G180">
        <v>0</v>
      </c>
      <c r="H180">
        <v>0</v>
      </c>
      <c r="I180">
        <v>0</v>
      </c>
      <c r="J180">
        <v>0.13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0.5</v>
      </c>
      <c r="AE180">
        <v>0</v>
      </c>
      <c r="AF180">
        <v>0</v>
      </c>
      <c r="AG180" s="1">
        <v>1</v>
      </c>
      <c r="AH180">
        <v>20</v>
      </c>
      <c r="AI180">
        <v>785</v>
      </c>
      <c r="AJ180" s="1">
        <v>236</v>
      </c>
      <c r="AK180" t="s">
        <v>142</v>
      </c>
    </row>
    <row r="181" spans="1:37" x14ac:dyDescent="0.3">
      <c r="A181">
        <v>0</v>
      </c>
      <c r="B181">
        <v>0</v>
      </c>
      <c r="C181">
        <v>0</v>
      </c>
      <c r="D181">
        <v>0</v>
      </c>
      <c r="E181">
        <v>0.62</v>
      </c>
      <c r="F181">
        <v>0</v>
      </c>
      <c r="G181">
        <v>0</v>
      </c>
      <c r="H181">
        <v>0</v>
      </c>
      <c r="I181">
        <v>0</v>
      </c>
      <c r="J181">
        <v>0.18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0.2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0.5</v>
      </c>
      <c r="AE181">
        <v>0</v>
      </c>
      <c r="AF181">
        <v>0</v>
      </c>
      <c r="AG181" s="1">
        <v>1</v>
      </c>
      <c r="AH181">
        <v>20</v>
      </c>
      <c r="AI181">
        <v>863</v>
      </c>
      <c r="AJ181" s="1">
        <v>236</v>
      </c>
      <c r="AK181" t="s">
        <v>142</v>
      </c>
    </row>
    <row r="182" spans="1:37" x14ac:dyDescent="0.3">
      <c r="A182">
        <v>0</v>
      </c>
      <c r="B182">
        <v>0</v>
      </c>
      <c r="C182">
        <v>0</v>
      </c>
      <c r="D182">
        <v>0</v>
      </c>
      <c r="E182">
        <v>0.53</v>
      </c>
      <c r="F182">
        <v>0</v>
      </c>
      <c r="G182">
        <v>0</v>
      </c>
      <c r="H182">
        <v>0</v>
      </c>
      <c r="I182">
        <v>0</v>
      </c>
      <c r="J182">
        <v>0.27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0.2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0.5</v>
      </c>
      <c r="AE182">
        <v>0</v>
      </c>
      <c r="AF182">
        <v>0</v>
      </c>
      <c r="AG182" s="1">
        <v>1</v>
      </c>
      <c r="AH182">
        <v>20</v>
      </c>
      <c r="AI182">
        <v>525</v>
      </c>
      <c r="AJ182" s="1">
        <v>236</v>
      </c>
      <c r="AK182" t="s">
        <v>142</v>
      </c>
    </row>
    <row r="183" spans="1:37" x14ac:dyDescent="0.3">
      <c r="A183">
        <v>0</v>
      </c>
      <c r="B183">
        <v>0</v>
      </c>
      <c r="C183">
        <v>0</v>
      </c>
      <c r="D183">
        <v>0</v>
      </c>
      <c r="E183">
        <v>0.47</v>
      </c>
      <c r="F183">
        <v>0</v>
      </c>
      <c r="G183">
        <v>0</v>
      </c>
      <c r="H183">
        <v>0</v>
      </c>
      <c r="I183">
        <v>0</v>
      </c>
      <c r="J183">
        <v>0.33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0.2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0.5</v>
      </c>
      <c r="AE183">
        <v>0</v>
      </c>
      <c r="AF183">
        <v>0</v>
      </c>
      <c r="AG183" s="1">
        <v>1</v>
      </c>
      <c r="AH183">
        <v>20</v>
      </c>
      <c r="AI183">
        <v>461</v>
      </c>
      <c r="AJ183" s="1">
        <v>236</v>
      </c>
      <c r="AK183" t="s">
        <v>142</v>
      </c>
    </row>
    <row r="184" spans="1:37" x14ac:dyDescent="0.3">
      <c r="A184">
        <v>0</v>
      </c>
      <c r="B184">
        <v>0</v>
      </c>
      <c r="C184">
        <v>0</v>
      </c>
      <c r="D184">
        <v>0</v>
      </c>
      <c r="E184">
        <v>0.62</v>
      </c>
      <c r="F184">
        <v>0</v>
      </c>
      <c r="G184">
        <v>0</v>
      </c>
      <c r="H184">
        <v>0</v>
      </c>
      <c r="I184">
        <v>0</v>
      </c>
      <c r="J184">
        <v>0.19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0.17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0.5</v>
      </c>
      <c r="AE184">
        <v>0</v>
      </c>
      <c r="AF184">
        <v>0</v>
      </c>
      <c r="AG184" s="1">
        <v>1</v>
      </c>
      <c r="AH184">
        <v>20</v>
      </c>
      <c r="AI184">
        <v>1302</v>
      </c>
      <c r="AJ184" s="1">
        <v>237</v>
      </c>
      <c r="AK184" t="s">
        <v>145</v>
      </c>
    </row>
    <row r="185" spans="1:37" x14ac:dyDescent="0.3">
      <c r="A185">
        <v>0</v>
      </c>
      <c r="B185">
        <v>0</v>
      </c>
      <c r="C185">
        <v>0</v>
      </c>
      <c r="D185">
        <v>0</v>
      </c>
      <c r="E185">
        <v>0.63</v>
      </c>
      <c r="F185">
        <v>0</v>
      </c>
      <c r="G185">
        <v>0</v>
      </c>
      <c r="H185">
        <v>0</v>
      </c>
      <c r="I185">
        <v>0</v>
      </c>
      <c r="J185">
        <v>0.19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0.04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0.14000000000000001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0.5</v>
      </c>
      <c r="AE185">
        <v>0</v>
      </c>
      <c r="AF185">
        <v>0</v>
      </c>
      <c r="AG185" s="1">
        <v>1</v>
      </c>
      <c r="AH185">
        <v>20</v>
      </c>
      <c r="AI185">
        <v>1113</v>
      </c>
      <c r="AJ185" s="1">
        <v>237</v>
      </c>
      <c r="AK185" t="s">
        <v>145</v>
      </c>
    </row>
    <row r="186" spans="1:37" x14ac:dyDescent="0.3">
      <c r="A186">
        <v>0</v>
      </c>
      <c r="B186">
        <v>0</v>
      </c>
      <c r="C186">
        <v>0</v>
      </c>
      <c r="D186">
        <v>0</v>
      </c>
      <c r="E186">
        <v>0.64</v>
      </c>
      <c r="F186">
        <v>0</v>
      </c>
      <c r="G186">
        <v>0</v>
      </c>
      <c r="H186">
        <v>0</v>
      </c>
      <c r="I186">
        <v>0</v>
      </c>
      <c r="J186">
        <v>0.19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0.09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0.5</v>
      </c>
      <c r="AE186">
        <v>0</v>
      </c>
      <c r="AF186">
        <v>0</v>
      </c>
      <c r="AG186" s="1">
        <v>1</v>
      </c>
      <c r="AH186">
        <v>20</v>
      </c>
      <c r="AI186">
        <v>1084</v>
      </c>
      <c r="AJ186" s="1">
        <v>237</v>
      </c>
      <c r="AK186" t="s">
        <v>145</v>
      </c>
    </row>
    <row r="187" spans="1:37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0.56999999999999995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0.22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0.14000000000000001</v>
      </c>
      <c r="Y187">
        <v>7.0000000000000007E-2</v>
      </c>
      <c r="Z187">
        <v>0</v>
      </c>
      <c r="AA187">
        <v>0</v>
      </c>
      <c r="AB187">
        <v>0</v>
      </c>
      <c r="AC187">
        <v>0</v>
      </c>
      <c r="AD187" s="1">
        <v>0.5</v>
      </c>
      <c r="AE187">
        <v>0</v>
      </c>
      <c r="AF187">
        <v>0</v>
      </c>
      <c r="AG187" s="1">
        <v>2</v>
      </c>
      <c r="AH187">
        <v>20</v>
      </c>
      <c r="AI187">
        <f>55/0.5</f>
        <v>110</v>
      </c>
      <c r="AJ187" s="1">
        <v>242</v>
      </c>
      <c r="AK187" t="s">
        <v>147</v>
      </c>
    </row>
    <row r="188" spans="1:37" x14ac:dyDescent="0.3">
      <c r="A188">
        <v>0</v>
      </c>
      <c r="B188">
        <f>1-L188-X188</f>
        <v>0.78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0.02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0.5</v>
      </c>
      <c r="AE188">
        <v>0</v>
      </c>
      <c r="AF188">
        <v>0</v>
      </c>
      <c r="AG188" s="1">
        <v>1</v>
      </c>
      <c r="AH188">
        <v>50</v>
      </c>
      <c r="AI188">
        <v>280</v>
      </c>
      <c r="AJ188" s="1">
        <v>243</v>
      </c>
      <c r="AK188" t="s">
        <v>148</v>
      </c>
    </row>
    <row r="189" spans="1:37" x14ac:dyDescent="0.3">
      <c r="A189">
        <v>0</v>
      </c>
      <c r="B189">
        <f t="shared" ref="B189:B192" si="2">1-L189-X189</f>
        <v>0.76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>0.04</f>
        <v>0.04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0.5</v>
      </c>
      <c r="AE189">
        <v>0</v>
      </c>
      <c r="AF189">
        <v>0</v>
      </c>
      <c r="AG189" s="1">
        <v>1</v>
      </c>
      <c r="AH189">
        <v>50</v>
      </c>
      <c r="AI189">
        <v>325</v>
      </c>
      <c r="AJ189" s="1">
        <v>243</v>
      </c>
      <c r="AK189" t="s">
        <v>148</v>
      </c>
    </row>
    <row r="190" spans="1:37" x14ac:dyDescent="0.3">
      <c r="A190">
        <v>0</v>
      </c>
      <c r="B190">
        <f t="shared" si="2"/>
        <v>0.74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0.06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0.2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0.5</v>
      </c>
      <c r="AE190">
        <v>0</v>
      </c>
      <c r="AF190">
        <v>0</v>
      </c>
      <c r="AG190" s="1">
        <v>1</v>
      </c>
      <c r="AH190">
        <v>50</v>
      </c>
      <c r="AI190">
        <v>440</v>
      </c>
      <c r="AJ190" s="1">
        <v>243</v>
      </c>
      <c r="AK190" t="s">
        <v>148</v>
      </c>
    </row>
    <row r="191" spans="1:37" x14ac:dyDescent="0.3">
      <c r="A191">
        <v>0</v>
      </c>
      <c r="B191">
        <f t="shared" si="2"/>
        <v>0.72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0.08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0.2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0.5</v>
      </c>
      <c r="AE191">
        <v>0</v>
      </c>
      <c r="AF191">
        <v>0</v>
      </c>
      <c r="AG191" s="1">
        <v>1</v>
      </c>
      <c r="AH191">
        <v>50</v>
      </c>
      <c r="AI191">
        <v>403</v>
      </c>
      <c r="AJ191" s="1">
        <v>243</v>
      </c>
      <c r="AK191" t="s">
        <v>148</v>
      </c>
    </row>
    <row r="192" spans="1:37" x14ac:dyDescent="0.3">
      <c r="A192">
        <v>0</v>
      </c>
      <c r="B192">
        <f t="shared" si="2"/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0.5</v>
      </c>
      <c r="AE192">
        <v>0</v>
      </c>
      <c r="AF192">
        <v>0</v>
      </c>
      <c r="AG192" s="1">
        <v>0.5</v>
      </c>
      <c r="AH192">
        <v>50</v>
      </c>
      <c r="AI192" s="1">
        <f>2.75/28*1000</f>
        <v>98.214285714285708</v>
      </c>
      <c r="AJ192" s="1">
        <v>244</v>
      </c>
      <c r="AK192" t="s">
        <v>149</v>
      </c>
    </row>
    <row r="193" spans="1:3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0.2</v>
      </c>
      <c r="I193">
        <v>0</v>
      </c>
      <c r="J193">
        <v>0</v>
      </c>
      <c r="K193">
        <v>0</v>
      </c>
      <c r="L193">
        <f>1-H193-X193</f>
        <v>0.57000000000000006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0.23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0.5</v>
      </c>
      <c r="AE193">
        <v>0</v>
      </c>
      <c r="AF193">
        <v>0</v>
      </c>
      <c r="AG193" s="1">
        <v>0.5</v>
      </c>
      <c r="AH193">
        <v>50</v>
      </c>
      <c r="AI193" s="1">
        <f>4.16/28*1000</f>
        <v>148.57142857142858</v>
      </c>
      <c r="AJ193" s="1">
        <v>244</v>
      </c>
      <c r="AK193" t="s">
        <v>149</v>
      </c>
    </row>
    <row r="194" spans="1:37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0.4</v>
      </c>
      <c r="I194">
        <v>0</v>
      </c>
      <c r="J194">
        <v>0</v>
      </c>
      <c r="K194">
        <v>0</v>
      </c>
      <c r="L194">
        <f>1-H194-X194</f>
        <v>0.37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0.23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0.5</v>
      </c>
      <c r="AE194">
        <v>0</v>
      </c>
      <c r="AF194">
        <v>0</v>
      </c>
      <c r="AG194" s="1">
        <v>0.5</v>
      </c>
      <c r="AH194">
        <v>50</v>
      </c>
      <c r="AI194" s="1">
        <f>9.3/28*1000</f>
        <v>332.14285714285717</v>
      </c>
      <c r="AJ194" s="1">
        <v>244</v>
      </c>
      <c r="AK194" t="s">
        <v>149</v>
      </c>
    </row>
    <row r="195" spans="1:37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0.6</v>
      </c>
      <c r="I195">
        <v>0</v>
      </c>
      <c r="J195">
        <v>0</v>
      </c>
      <c r="K195">
        <v>0</v>
      </c>
      <c r="L195">
        <f>1-H195-X195</f>
        <v>0.19000000000000003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0.21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0.5</v>
      </c>
      <c r="AE195">
        <v>0</v>
      </c>
      <c r="AF195">
        <v>0</v>
      </c>
      <c r="AG195" s="1">
        <v>0.5</v>
      </c>
      <c r="AH195">
        <v>50</v>
      </c>
      <c r="AI195" s="1">
        <f>5.52/28*1000</f>
        <v>197.14285714285711</v>
      </c>
      <c r="AJ195" s="1">
        <v>244</v>
      </c>
      <c r="AK195" t="s">
        <v>149</v>
      </c>
    </row>
    <row r="196" spans="1:37" x14ac:dyDescent="0.3">
      <c r="A196">
        <v>0</v>
      </c>
      <c r="B196">
        <v>0</v>
      </c>
      <c r="C196">
        <v>0</v>
      </c>
      <c r="D196">
        <v>0</v>
      </c>
      <c r="E196">
        <v>0.55000000000000004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0.25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0.13</v>
      </c>
      <c r="Y196">
        <v>7.0000000000000007E-2</v>
      </c>
      <c r="Z196">
        <v>0</v>
      </c>
      <c r="AA196">
        <v>0</v>
      </c>
      <c r="AB196">
        <v>0</v>
      </c>
      <c r="AC196">
        <v>0</v>
      </c>
      <c r="AD196" s="1">
        <v>0.5</v>
      </c>
      <c r="AE196">
        <v>0</v>
      </c>
      <c r="AF196">
        <v>0</v>
      </c>
      <c r="AG196" s="1">
        <v>1</v>
      </c>
      <c r="AH196">
        <v>20</v>
      </c>
      <c r="AI196">
        <v>120</v>
      </c>
      <c r="AJ196" s="1">
        <v>247</v>
      </c>
      <c r="AK196" t="s">
        <v>150</v>
      </c>
    </row>
    <row r="197" spans="1:37" x14ac:dyDescent="0.3">
      <c r="A197">
        <v>0</v>
      </c>
      <c r="B197">
        <v>0</v>
      </c>
      <c r="C197">
        <v>0</v>
      </c>
      <c r="D197">
        <v>0</v>
      </c>
      <c r="E197">
        <v>0.7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0.03</v>
      </c>
      <c r="Y197">
        <v>0.02</v>
      </c>
      <c r="Z197">
        <v>0</v>
      </c>
      <c r="AA197">
        <v>0</v>
      </c>
      <c r="AB197">
        <v>0</v>
      </c>
      <c r="AC197">
        <v>0</v>
      </c>
      <c r="AD197" s="1">
        <v>0.5</v>
      </c>
      <c r="AE197">
        <v>0</v>
      </c>
      <c r="AF197">
        <v>0</v>
      </c>
      <c r="AG197" s="1">
        <v>1</v>
      </c>
      <c r="AH197">
        <v>20</v>
      </c>
      <c r="AI197">
        <v>75</v>
      </c>
      <c r="AJ197" s="1">
        <v>247</v>
      </c>
      <c r="AK197" t="s">
        <v>150</v>
      </c>
    </row>
    <row r="198" spans="1:37" x14ac:dyDescent="0.3">
      <c r="A198">
        <v>0</v>
      </c>
      <c r="B198">
        <v>0</v>
      </c>
      <c r="C198">
        <v>0</v>
      </c>
      <c r="D198">
        <v>0</v>
      </c>
      <c r="E198">
        <v>0.65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0.25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0.06</v>
      </c>
      <c r="Y198">
        <v>0.04</v>
      </c>
      <c r="Z198">
        <v>0</v>
      </c>
      <c r="AA198">
        <v>0</v>
      </c>
      <c r="AB198">
        <v>0</v>
      </c>
      <c r="AC198">
        <v>0</v>
      </c>
      <c r="AD198" s="1">
        <v>0.5</v>
      </c>
      <c r="AE198">
        <v>0</v>
      </c>
      <c r="AF198">
        <v>0</v>
      </c>
      <c r="AG198" s="1">
        <v>1</v>
      </c>
      <c r="AH198">
        <v>20</v>
      </c>
      <c r="AI198">
        <v>140</v>
      </c>
      <c r="AJ198" s="1">
        <v>247</v>
      </c>
      <c r="AK198" t="s">
        <v>150</v>
      </c>
    </row>
    <row r="199" spans="1:37" x14ac:dyDescent="0.3">
      <c r="A199">
        <v>0</v>
      </c>
      <c r="B199">
        <v>0</v>
      </c>
      <c r="C199">
        <v>0</v>
      </c>
      <c r="D199">
        <v>0</v>
      </c>
      <c r="E199">
        <v>0.45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0.25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0.19</v>
      </c>
      <c r="Y199">
        <v>0.11</v>
      </c>
      <c r="Z199">
        <v>0</v>
      </c>
      <c r="AA199">
        <v>0</v>
      </c>
      <c r="AB199">
        <v>0</v>
      </c>
      <c r="AC199">
        <v>0</v>
      </c>
      <c r="AD199" s="1">
        <v>0.5</v>
      </c>
      <c r="AE199">
        <v>0</v>
      </c>
      <c r="AF199">
        <v>0</v>
      </c>
      <c r="AG199" s="1">
        <v>1</v>
      </c>
      <c r="AH199">
        <v>20</v>
      </c>
      <c r="AI199">
        <v>85</v>
      </c>
      <c r="AJ199" s="1">
        <v>247</v>
      </c>
      <c r="AK199" t="s">
        <v>150</v>
      </c>
    </row>
    <row r="200" spans="1:37" x14ac:dyDescent="0.3">
      <c r="A200">
        <v>0</v>
      </c>
      <c r="B200">
        <v>0</v>
      </c>
      <c r="C200">
        <v>0</v>
      </c>
      <c r="D200">
        <v>0</v>
      </c>
      <c r="E200">
        <v>0.35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0.25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0.26</v>
      </c>
      <c r="Y200">
        <v>0.14000000000000001</v>
      </c>
      <c r="Z200">
        <v>0</v>
      </c>
      <c r="AA200">
        <v>0</v>
      </c>
      <c r="AB200">
        <v>0</v>
      </c>
      <c r="AC200">
        <v>0</v>
      </c>
      <c r="AD200" s="1">
        <v>0.5</v>
      </c>
      <c r="AE200">
        <v>0</v>
      </c>
      <c r="AF200">
        <v>0</v>
      </c>
      <c r="AG200" s="1">
        <v>1</v>
      </c>
      <c r="AH200">
        <v>20</v>
      </c>
      <c r="AI200">
        <v>38</v>
      </c>
      <c r="AJ200" s="1">
        <v>247</v>
      </c>
      <c r="AK200" t="s">
        <v>150</v>
      </c>
    </row>
    <row r="201" spans="1:37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1-L201-X201</f>
        <v>0.52</v>
      </c>
      <c r="I201">
        <v>0</v>
      </c>
      <c r="J201">
        <v>0</v>
      </c>
      <c r="K201">
        <v>0</v>
      </c>
      <c r="L201">
        <v>0.18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0.3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0.5</v>
      </c>
      <c r="AE201">
        <v>0</v>
      </c>
      <c r="AF201">
        <v>0</v>
      </c>
      <c r="AG201" s="1">
        <v>0.5</v>
      </c>
      <c r="AH201">
        <v>50</v>
      </c>
      <c r="AI201">
        <f>2.8*35.6*10</f>
        <v>996.8</v>
      </c>
      <c r="AJ201" s="1">
        <v>248</v>
      </c>
      <c r="AK201" t="s">
        <v>151</v>
      </c>
    </row>
    <row r="202" spans="1:3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ref="H202" si="3">1-L202-X202</f>
        <v>0.72000000000000008</v>
      </c>
      <c r="I202">
        <v>0</v>
      </c>
      <c r="J202">
        <v>0</v>
      </c>
      <c r="K202">
        <v>0</v>
      </c>
      <c r="L202">
        <v>0.18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0.1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0.5</v>
      </c>
      <c r="AE202">
        <v>0</v>
      </c>
      <c r="AF202">
        <v>0</v>
      </c>
      <c r="AG202" s="1">
        <v>0.5</v>
      </c>
      <c r="AH202">
        <v>50</v>
      </c>
      <c r="AI202">
        <f>1.96*32.4*10</f>
        <v>635.04</v>
      </c>
      <c r="AJ202" s="1">
        <v>248</v>
      </c>
      <c r="AK202" t="s">
        <v>151</v>
      </c>
    </row>
    <row r="203" spans="1:37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0.37</v>
      </c>
      <c r="I203">
        <v>0</v>
      </c>
      <c r="J203">
        <v>0</v>
      </c>
      <c r="K203">
        <v>0</v>
      </c>
      <c r="L203">
        <v>0.18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0.3</v>
      </c>
      <c r="Y203">
        <v>0.15</v>
      </c>
      <c r="Z203">
        <v>0</v>
      </c>
      <c r="AA203">
        <v>0</v>
      </c>
      <c r="AB203">
        <v>0</v>
      </c>
      <c r="AC203">
        <v>0</v>
      </c>
      <c r="AD203" s="1">
        <v>0.5</v>
      </c>
      <c r="AE203">
        <v>0</v>
      </c>
      <c r="AF203">
        <v>0</v>
      </c>
      <c r="AG203" s="1">
        <v>0.5</v>
      </c>
      <c r="AH203">
        <v>50</v>
      </c>
      <c r="AI203">
        <f>1.63*69.8*10</f>
        <v>1137.7399999999998</v>
      </c>
      <c r="AJ203" s="1">
        <v>248</v>
      </c>
      <c r="AK203" t="s">
        <v>151</v>
      </c>
    </row>
    <row r="204" spans="1:37" x14ac:dyDescent="0.3">
      <c r="A204">
        <v>0</v>
      </c>
      <c r="B204">
        <v>0</v>
      </c>
      <c r="C204">
        <v>0</v>
      </c>
      <c r="D204">
        <v>0</v>
      </c>
      <c r="E204">
        <v>0.74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0.15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0</v>
      </c>
      <c r="AE204">
        <v>1</v>
      </c>
      <c r="AF204">
        <v>0</v>
      </c>
      <c r="AG204" s="1">
        <v>1</v>
      </c>
      <c r="AH204">
        <v>100</v>
      </c>
      <c r="AI204">
        <v>431</v>
      </c>
      <c r="AJ204" s="1">
        <v>251</v>
      </c>
      <c r="AK204" t="s">
        <v>154</v>
      </c>
    </row>
    <row r="205" spans="1:37" x14ac:dyDescent="0.3">
      <c r="A205">
        <v>0</v>
      </c>
      <c r="B205">
        <v>0</v>
      </c>
      <c r="C205">
        <v>0</v>
      </c>
      <c r="D205">
        <v>0</v>
      </c>
      <c r="E205">
        <v>0.66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0.15</v>
      </c>
      <c r="Y205">
        <v>0.08</v>
      </c>
      <c r="Z205">
        <v>0</v>
      </c>
      <c r="AA205">
        <v>0</v>
      </c>
      <c r="AB205">
        <v>0</v>
      </c>
      <c r="AC205">
        <v>0</v>
      </c>
      <c r="AD205" s="1">
        <v>0</v>
      </c>
      <c r="AE205">
        <v>1</v>
      </c>
      <c r="AF205">
        <v>0</v>
      </c>
      <c r="AG205" s="1">
        <v>1</v>
      </c>
      <c r="AH205">
        <v>100</v>
      </c>
      <c r="AI205">
        <v>906</v>
      </c>
      <c r="AJ205" s="1">
        <v>251</v>
      </c>
      <c r="AK205" t="s">
        <v>154</v>
      </c>
    </row>
    <row r="206" spans="1:37" x14ac:dyDescent="0.3">
      <c r="A206">
        <v>0</v>
      </c>
      <c r="B206">
        <v>0</v>
      </c>
      <c r="C206">
        <v>0</v>
      </c>
      <c r="D206">
        <v>0</v>
      </c>
      <c r="E206">
        <v>0.75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0.15</v>
      </c>
      <c r="Y206">
        <v>0.1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1</v>
      </c>
      <c r="AF206">
        <v>0</v>
      </c>
      <c r="AG206" s="1">
        <v>1</v>
      </c>
      <c r="AH206">
        <v>100</v>
      </c>
      <c r="AI206">
        <v>362</v>
      </c>
      <c r="AJ206" s="1">
        <v>251</v>
      </c>
      <c r="AK206" t="s">
        <v>154</v>
      </c>
    </row>
    <row r="207" spans="1:37" x14ac:dyDescent="0.3">
      <c r="A207">
        <v>0</v>
      </c>
      <c r="B207">
        <v>0.73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0.05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0.22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1</v>
      </c>
      <c r="AE207">
        <v>0</v>
      </c>
      <c r="AF207">
        <v>0</v>
      </c>
      <c r="AG207" s="1">
        <v>2</v>
      </c>
      <c r="AH207">
        <v>20</v>
      </c>
      <c r="AI207">
        <v>1224</v>
      </c>
      <c r="AJ207" s="1">
        <v>255</v>
      </c>
      <c r="AK207" t="s">
        <v>155</v>
      </c>
    </row>
    <row r="208" spans="1:37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0.74</v>
      </c>
      <c r="I208">
        <v>0</v>
      </c>
      <c r="J208">
        <v>0</v>
      </c>
      <c r="K208">
        <v>0</v>
      </c>
      <c r="L208">
        <v>0</v>
      </c>
      <c r="M208">
        <v>0.05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0.21</v>
      </c>
      <c r="Y208">
        <v>0</v>
      </c>
      <c r="Z208">
        <v>0</v>
      </c>
      <c r="AA208">
        <v>0</v>
      </c>
      <c r="AB208">
        <v>0</v>
      </c>
      <c r="AC208">
        <v>0</v>
      </c>
      <c r="AD208" s="1">
        <v>1</v>
      </c>
      <c r="AE208">
        <v>0</v>
      </c>
      <c r="AF208">
        <v>0</v>
      </c>
      <c r="AG208" s="1">
        <v>2</v>
      </c>
      <c r="AH208">
        <v>20</v>
      </c>
      <c r="AI208">
        <v>435</v>
      </c>
      <c r="AJ208" s="1">
        <v>255</v>
      </c>
      <c r="AK208" t="s">
        <v>155</v>
      </c>
    </row>
    <row r="209" spans="1:37" x14ac:dyDescent="0.3">
      <c r="A209">
        <v>0</v>
      </c>
      <c r="B209">
        <v>0.17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0.2</v>
      </c>
      <c r="Y209">
        <v>0</v>
      </c>
      <c r="Z209">
        <v>0</v>
      </c>
      <c r="AA209">
        <f>0.63</f>
        <v>0.63</v>
      </c>
      <c r="AB209">
        <v>0</v>
      </c>
      <c r="AC209">
        <v>0</v>
      </c>
      <c r="AD209" s="1">
        <v>0.5</v>
      </c>
      <c r="AE209">
        <v>0</v>
      </c>
      <c r="AF209">
        <v>0</v>
      </c>
      <c r="AG209" s="1">
        <v>1</v>
      </c>
      <c r="AH209">
        <v>20</v>
      </c>
      <c r="AI209">
        <f>83.1/0.2</f>
        <v>415.49999999999994</v>
      </c>
      <c r="AJ209" s="1">
        <v>261</v>
      </c>
      <c r="AK209" t="s">
        <v>165</v>
      </c>
    </row>
    <row r="210" spans="1:37" x14ac:dyDescent="0.3">
      <c r="A210">
        <v>0</v>
      </c>
      <c r="B210">
        <v>0.38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0.2</v>
      </c>
      <c r="Y210">
        <v>0</v>
      </c>
      <c r="Z210">
        <v>0</v>
      </c>
      <c r="AA210">
        <v>0.42</v>
      </c>
      <c r="AB210">
        <v>0</v>
      </c>
      <c r="AC210">
        <v>0</v>
      </c>
      <c r="AD210" s="1">
        <v>0.5</v>
      </c>
      <c r="AE210">
        <v>0</v>
      </c>
      <c r="AF210">
        <v>0</v>
      </c>
      <c r="AG210" s="1">
        <v>1</v>
      </c>
      <c r="AH210">
        <v>20</v>
      </c>
      <c r="AI210">
        <f>73/0.2</f>
        <v>365</v>
      </c>
      <c r="AJ210" s="1">
        <v>261</v>
      </c>
      <c r="AK210" t="s">
        <v>165</v>
      </c>
    </row>
    <row r="211" spans="1:37" x14ac:dyDescent="0.3">
      <c r="A211">
        <v>0</v>
      </c>
      <c r="B211">
        <v>0.2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0.2</v>
      </c>
      <c r="Y211">
        <v>0</v>
      </c>
      <c r="Z211">
        <v>0</v>
      </c>
      <c r="AA211">
        <v>0.6</v>
      </c>
      <c r="AB211">
        <v>0</v>
      </c>
      <c r="AC211">
        <v>0</v>
      </c>
      <c r="AD211" s="1">
        <v>0.5</v>
      </c>
      <c r="AE211">
        <v>0</v>
      </c>
      <c r="AF211">
        <v>0</v>
      </c>
      <c r="AG211" s="1">
        <v>1</v>
      </c>
      <c r="AH211">
        <v>20</v>
      </c>
      <c r="AI211">
        <f>57/0.2</f>
        <v>285</v>
      </c>
      <c r="AJ211" s="1">
        <v>261</v>
      </c>
      <c r="AK211" t="s">
        <v>165</v>
      </c>
    </row>
    <row r="212" spans="1:37" x14ac:dyDescent="0.3">
      <c r="A212">
        <v>0</v>
      </c>
      <c r="B212">
        <v>0.12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0.2</v>
      </c>
      <c r="Y212">
        <v>0</v>
      </c>
      <c r="Z212">
        <v>0</v>
      </c>
      <c r="AA212">
        <f>1-X212-B212</f>
        <v>0.68</v>
      </c>
      <c r="AB212">
        <v>0</v>
      </c>
      <c r="AC212">
        <v>0</v>
      </c>
      <c r="AD212" s="1">
        <v>0.5</v>
      </c>
      <c r="AE212">
        <v>0</v>
      </c>
      <c r="AF212">
        <v>0</v>
      </c>
      <c r="AG212" s="1">
        <v>1</v>
      </c>
      <c r="AH212">
        <v>5</v>
      </c>
      <c r="AI212">
        <f>42.3/0.2</f>
        <v>211.49999999999997</v>
      </c>
      <c r="AJ212" s="1">
        <v>265</v>
      </c>
      <c r="AK212" t="s">
        <v>166</v>
      </c>
    </row>
    <row r="213" spans="1:37" x14ac:dyDescent="0.3">
      <c r="A213">
        <v>0</v>
      </c>
      <c r="B213">
        <v>0.23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</v>
      </c>
      <c r="Y213">
        <v>0</v>
      </c>
      <c r="Z213">
        <v>0</v>
      </c>
      <c r="AA213">
        <f>1-B213-X213</f>
        <v>0.57000000000000006</v>
      </c>
      <c r="AB213">
        <v>0</v>
      </c>
      <c r="AC213">
        <v>0</v>
      </c>
      <c r="AD213" s="1">
        <v>0.5</v>
      </c>
      <c r="AE213">
        <v>0</v>
      </c>
      <c r="AF213">
        <v>0</v>
      </c>
      <c r="AG213" s="1">
        <v>1</v>
      </c>
      <c r="AH213">
        <v>5</v>
      </c>
      <c r="AI213">
        <f>45.2/0.2</f>
        <v>226</v>
      </c>
      <c r="AJ213" s="1">
        <v>265</v>
      </c>
      <c r="AK213" t="s">
        <v>166</v>
      </c>
    </row>
    <row r="214" spans="1:37" x14ac:dyDescent="0.3">
      <c r="A214">
        <v>0</v>
      </c>
      <c r="B214">
        <v>0.41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</v>
      </c>
      <c r="Y214">
        <v>0</v>
      </c>
      <c r="Z214">
        <v>0</v>
      </c>
      <c r="AA214">
        <f>1-B214-X214</f>
        <v>0.39000000000000007</v>
      </c>
      <c r="AB214">
        <v>0</v>
      </c>
      <c r="AC214">
        <v>0</v>
      </c>
      <c r="AD214" s="1">
        <v>0.5</v>
      </c>
      <c r="AE214">
        <v>0</v>
      </c>
      <c r="AF214">
        <v>0</v>
      </c>
      <c r="AG214" s="1">
        <v>1</v>
      </c>
      <c r="AH214">
        <v>5</v>
      </c>
      <c r="AI214">
        <f>47.8/0.2</f>
        <v>238.99999999999997</v>
      </c>
      <c r="AJ214" s="1">
        <v>265</v>
      </c>
      <c r="AK214" t="s">
        <v>166</v>
      </c>
    </row>
    <row r="215" spans="1:3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0.73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0.09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0.18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0.5</v>
      </c>
      <c r="AE215">
        <v>0</v>
      </c>
      <c r="AF215">
        <v>0</v>
      </c>
      <c r="AG215" s="1">
        <v>1</v>
      </c>
      <c r="AH215">
        <v>20</v>
      </c>
      <c r="AI215">
        <v>700</v>
      </c>
      <c r="AJ215" s="1">
        <v>268</v>
      </c>
      <c r="AK215" t="s">
        <v>171</v>
      </c>
    </row>
    <row r="216" spans="1:37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0.67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0.16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0.5</v>
      </c>
      <c r="AE216">
        <v>0</v>
      </c>
      <c r="AF216">
        <v>0</v>
      </c>
      <c r="AG216" s="1">
        <v>1</v>
      </c>
      <c r="AH216">
        <v>20</v>
      </c>
      <c r="AI216">
        <v>1093</v>
      </c>
      <c r="AJ216" s="1">
        <v>268</v>
      </c>
      <c r="AK216" t="s">
        <v>171</v>
      </c>
    </row>
    <row r="217" spans="1:3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0.62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0.15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0.5</v>
      </c>
      <c r="AE217">
        <v>0</v>
      </c>
      <c r="AF217">
        <v>0</v>
      </c>
      <c r="AG217" s="1">
        <v>1</v>
      </c>
      <c r="AH217">
        <v>20</v>
      </c>
      <c r="AI217">
        <v>550</v>
      </c>
      <c r="AJ217" s="1">
        <v>268</v>
      </c>
      <c r="AK217" t="s">
        <v>171</v>
      </c>
    </row>
    <row r="218" spans="1:37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</v>
      </c>
      <c r="I218">
        <v>0</v>
      </c>
      <c r="J218">
        <v>0</v>
      </c>
      <c r="K218">
        <v>0.05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0.25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0.5</v>
      </c>
      <c r="AE218">
        <v>0</v>
      </c>
      <c r="AF218">
        <v>0</v>
      </c>
      <c r="AG218" s="1">
        <v>0.1</v>
      </c>
      <c r="AH218">
        <v>10</v>
      </c>
      <c r="AI218">
        <f>14/0.6</f>
        <v>23.333333333333336</v>
      </c>
      <c r="AJ218" s="1">
        <v>269</v>
      </c>
      <c r="AK218" t="s">
        <v>172</v>
      </c>
    </row>
    <row r="219" spans="1:37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</v>
      </c>
      <c r="I219">
        <v>0</v>
      </c>
      <c r="J219">
        <v>0</v>
      </c>
      <c r="K219">
        <v>0.05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0.5</v>
      </c>
      <c r="AE219">
        <v>0</v>
      </c>
      <c r="AF219">
        <v>0</v>
      </c>
      <c r="AG219" s="1">
        <v>0.2</v>
      </c>
      <c r="AH219">
        <v>10</v>
      </c>
      <c r="AI219">
        <f>27/0.6</f>
        <v>45</v>
      </c>
      <c r="AJ219" s="1">
        <v>269</v>
      </c>
      <c r="AK219" t="s">
        <v>172</v>
      </c>
    </row>
    <row r="220" spans="1:37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0.7</v>
      </c>
      <c r="I220">
        <v>0</v>
      </c>
      <c r="J220">
        <v>0</v>
      </c>
      <c r="K220">
        <v>0.05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0.25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0.5</v>
      </c>
      <c r="AE220">
        <v>0</v>
      </c>
      <c r="AF220">
        <v>0</v>
      </c>
      <c r="AG220" s="1">
        <v>0.3</v>
      </c>
      <c r="AH220">
        <v>10</v>
      </c>
      <c r="AI220">
        <f>41/0.6</f>
        <v>68.333333333333343</v>
      </c>
      <c r="AJ220" s="1">
        <v>269</v>
      </c>
      <c r="AK220" t="s">
        <v>172</v>
      </c>
    </row>
    <row r="221" spans="1:37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0.7</v>
      </c>
      <c r="I221">
        <v>0</v>
      </c>
      <c r="J221">
        <v>0</v>
      </c>
      <c r="K221">
        <v>0.05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0.25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0.5</v>
      </c>
      <c r="AE221">
        <v>0</v>
      </c>
      <c r="AF221">
        <v>0</v>
      </c>
      <c r="AG221" s="1">
        <v>0.4</v>
      </c>
      <c r="AH221">
        <v>10</v>
      </c>
      <c r="AI221">
        <f>52.3/0.6</f>
        <v>87.166666666666671</v>
      </c>
      <c r="AJ221" s="1">
        <v>269</v>
      </c>
      <c r="AK221" t="s">
        <v>172</v>
      </c>
    </row>
    <row r="222" spans="1:37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0.7</v>
      </c>
      <c r="I222">
        <v>0</v>
      </c>
      <c r="J222">
        <v>0</v>
      </c>
      <c r="K222">
        <v>0.05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0.25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0.5</v>
      </c>
      <c r="AE222">
        <v>0</v>
      </c>
      <c r="AF222">
        <v>0</v>
      </c>
      <c r="AG222" s="1">
        <v>0.5</v>
      </c>
      <c r="AH222">
        <v>10</v>
      </c>
      <c r="AI222">
        <f>61.2/0.6</f>
        <v>102.00000000000001</v>
      </c>
      <c r="AJ222" s="1">
        <v>269</v>
      </c>
      <c r="AK222" t="s">
        <v>172</v>
      </c>
    </row>
    <row r="223" spans="1:37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0.7</v>
      </c>
      <c r="I223">
        <v>0</v>
      </c>
      <c r="J223">
        <v>0</v>
      </c>
      <c r="K223">
        <v>0.05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0.25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0.5</v>
      </c>
      <c r="AE223">
        <v>0</v>
      </c>
      <c r="AF223">
        <v>0</v>
      </c>
      <c r="AG223" s="1">
        <v>0.6</v>
      </c>
      <c r="AH223">
        <v>10</v>
      </c>
      <c r="AI223">
        <f>68.3/0.6</f>
        <v>113.83333333333333</v>
      </c>
      <c r="AJ223" s="1">
        <v>269</v>
      </c>
      <c r="AK223" t="s">
        <v>172</v>
      </c>
    </row>
    <row r="224" spans="1:37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</v>
      </c>
      <c r="I224">
        <v>0</v>
      </c>
      <c r="J224">
        <v>0</v>
      </c>
      <c r="K224">
        <v>0.05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0.25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0.5</v>
      </c>
      <c r="AE224">
        <v>0</v>
      </c>
      <c r="AF224">
        <v>0</v>
      </c>
      <c r="AG224" s="1">
        <v>0.6</v>
      </c>
      <c r="AH224">
        <v>100</v>
      </c>
      <c r="AI224">
        <f>84/0.6</f>
        <v>140</v>
      </c>
      <c r="AJ224" s="1">
        <v>269</v>
      </c>
      <c r="AK224" t="s">
        <v>172</v>
      </c>
    </row>
    <row r="225" spans="1:37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0.7</v>
      </c>
      <c r="I225">
        <v>0</v>
      </c>
      <c r="J225">
        <v>0</v>
      </c>
      <c r="K225">
        <v>0.05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0.25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0.5</v>
      </c>
      <c r="AE225">
        <v>0</v>
      </c>
      <c r="AF225">
        <v>0</v>
      </c>
      <c r="AG225" s="1">
        <v>0.6</v>
      </c>
      <c r="AH225">
        <v>80</v>
      </c>
      <c r="AI225">
        <f>81/0.6</f>
        <v>135</v>
      </c>
      <c r="AJ225" s="1">
        <v>269</v>
      </c>
      <c r="AK225" t="s">
        <v>172</v>
      </c>
    </row>
    <row r="226" spans="1:37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0.7</v>
      </c>
      <c r="I226">
        <v>0</v>
      </c>
      <c r="J226">
        <v>0</v>
      </c>
      <c r="K226">
        <v>0.05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0.25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0.5</v>
      </c>
      <c r="AE226">
        <v>0</v>
      </c>
      <c r="AF226">
        <v>0</v>
      </c>
      <c r="AG226" s="1">
        <v>0.6</v>
      </c>
      <c r="AH226">
        <v>60</v>
      </c>
      <c r="AI226">
        <f>79/0.6</f>
        <v>131.66666666666669</v>
      </c>
      <c r="AJ226" s="1">
        <v>269</v>
      </c>
      <c r="AK226" t="s">
        <v>172</v>
      </c>
    </row>
    <row r="227" spans="1:37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0.7</v>
      </c>
      <c r="I227">
        <v>0</v>
      </c>
      <c r="J227">
        <v>0</v>
      </c>
      <c r="K227">
        <v>0.05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0.25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0.5</v>
      </c>
      <c r="AE227">
        <v>0</v>
      </c>
      <c r="AF227">
        <v>0</v>
      </c>
      <c r="AG227" s="1">
        <v>0.6</v>
      </c>
      <c r="AH227">
        <v>40</v>
      </c>
      <c r="AI227">
        <f>74/0.6</f>
        <v>123.33333333333334</v>
      </c>
      <c r="AJ227" s="1">
        <v>269</v>
      </c>
      <c r="AK227" t="s">
        <v>172</v>
      </c>
    </row>
    <row r="228" spans="1:37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0.7</v>
      </c>
      <c r="I228">
        <v>0</v>
      </c>
      <c r="J228">
        <v>0</v>
      </c>
      <c r="K228">
        <v>0.05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0.25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0.5</v>
      </c>
      <c r="AE228">
        <v>0</v>
      </c>
      <c r="AF228">
        <v>0</v>
      </c>
      <c r="AG228" s="1">
        <v>0.6</v>
      </c>
      <c r="AH228">
        <v>20</v>
      </c>
      <c r="AI228">
        <f>70/0.6</f>
        <v>116.66666666666667</v>
      </c>
      <c r="AJ228" s="1">
        <v>269</v>
      </c>
      <c r="AK228" t="s">
        <v>172</v>
      </c>
    </row>
    <row r="229" spans="1:37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</v>
      </c>
      <c r="I229">
        <v>0</v>
      </c>
      <c r="J229">
        <v>0</v>
      </c>
      <c r="K229">
        <v>0.05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0.25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0.5</v>
      </c>
      <c r="AE229">
        <v>0</v>
      </c>
      <c r="AF229">
        <v>0</v>
      </c>
      <c r="AG229" s="1">
        <v>0.6</v>
      </c>
      <c r="AH229">
        <v>5</v>
      </c>
      <c r="AI229">
        <f>64/0.5</f>
        <v>128</v>
      </c>
      <c r="AJ229" s="1">
        <v>269</v>
      </c>
      <c r="AK229" t="s">
        <v>172</v>
      </c>
    </row>
    <row r="230" spans="1:37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</v>
      </c>
      <c r="I230">
        <v>0</v>
      </c>
      <c r="J230">
        <v>0</v>
      </c>
      <c r="K230">
        <v>0.05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0.25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0.5</v>
      </c>
      <c r="AE230">
        <v>0</v>
      </c>
      <c r="AF230">
        <v>0</v>
      </c>
      <c r="AG230" s="1">
        <v>0.6</v>
      </c>
      <c r="AH230">
        <v>2.5</v>
      </c>
      <c r="AI230">
        <f>60/0.6</f>
        <v>100</v>
      </c>
      <c r="AJ230" s="1">
        <v>269</v>
      </c>
      <c r="AK230" t="s">
        <v>172</v>
      </c>
    </row>
    <row r="231" spans="1:37" x14ac:dyDescent="0.3">
      <c r="A231">
        <v>0</v>
      </c>
      <c r="B231">
        <v>0</v>
      </c>
      <c r="C231">
        <v>0</v>
      </c>
      <c r="D231">
        <v>0</v>
      </c>
      <c r="E231">
        <v>0.6399999999999999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>0.8*0.2</f>
        <v>0.16000000000000003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0.5</v>
      </c>
      <c r="AE231">
        <v>0</v>
      </c>
      <c r="AF231">
        <v>0</v>
      </c>
      <c r="AG231" s="1">
        <v>1</v>
      </c>
      <c r="AH231">
        <v>50</v>
      </c>
      <c r="AI231">
        <v>610</v>
      </c>
      <c r="AJ231" s="1">
        <v>270</v>
      </c>
      <c r="AK231" t="s">
        <v>175</v>
      </c>
    </row>
    <row r="232" spans="1:37" x14ac:dyDescent="0.3">
      <c r="A232">
        <v>0</v>
      </c>
      <c r="B232">
        <v>0</v>
      </c>
      <c r="C232">
        <v>0</v>
      </c>
      <c r="D232">
        <v>0</v>
      </c>
      <c r="E232">
        <v>0.60000000000000009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>0.8*0.25</f>
        <v>0.2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0.5</v>
      </c>
      <c r="AE232">
        <v>0</v>
      </c>
      <c r="AF232">
        <v>0</v>
      </c>
      <c r="AG232" s="1">
        <v>1</v>
      </c>
      <c r="AH232">
        <v>50</v>
      </c>
      <c r="AI232">
        <v>780</v>
      </c>
      <c r="AJ232" s="1">
        <v>270</v>
      </c>
      <c r="AK232" t="s">
        <v>175</v>
      </c>
    </row>
    <row r="233" spans="1:37" x14ac:dyDescent="0.3">
      <c r="A233">
        <v>0</v>
      </c>
      <c r="B233">
        <v>0</v>
      </c>
      <c r="C233">
        <v>0</v>
      </c>
      <c r="D233">
        <v>0</v>
      </c>
      <c r="E233">
        <v>0.56000000000000005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>0.8*0.3</f>
        <v>0.24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0.5</v>
      </c>
      <c r="AE233">
        <v>0</v>
      </c>
      <c r="AF233">
        <v>0</v>
      </c>
      <c r="AG233" s="1">
        <v>1</v>
      </c>
      <c r="AH233">
        <v>50</v>
      </c>
      <c r="AI233">
        <v>970</v>
      </c>
      <c r="AJ233" s="1">
        <v>270</v>
      </c>
      <c r="AK233" t="s">
        <v>175</v>
      </c>
    </row>
    <row r="234" spans="1:37" x14ac:dyDescent="0.3">
      <c r="A234">
        <v>0</v>
      </c>
      <c r="B234">
        <v>0</v>
      </c>
      <c r="C234">
        <v>0</v>
      </c>
      <c r="D234">
        <v>0</v>
      </c>
      <c r="E234">
        <v>0.47999999999999993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>0.8*0.4</f>
        <v>0.32000000000000006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0.5</v>
      </c>
      <c r="AE234">
        <v>0</v>
      </c>
      <c r="AF234">
        <v>0</v>
      </c>
      <c r="AG234" s="1">
        <v>1</v>
      </c>
      <c r="AH234">
        <v>50</v>
      </c>
      <c r="AI234">
        <v>803</v>
      </c>
      <c r="AJ234" s="1">
        <v>270</v>
      </c>
      <c r="AK234" t="s">
        <v>175</v>
      </c>
    </row>
    <row r="235" spans="1:37" x14ac:dyDescent="0.3">
      <c r="A235">
        <v>0</v>
      </c>
      <c r="B235">
        <v>0</v>
      </c>
      <c r="C235">
        <v>0</v>
      </c>
      <c r="D235">
        <v>0</v>
      </c>
      <c r="E235">
        <v>0.39999999999999997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>0.8*0.5</f>
        <v>0.4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0.5</v>
      </c>
      <c r="AE235">
        <v>0</v>
      </c>
      <c r="AF235">
        <v>0</v>
      </c>
      <c r="AG235" s="1">
        <v>1</v>
      </c>
      <c r="AH235">
        <v>50</v>
      </c>
      <c r="AI235">
        <v>625</v>
      </c>
      <c r="AJ235" s="1">
        <v>270</v>
      </c>
      <c r="AK235" t="s">
        <v>175</v>
      </c>
    </row>
    <row r="236" spans="1:37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>1-P236-X236</f>
        <v>0.48999999999999994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0.33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0.18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0.5</v>
      </c>
      <c r="AE236">
        <v>0</v>
      </c>
      <c r="AF236">
        <v>0</v>
      </c>
      <c r="AG236" s="1">
        <v>1</v>
      </c>
      <c r="AH236">
        <v>25</v>
      </c>
      <c r="AI236">
        <v>300</v>
      </c>
      <c r="AJ236" s="1">
        <v>272</v>
      </c>
      <c r="AK236" t="s">
        <v>177</v>
      </c>
    </row>
    <row r="237" spans="1:37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ref="G237:G238" si="4">1-P237-X237</f>
        <v>0.49999999999999989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0.34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0.16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0.5</v>
      </c>
      <c r="AE237">
        <v>0</v>
      </c>
      <c r="AF237">
        <v>0</v>
      </c>
      <c r="AG237" s="1">
        <v>1</v>
      </c>
      <c r="AH237">
        <v>25</v>
      </c>
      <c r="AI237">
        <v>410</v>
      </c>
      <c r="AJ237" s="1">
        <v>272</v>
      </c>
      <c r="AK237" t="s">
        <v>177</v>
      </c>
    </row>
    <row r="238" spans="1:37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4"/>
        <v>0.59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0.27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0.14000000000000001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0.5</v>
      </c>
      <c r="AE238">
        <v>0</v>
      </c>
      <c r="AF238">
        <v>0</v>
      </c>
      <c r="AG238" s="1">
        <v>1</v>
      </c>
      <c r="AH238">
        <v>25</v>
      </c>
      <c r="AI238">
        <v>282</v>
      </c>
      <c r="AJ238" s="1">
        <v>272</v>
      </c>
      <c r="AK238" t="s">
        <v>177</v>
      </c>
    </row>
    <row r="239" spans="1:37" s="1" customFormat="1" x14ac:dyDescent="0.3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0.8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0.15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0.05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0</v>
      </c>
      <c r="AF239" s="1">
        <v>0</v>
      </c>
      <c r="AG239" s="1">
        <v>1</v>
      </c>
      <c r="AH239" s="1">
        <v>50</v>
      </c>
      <c r="AI239" s="1">
        <v>180</v>
      </c>
      <c r="AJ239" s="1" t="s">
        <v>180</v>
      </c>
      <c r="AK239" s="1" t="s">
        <v>179</v>
      </c>
    </row>
    <row r="240" spans="1:37" s="1" customFormat="1" x14ac:dyDescent="0.3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0.8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0.15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0.05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1</v>
      </c>
      <c r="AH240" s="1">
        <v>50</v>
      </c>
      <c r="AI240" s="1">
        <v>269</v>
      </c>
      <c r="AJ240" s="1" t="s">
        <v>180</v>
      </c>
      <c r="AK240" s="1" t="s">
        <v>179</v>
      </c>
    </row>
    <row r="241" spans="1:38" x14ac:dyDescent="0.3">
      <c r="A241">
        <v>0</v>
      </c>
      <c r="B241">
        <f>0.25*0.6</f>
        <v>0.15</v>
      </c>
      <c r="C241">
        <v>0</v>
      </c>
      <c r="D241">
        <v>0</v>
      </c>
      <c r="E241">
        <f>0.6*0.75</f>
        <v>0.44999999999999996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0.26</v>
      </c>
      <c r="Y241">
        <v>0.14000000000000001</v>
      </c>
      <c r="Z241">
        <v>0</v>
      </c>
      <c r="AA241">
        <v>0</v>
      </c>
      <c r="AB241">
        <v>0</v>
      </c>
      <c r="AC241">
        <v>0</v>
      </c>
      <c r="AD241" s="1">
        <v>1</v>
      </c>
      <c r="AE241">
        <v>0</v>
      </c>
      <c r="AF241">
        <v>0</v>
      </c>
      <c r="AG241" s="1">
        <v>1</v>
      </c>
      <c r="AH241">
        <v>50</v>
      </c>
      <c r="AI241">
        <f>0.3/0.012</f>
        <v>25</v>
      </c>
      <c r="AJ241" s="1">
        <v>212</v>
      </c>
      <c r="AK241" t="s">
        <v>181</v>
      </c>
    </row>
    <row r="242" spans="1:38" x14ac:dyDescent="0.3">
      <c r="A242">
        <v>0</v>
      </c>
      <c r="B242">
        <f>0.5*0.6</f>
        <v>0.3</v>
      </c>
      <c r="C242">
        <v>0</v>
      </c>
      <c r="D242">
        <v>0</v>
      </c>
      <c r="E242">
        <f>0.6*0.5</f>
        <v>0.3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0.26</v>
      </c>
      <c r="Y242">
        <v>0.14000000000000001</v>
      </c>
      <c r="Z242">
        <v>0</v>
      </c>
      <c r="AA242">
        <v>0</v>
      </c>
      <c r="AB242">
        <v>0</v>
      </c>
      <c r="AC242">
        <v>0</v>
      </c>
      <c r="AD242" s="1">
        <v>1</v>
      </c>
      <c r="AE242">
        <v>0</v>
      </c>
      <c r="AF242">
        <v>0</v>
      </c>
      <c r="AG242" s="1">
        <v>1</v>
      </c>
      <c r="AH242">
        <v>50</v>
      </c>
      <c r="AI242">
        <f>0.5/0.012</f>
        <v>41.666666666666664</v>
      </c>
      <c r="AJ242" s="1">
        <v>212</v>
      </c>
      <c r="AK242" t="s">
        <v>181</v>
      </c>
    </row>
    <row r="243" spans="1:38" x14ac:dyDescent="0.3">
      <c r="A243">
        <v>0</v>
      </c>
      <c r="B243">
        <f>0.75*0.6</f>
        <v>0.44999999999999996</v>
      </c>
      <c r="C243">
        <v>0</v>
      </c>
      <c r="D243">
        <v>0</v>
      </c>
      <c r="E243">
        <f>0.6*0.25</f>
        <v>0.15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0.26</v>
      </c>
      <c r="Y243">
        <v>0.14000000000000001</v>
      </c>
      <c r="Z243">
        <v>0</v>
      </c>
      <c r="AA243">
        <v>0</v>
      </c>
      <c r="AB243">
        <v>0</v>
      </c>
      <c r="AC243">
        <v>0</v>
      </c>
      <c r="AD243" s="1">
        <v>1</v>
      </c>
      <c r="AE243">
        <v>0</v>
      </c>
      <c r="AF243">
        <v>0</v>
      </c>
      <c r="AG243" s="1">
        <v>1</v>
      </c>
      <c r="AH243">
        <v>50</v>
      </c>
      <c r="AI243">
        <f>0.18/0.012</f>
        <v>15</v>
      </c>
      <c r="AJ243" s="1">
        <v>212</v>
      </c>
      <c r="AK243" t="s">
        <v>181</v>
      </c>
    </row>
    <row r="244" spans="1:38" x14ac:dyDescent="0.3">
      <c r="A244">
        <v>0</v>
      </c>
      <c r="B244">
        <f>1-N244-X244</f>
        <v>0.70000000000000007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0.21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0.5</v>
      </c>
      <c r="AE244">
        <v>0</v>
      </c>
      <c r="AF244">
        <v>0</v>
      </c>
      <c r="AG244" s="1">
        <v>0.5</v>
      </c>
      <c r="AH244">
        <v>50</v>
      </c>
      <c r="AI244">
        <v>372</v>
      </c>
      <c r="AJ244" t="s">
        <v>182</v>
      </c>
      <c r="AK244" t="s">
        <v>183</v>
      </c>
      <c r="AL244" t="s">
        <v>184</v>
      </c>
    </row>
    <row r="245" spans="1:38" x14ac:dyDescent="0.3">
      <c r="A245">
        <v>0</v>
      </c>
      <c r="B245">
        <f t="shared" ref="B245:B246" si="5">1-N245-X245</f>
        <v>0.62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0.17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0.21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0.5</v>
      </c>
      <c r="AE245">
        <v>0</v>
      </c>
      <c r="AF245">
        <v>0</v>
      </c>
      <c r="AG245" s="1">
        <v>0.5</v>
      </c>
      <c r="AH245">
        <v>50</v>
      </c>
      <c r="AI245">
        <v>610</v>
      </c>
      <c r="AJ245" t="s">
        <v>182</v>
      </c>
      <c r="AK245" t="s">
        <v>183</v>
      </c>
      <c r="AL245" t="s">
        <v>184</v>
      </c>
    </row>
    <row r="246" spans="1:38" x14ac:dyDescent="0.3">
      <c r="A246">
        <v>0</v>
      </c>
      <c r="B246">
        <f t="shared" si="5"/>
        <v>0.51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0.27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0.22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0.5</v>
      </c>
      <c r="AE246">
        <v>0</v>
      </c>
      <c r="AF246">
        <v>0</v>
      </c>
      <c r="AG246" s="1">
        <v>0.5</v>
      </c>
      <c r="AH246">
        <v>50</v>
      </c>
      <c r="AI246">
        <v>280</v>
      </c>
      <c r="AJ246" t="s">
        <v>182</v>
      </c>
      <c r="AK246" t="s">
        <v>183</v>
      </c>
      <c r="AL246" t="s">
        <v>184</v>
      </c>
    </row>
    <row r="247" spans="1:38" x14ac:dyDescent="0.3">
      <c r="A247">
        <v>0</v>
      </c>
      <c r="B247">
        <v>0.56000000000000005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0.04</v>
      </c>
      <c r="W247">
        <v>0</v>
      </c>
      <c r="X247">
        <v>0.4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0</v>
      </c>
      <c r="AE247">
        <v>0.1</v>
      </c>
      <c r="AF247">
        <v>0</v>
      </c>
      <c r="AG247" s="1">
        <v>1</v>
      </c>
      <c r="AH247">
        <v>50</v>
      </c>
      <c r="AI247">
        <v>210</v>
      </c>
      <c r="AJ247" t="s">
        <v>187</v>
      </c>
      <c r="AK247" t="s">
        <v>188</v>
      </c>
      <c r="AL247" t="s">
        <v>184</v>
      </c>
    </row>
    <row r="248" spans="1:38" x14ac:dyDescent="0.3">
      <c r="A248">
        <v>0</v>
      </c>
      <c r="B248">
        <f>B247*0.75</f>
        <v>0.42000000000000004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0.14000000000000001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0.04</v>
      </c>
      <c r="W248">
        <v>0</v>
      </c>
      <c r="X248">
        <v>0.4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0</v>
      </c>
      <c r="AE248">
        <v>0.1</v>
      </c>
      <c r="AF248">
        <v>0</v>
      </c>
      <c r="AG248" s="1">
        <v>1</v>
      </c>
      <c r="AH248">
        <v>50</v>
      </c>
      <c r="AI248">
        <v>360</v>
      </c>
      <c r="AJ248" t="s">
        <v>187</v>
      </c>
      <c r="AK248" t="s">
        <v>188</v>
      </c>
      <c r="AL248" t="s">
        <v>184</v>
      </c>
    </row>
    <row r="249" spans="1:38" x14ac:dyDescent="0.3">
      <c r="A249">
        <v>0</v>
      </c>
      <c r="B249">
        <v>7.0000000000000007E-2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0.17</v>
      </c>
      <c r="Y249">
        <v>0</v>
      </c>
      <c r="Z249">
        <v>0</v>
      </c>
      <c r="AA249">
        <v>0.76</v>
      </c>
      <c r="AB249">
        <v>0</v>
      </c>
      <c r="AC249">
        <v>0</v>
      </c>
      <c r="AD249" s="1">
        <v>0.5</v>
      </c>
      <c r="AE249">
        <v>0</v>
      </c>
      <c r="AF249">
        <v>0</v>
      </c>
      <c r="AG249" s="1">
        <v>1</v>
      </c>
      <c r="AH249">
        <v>50</v>
      </c>
      <c r="AI249">
        <v>324</v>
      </c>
      <c r="AJ249" t="s">
        <v>190</v>
      </c>
      <c r="AK249" t="s">
        <v>191</v>
      </c>
      <c r="AL249" t="s">
        <v>184</v>
      </c>
    </row>
    <row r="250" spans="1:38" x14ac:dyDescent="0.3">
      <c r="A250">
        <v>0</v>
      </c>
      <c r="B250">
        <f>1-J250-X250</f>
        <v>0.86399999999999999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>0.04*0.9</f>
        <v>3.6000000000000004E-2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0.1</v>
      </c>
      <c r="Y250">
        <v>0</v>
      </c>
      <c r="Z250">
        <v>0</v>
      </c>
      <c r="AA250">
        <v>0</v>
      </c>
      <c r="AB250">
        <v>0</v>
      </c>
      <c r="AC250">
        <v>0</v>
      </c>
      <c r="AD250" s="1">
        <v>0.5</v>
      </c>
      <c r="AE250">
        <v>0</v>
      </c>
      <c r="AF250">
        <v>0</v>
      </c>
      <c r="AG250" s="1">
        <v>0.5</v>
      </c>
      <c r="AH250">
        <v>20</v>
      </c>
      <c r="AI250">
        <v>47</v>
      </c>
      <c r="AJ250" t="s">
        <v>192</v>
      </c>
      <c r="AK250" s="6" t="s">
        <v>193</v>
      </c>
      <c r="AL250" t="s">
        <v>184</v>
      </c>
    </row>
    <row r="251" spans="1:38" x14ac:dyDescent="0.3">
      <c r="A251">
        <v>0</v>
      </c>
      <c r="B251">
        <f t="shared" ref="B251" si="6">1-X251-J251</f>
        <v>0.85680000000000001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>0.048*0.9</f>
        <v>4.3200000000000002E-2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0.1</v>
      </c>
      <c r="Y251">
        <v>0</v>
      </c>
      <c r="Z251">
        <v>0</v>
      </c>
      <c r="AA251">
        <v>0</v>
      </c>
      <c r="AB251">
        <v>0</v>
      </c>
      <c r="AC251">
        <v>0</v>
      </c>
      <c r="AD251" s="1">
        <v>0.5</v>
      </c>
      <c r="AE251">
        <v>0</v>
      </c>
      <c r="AF251">
        <v>0</v>
      </c>
      <c r="AG251" s="1">
        <v>0.5</v>
      </c>
      <c r="AH251">
        <v>20</v>
      </c>
      <c r="AI251">
        <v>161</v>
      </c>
      <c r="AJ251" t="s">
        <v>192</v>
      </c>
      <c r="AK251" t="s">
        <v>193</v>
      </c>
      <c r="AL251" t="s">
        <v>184</v>
      </c>
    </row>
    <row r="252" spans="1:38" x14ac:dyDescent="0.3">
      <c r="A252">
        <v>0</v>
      </c>
      <c r="B252">
        <v>0.84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0.06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0.1</v>
      </c>
      <c r="Y252">
        <v>0</v>
      </c>
      <c r="Z252">
        <v>0</v>
      </c>
      <c r="AA252">
        <v>0</v>
      </c>
      <c r="AB252">
        <v>0</v>
      </c>
      <c r="AC252">
        <v>0</v>
      </c>
      <c r="AD252" s="1">
        <v>0.5</v>
      </c>
      <c r="AE252">
        <v>0</v>
      </c>
      <c r="AF252">
        <v>0</v>
      </c>
      <c r="AG252" s="1">
        <v>0.5</v>
      </c>
      <c r="AH252">
        <v>20</v>
      </c>
      <c r="AI252">
        <v>119</v>
      </c>
      <c r="AJ252" t="s">
        <v>192</v>
      </c>
      <c r="AK252" s="6" t="s">
        <v>193</v>
      </c>
      <c r="AL252" t="s">
        <v>184</v>
      </c>
    </row>
    <row r="253" spans="1:3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0.83</v>
      </c>
      <c r="I253">
        <v>0</v>
      </c>
      <c r="J253">
        <v>7.0000000000000007E-2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0.1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0.5</v>
      </c>
      <c r="AE253">
        <v>0</v>
      </c>
      <c r="AF253">
        <v>0</v>
      </c>
      <c r="AG253" s="1">
        <v>0.5</v>
      </c>
      <c r="AH253">
        <v>20</v>
      </c>
      <c r="AI253">
        <v>87</v>
      </c>
      <c r="AJ253" t="s">
        <v>192</v>
      </c>
      <c r="AK253" t="s">
        <v>193</v>
      </c>
      <c r="AL253" t="s">
        <v>184</v>
      </c>
    </row>
    <row r="254" spans="1:3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0.78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0.15</v>
      </c>
      <c r="Y254">
        <v>7.0000000000000007E-2</v>
      </c>
      <c r="Z254">
        <v>0</v>
      </c>
      <c r="AA254">
        <v>0</v>
      </c>
      <c r="AB254">
        <v>0</v>
      </c>
      <c r="AC254">
        <v>0</v>
      </c>
      <c r="AD254" s="1">
        <v>0.5</v>
      </c>
      <c r="AE254">
        <v>0</v>
      </c>
      <c r="AF254">
        <v>0</v>
      </c>
      <c r="AG254" s="1">
        <v>1</v>
      </c>
      <c r="AH254">
        <v>50</v>
      </c>
      <c r="AI254">
        <f>27.5/0.15*0.22</f>
        <v>40.333333333333336</v>
      </c>
      <c r="AJ254" t="s">
        <v>194</v>
      </c>
      <c r="AK254" s="6" t="s">
        <v>333</v>
      </c>
      <c r="AL254" t="s">
        <v>184</v>
      </c>
    </row>
    <row r="255" spans="1:38" x14ac:dyDescent="0.3">
      <c r="A255">
        <v>0</v>
      </c>
      <c r="B255">
        <v>0</v>
      </c>
      <c r="C255">
        <v>0</v>
      </c>
      <c r="D255">
        <v>0</v>
      </c>
      <c r="E255">
        <v>0.78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0.16</v>
      </c>
      <c r="Y255">
        <v>0.06</v>
      </c>
      <c r="Z255">
        <v>0</v>
      </c>
      <c r="AA255">
        <v>0</v>
      </c>
      <c r="AB255">
        <v>0</v>
      </c>
      <c r="AC255">
        <v>0</v>
      </c>
      <c r="AD255" s="1">
        <v>0.5</v>
      </c>
      <c r="AE255">
        <v>0</v>
      </c>
      <c r="AF255">
        <v>0</v>
      </c>
      <c r="AG255" s="1">
        <v>1</v>
      </c>
      <c r="AH255">
        <v>50</v>
      </c>
      <c r="AI255">
        <f>44.1*0.22/0.16</f>
        <v>60.637499999999996</v>
      </c>
      <c r="AJ255" t="s">
        <v>194</v>
      </c>
      <c r="AK255" t="s">
        <v>333</v>
      </c>
      <c r="AL255" t="s">
        <v>184</v>
      </c>
    </row>
    <row r="256" spans="1:38" x14ac:dyDescent="0.3">
      <c r="A256">
        <v>0</v>
      </c>
      <c r="B256">
        <v>0</v>
      </c>
      <c r="C256">
        <v>0</v>
      </c>
      <c r="D256">
        <v>0</v>
      </c>
      <c r="E256">
        <v>0.76</v>
      </c>
      <c r="F256">
        <v>0</v>
      </c>
      <c r="G256">
        <v>0</v>
      </c>
      <c r="H256">
        <v>0</v>
      </c>
      <c r="I256">
        <v>0.05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0.14000000000000001</v>
      </c>
      <c r="Y256">
        <v>0.05</v>
      </c>
      <c r="Z256">
        <v>0</v>
      </c>
      <c r="AA256">
        <v>0</v>
      </c>
      <c r="AB256">
        <v>0</v>
      </c>
      <c r="AC256">
        <v>0</v>
      </c>
      <c r="AD256" s="1">
        <v>0.5</v>
      </c>
      <c r="AE256">
        <v>0</v>
      </c>
      <c r="AF256">
        <v>0</v>
      </c>
      <c r="AG256" s="1">
        <v>1</v>
      </c>
      <c r="AH256">
        <v>50</v>
      </c>
      <c r="AI256">
        <f>82.7/0.14*0.19</f>
        <v>112.23571428571428</v>
      </c>
      <c r="AJ256" t="s">
        <v>194</v>
      </c>
      <c r="AK256" t="s">
        <v>333</v>
      </c>
      <c r="AL256" t="s">
        <v>184</v>
      </c>
    </row>
    <row r="257" spans="1:3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0.83</v>
      </c>
      <c r="H257">
        <v>0</v>
      </c>
      <c r="I257">
        <v>0.04</v>
      </c>
      <c r="J257">
        <v>0.01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0.12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0.5</v>
      </c>
      <c r="AE257">
        <v>0</v>
      </c>
      <c r="AF257">
        <v>0</v>
      </c>
      <c r="AG257" s="1">
        <v>1</v>
      </c>
      <c r="AH257">
        <v>50</v>
      </c>
      <c r="AI257">
        <v>505</v>
      </c>
      <c r="AJ257" t="s">
        <v>195</v>
      </c>
      <c r="AK257" t="s">
        <v>200</v>
      </c>
      <c r="AL257" t="s">
        <v>184</v>
      </c>
    </row>
    <row r="258" spans="1:38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0.81</v>
      </c>
      <c r="H258">
        <v>0</v>
      </c>
      <c r="I258">
        <v>0.04</v>
      </c>
      <c r="J258">
        <v>0.01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0.14000000000000001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0.5</v>
      </c>
      <c r="AE258">
        <v>0</v>
      </c>
      <c r="AF258">
        <v>0</v>
      </c>
      <c r="AG258" s="1">
        <v>1</v>
      </c>
      <c r="AH258">
        <v>50</v>
      </c>
      <c r="AI258">
        <v>469</v>
      </c>
      <c r="AJ258" t="s">
        <v>195</v>
      </c>
      <c r="AK258" t="s">
        <v>201</v>
      </c>
      <c r="AL258" t="s">
        <v>184</v>
      </c>
    </row>
    <row r="259" spans="1:38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0.67</v>
      </c>
      <c r="I259">
        <v>0</v>
      </c>
      <c r="J259">
        <v>0</v>
      </c>
      <c r="K259">
        <f>0.01</f>
        <v>0.01</v>
      </c>
      <c r="L259">
        <f>1-H259-K259-X259</f>
        <v>0.20999999999999996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0.11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0.5</v>
      </c>
      <c r="AE259">
        <v>0</v>
      </c>
      <c r="AF259">
        <v>0</v>
      </c>
      <c r="AG259" s="1">
        <v>1</v>
      </c>
      <c r="AH259">
        <v>50</v>
      </c>
      <c r="AI259">
        <v>425</v>
      </c>
      <c r="AJ259" t="s">
        <v>207</v>
      </c>
      <c r="AK259" t="s">
        <v>208</v>
      </c>
      <c r="AL259" t="s">
        <v>184</v>
      </c>
    </row>
    <row r="260" spans="1:3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0.67</v>
      </c>
      <c r="I260">
        <v>0</v>
      </c>
      <c r="J260">
        <v>0</v>
      </c>
      <c r="K260">
        <f>0.02</f>
        <v>0.02</v>
      </c>
      <c r="L260">
        <f>1-H260-K260-X260</f>
        <v>0.19999999999999996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0.11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0.5</v>
      </c>
      <c r="AE260">
        <v>0</v>
      </c>
      <c r="AF260">
        <v>0</v>
      </c>
      <c r="AG260" s="1">
        <v>1</v>
      </c>
      <c r="AH260">
        <v>50</v>
      </c>
      <c r="AI260">
        <v>674</v>
      </c>
      <c r="AJ260" t="s">
        <v>207</v>
      </c>
      <c r="AK260" t="s">
        <v>208</v>
      </c>
      <c r="AL260" t="s">
        <v>184</v>
      </c>
    </row>
    <row r="261" spans="1:3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0.67</v>
      </c>
      <c r="I261">
        <v>0</v>
      </c>
      <c r="J261">
        <v>0</v>
      </c>
      <c r="K261">
        <v>0.04</v>
      </c>
      <c r="L261">
        <f>1-H261-K261-X261</f>
        <v>0.18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0.11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0.5</v>
      </c>
      <c r="AE261">
        <v>0</v>
      </c>
      <c r="AF261">
        <v>0</v>
      </c>
      <c r="AG261" s="1">
        <v>1</v>
      </c>
      <c r="AH261">
        <v>50</v>
      </c>
      <c r="AI261">
        <v>600</v>
      </c>
      <c r="AJ261" t="s">
        <v>207</v>
      </c>
      <c r="AK261" t="s">
        <v>208</v>
      </c>
      <c r="AL261" t="s">
        <v>184</v>
      </c>
    </row>
    <row r="262" spans="1:3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0.67</v>
      </c>
      <c r="I262">
        <v>0</v>
      </c>
      <c r="J262">
        <v>0</v>
      </c>
      <c r="K262">
        <v>0</v>
      </c>
      <c r="L262">
        <v>0.22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0.11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0.5</v>
      </c>
      <c r="AE262">
        <v>0</v>
      </c>
      <c r="AF262">
        <v>0</v>
      </c>
      <c r="AG262" s="1">
        <v>1</v>
      </c>
      <c r="AH262">
        <v>50</v>
      </c>
      <c r="AI262">
        <v>449</v>
      </c>
      <c r="AJ262" t="s">
        <v>207</v>
      </c>
      <c r="AK262" t="s">
        <v>208</v>
      </c>
      <c r="AL262" t="s">
        <v>184</v>
      </c>
    </row>
    <row r="263" spans="1:38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0.56000000000000005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0.2</v>
      </c>
      <c r="Y263">
        <v>0</v>
      </c>
      <c r="Z263">
        <v>0.04</v>
      </c>
      <c r="AA263">
        <v>0.2</v>
      </c>
      <c r="AB263">
        <v>0</v>
      </c>
      <c r="AC263">
        <v>0</v>
      </c>
      <c r="AD263" s="1">
        <v>0.5</v>
      </c>
      <c r="AE263">
        <v>0</v>
      </c>
      <c r="AF263">
        <v>0</v>
      </c>
      <c r="AG263" s="1">
        <v>0.5</v>
      </c>
      <c r="AH263">
        <v>50</v>
      </c>
      <c r="AI263">
        <v>450</v>
      </c>
      <c r="AJ263" t="s">
        <v>209</v>
      </c>
      <c r="AK263" t="s">
        <v>213</v>
      </c>
      <c r="AL263" t="s">
        <v>184</v>
      </c>
    </row>
    <row r="264" spans="1:3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0.56000000000000005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0.2</v>
      </c>
      <c r="Y264">
        <v>0</v>
      </c>
      <c r="Z264">
        <v>0.08</v>
      </c>
      <c r="AA264">
        <v>0.16</v>
      </c>
      <c r="AB264">
        <v>0</v>
      </c>
      <c r="AC264">
        <v>0</v>
      </c>
      <c r="AD264" s="1">
        <v>0.5</v>
      </c>
      <c r="AE264">
        <v>0</v>
      </c>
      <c r="AF264">
        <v>0</v>
      </c>
      <c r="AG264" s="1">
        <v>0.5</v>
      </c>
      <c r="AH264">
        <v>50</v>
      </c>
      <c r="AI264">
        <v>400</v>
      </c>
      <c r="AJ264" t="s">
        <v>209</v>
      </c>
      <c r="AK264" t="s">
        <v>213</v>
      </c>
      <c r="AL264" t="s">
        <v>184</v>
      </c>
    </row>
    <row r="265" spans="1:38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0.56000000000000005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0.2</v>
      </c>
      <c r="Y265">
        <v>0</v>
      </c>
      <c r="Z265">
        <v>0.11</v>
      </c>
      <c r="AA265">
        <v>0.13</v>
      </c>
      <c r="AB265">
        <v>0</v>
      </c>
      <c r="AC265">
        <v>0</v>
      </c>
      <c r="AD265" s="1">
        <v>0.5</v>
      </c>
      <c r="AE265">
        <v>0</v>
      </c>
      <c r="AF265">
        <v>0</v>
      </c>
      <c r="AG265" s="1">
        <v>0.5</v>
      </c>
      <c r="AH265">
        <v>50</v>
      </c>
      <c r="AI265">
        <v>350</v>
      </c>
      <c r="AJ265" t="s">
        <v>209</v>
      </c>
      <c r="AK265" t="s">
        <v>213</v>
      </c>
      <c r="AL265" t="s">
        <v>184</v>
      </c>
    </row>
    <row r="266" spans="1:38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0.64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0.2</v>
      </c>
      <c r="Y266">
        <v>0</v>
      </c>
      <c r="Z266">
        <v>0.03</v>
      </c>
      <c r="AA266">
        <f>0.13</f>
        <v>0.13</v>
      </c>
      <c r="AB266">
        <v>0</v>
      </c>
      <c r="AC266">
        <v>0</v>
      </c>
      <c r="AD266" s="1">
        <v>0.5</v>
      </c>
      <c r="AE266">
        <v>0</v>
      </c>
      <c r="AF266">
        <v>0</v>
      </c>
      <c r="AG266" s="1">
        <v>0.5</v>
      </c>
      <c r="AH266">
        <v>50</v>
      </c>
      <c r="AI266">
        <v>380</v>
      </c>
      <c r="AJ266" t="s">
        <v>209</v>
      </c>
      <c r="AK266" t="s">
        <v>213</v>
      </c>
      <c r="AL266" t="s">
        <v>184</v>
      </c>
    </row>
    <row r="267" spans="1:3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0.48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0.2</v>
      </c>
      <c r="Y267">
        <v>0</v>
      </c>
      <c r="Z267">
        <v>0.05</v>
      </c>
      <c r="AA267">
        <v>0.27</v>
      </c>
      <c r="AB267">
        <v>0</v>
      </c>
      <c r="AC267">
        <v>0</v>
      </c>
      <c r="AD267" s="1">
        <v>0.5</v>
      </c>
      <c r="AE267">
        <v>0</v>
      </c>
      <c r="AF267">
        <v>0</v>
      </c>
      <c r="AG267" s="1">
        <v>0.5</v>
      </c>
      <c r="AH267">
        <v>50</v>
      </c>
      <c r="AI267">
        <v>325</v>
      </c>
      <c r="AJ267" t="s">
        <v>209</v>
      </c>
      <c r="AK267" t="s">
        <v>213</v>
      </c>
      <c r="AL267" t="s">
        <v>184</v>
      </c>
    </row>
    <row r="268" spans="1:3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0.56000000000000005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0.2</v>
      </c>
      <c r="Y268">
        <v>0</v>
      </c>
      <c r="Z268">
        <v>0</v>
      </c>
      <c r="AA268">
        <f>0.24</f>
        <v>0.24</v>
      </c>
      <c r="AB268">
        <v>0</v>
      </c>
      <c r="AC268">
        <v>0</v>
      </c>
      <c r="AD268" s="1">
        <v>0.5</v>
      </c>
      <c r="AE268">
        <v>0</v>
      </c>
      <c r="AF268">
        <v>0</v>
      </c>
      <c r="AG268" s="1">
        <v>0.5</v>
      </c>
      <c r="AH268">
        <v>50</v>
      </c>
      <c r="AI268">
        <v>380</v>
      </c>
      <c r="AJ268" t="s">
        <v>209</v>
      </c>
      <c r="AK268" t="s">
        <v>213</v>
      </c>
      <c r="AL268" t="s">
        <v>184</v>
      </c>
    </row>
    <row r="269" spans="1:3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</v>
      </c>
      <c r="I269">
        <v>0</v>
      </c>
      <c r="J269">
        <v>0</v>
      </c>
      <c r="K269">
        <v>0</v>
      </c>
      <c r="L269">
        <v>0.3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0.2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0.5</v>
      </c>
      <c r="AE269">
        <v>0</v>
      </c>
      <c r="AF269">
        <v>0</v>
      </c>
      <c r="AG269" s="1">
        <v>0.5</v>
      </c>
      <c r="AH269">
        <v>50</v>
      </c>
      <c r="AI269">
        <v>428</v>
      </c>
      <c r="AJ269" t="s">
        <v>214</v>
      </c>
      <c r="AK269" t="s">
        <v>215</v>
      </c>
      <c r="AL269" t="s">
        <v>184</v>
      </c>
    </row>
    <row r="270" spans="1:3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0.5</v>
      </c>
      <c r="I270">
        <v>0</v>
      </c>
      <c r="J270">
        <v>0</v>
      </c>
      <c r="K270">
        <v>0</v>
      </c>
      <c r="L270">
        <v>0.25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</v>
      </c>
      <c r="Y270">
        <v>0</v>
      </c>
      <c r="Z270">
        <v>0.05</v>
      </c>
      <c r="AA270">
        <v>0</v>
      </c>
      <c r="AB270">
        <v>0</v>
      </c>
      <c r="AC270">
        <v>0</v>
      </c>
      <c r="AD270" s="1">
        <v>0.5</v>
      </c>
      <c r="AE270">
        <v>0</v>
      </c>
      <c r="AF270">
        <v>0</v>
      </c>
      <c r="AG270" s="1">
        <v>0.5</v>
      </c>
      <c r="AH270">
        <v>50</v>
      </c>
      <c r="AI270">
        <v>502</v>
      </c>
      <c r="AJ270" t="s">
        <v>214</v>
      </c>
      <c r="AK270" t="s">
        <v>215</v>
      </c>
      <c r="AL270" t="s">
        <v>184</v>
      </c>
    </row>
    <row r="271" spans="1:3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0.73</v>
      </c>
      <c r="H271">
        <v>0</v>
      </c>
      <c r="I271">
        <v>0.1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0.17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0.5</v>
      </c>
      <c r="AE271">
        <v>0</v>
      </c>
      <c r="AF271">
        <v>0</v>
      </c>
      <c r="AG271" s="1">
        <v>1</v>
      </c>
      <c r="AH271">
        <v>50</v>
      </c>
      <c r="AI271">
        <v>800</v>
      </c>
      <c r="AJ271" t="s">
        <v>217</v>
      </c>
      <c r="AK271" t="s">
        <v>216</v>
      </c>
      <c r="AL271" t="s">
        <v>184</v>
      </c>
    </row>
    <row r="272" spans="1:3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0.8</v>
      </c>
      <c r="H272">
        <v>0</v>
      </c>
      <c r="I272">
        <v>0.05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0.15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0.5</v>
      </c>
      <c r="AE272">
        <v>0</v>
      </c>
      <c r="AF272">
        <v>0</v>
      </c>
      <c r="AG272" s="1">
        <v>1</v>
      </c>
      <c r="AH272">
        <v>50</v>
      </c>
      <c r="AI272">
        <v>350</v>
      </c>
      <c r="AJ272" t="s">
        <v>217</v>
      </c>
      <c r="AK272" t="s">
        <v>216</v>
      </c>
      <c r="AL272" t="s">
        <v>184</v>
      </c>
    </row>
    <row r="273" spans="1:38" x14ac:dyDescent="0.3">
      <c r="A273">
        <v>0</v>
      </c>
      <c r="B273">
        <f>0.81/3</f>
        <v>0.27</v>
      </c>
      <c r="C273">
        <v>0</v>
      </c>
      <c r="D273">
        <v>0</v>
      </c>
      <c r="E273">
        <v>0.54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0.19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0.5</v>
      </c>
      <c r="AE273">
        <v>0</v>
      </c>
      <c r="AF273">
        <v>0</v>
      </c>
      <c r="AG273" s="1">
        <v>1</v>
      </c>
      <c r="AH273">
        <v>50</v>
      </c>
      <c r="AI273">
        <v>168</v>
      </c>
      <c r="AJ273" t="s">
        <v>224</v>
      </c>
      <c r="AK273" t="s">
        <v>225</v>
      </c>
      <c r="AL273" t="s">
        <v>184</v>
      </c>
    </row>
    <row r="274" spans="1:3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4.9000000000000002E-2</v>
      </c>
      <c r="T274">
        <v>0</v>
      </c>
      <c r="U274">
        <v>0</v>
      </c>
      <c r="V274">
        <v>0</v>
      </c>
      <c r="W274">
        <v>0</v>
      </c>
      <c r="X274">
        <v>0.15</v>
      </c>
      <c r="Y274">
        <v>1E-3</v>
      </c>
      <c r="Z274">
        <v>0</v>
      </c>
      <c r="AA274">
        <v>0</v>
      </c>
      <c r="AB274">
        <v>0</v>
      </c>
      <c r="AC274">
        <v>0</v>
      </c>
      <c r="AD274" s="1">
        <v>0</v>
      </c>
      <c r="AE274">
        <v>0.1</v>
      </c>
      <c r="AF274">
        <v>0</v>
      </c>
      <c r="AG274" s="1">
        <v>1</v>
      </c>
      <c r="AH274">
        <v>50</v>
      </c>
      <c r="AI274">
        <v>1350</v>
      </c>
      <c r="AJ274" t="s">
        <v>228</v>
      </c>
      <c r="AK274" t="s">
        <v>229</v>
      </c>
      <c r="AL274" t="s">
        <v>184</v>
      </c>
    </row>
    <row r="275" spans="1:38" x14ac:dyDescent="0.3">
      <c r="A275">
        <v>0</v>
      </c>
      <c r="B275">
        <v>0</v>
      </c>
      <c r="C275">
        <v>0</v>
      </c>
      <c r="D275">
        <v>0</v>
      </c>
      <c r="E275">
        <v>0.86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0.05</v>
      </c>
      <c r="W275">
        <v>0</v>
      </c>
      <c r="X275">
        <v>0.09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0.5</v>
      </c>
      <c r="AE275">
        <v>0</v>
      </c>
      <c r="AF275">
        <v>0</v>
      </c>
      <c r="AG275" s="1">
        <v>1</v>
      </c>
      <c r="AH275">
        <v>50</v>
      </c>
      <c r="AI275">
        <v>385</v>
      </c>
      <c r="AJ275" t="s">
        <v>237</v>
      </c>
      <c r="AK275" t="s">
        <v>238</v>
      </c>
      <c r="AL275" t="s">
        <v>184</v>
      </c>
    </row>
    <row r="276" spans="1:38" x14ac:dyDescent="0.3">
      <c r="A276">
        <v>0</v>
      </c>
      <c r="B276">
        <v>0</v>
      </c>
      <c r="C276">
        <v>0</v>
      </c>
      <c r="D276">
        <v>0</v>
      </c>
      <c r="E276">
        <v>0.63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0.17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0.5</v>
      </c>
      <c r="AE276">
        <v>0</v>
      </c>
      <c r="AF276">
        <v>0</v>
      </c>
      <c r="AG276" s="1">
        <v>1</v>
      </c>
      <c r="AH276">
        <v>50</v>
      </c>
      <c r="AI276">
        <v>600</v>
      </c>
      <c r="AJ276" t="s">
        <v>240</v>
      </c>
      <c r="AK276" t="s">
        <v>239</v>
      </c>
      <c r="AL276" t="s">
        <v>184</v>
      </c>
    </row>
    <row r="277" spans="1:38" x14ac:dyDescent="0.3">
      <c r="A277">
        <v>0</v>
      </c>
      <c r="B277">
        <v>0</v>
      </c>
      <c r="C277">
        <v>0</v>
      </c>
      <c r="D277">
        <v>0</v>
      </c>
      <c r="E277">
        <v>0.63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0.04</v>
      </c>
      <c r="T277">
        <v>0</v>
      </c>
      <c r="U277">
        <v>0</v>
      </c>
      <c r="V277">
        <v>0</v>
      </c>
      <c r="W277">
        <v>0</v>
      </c>
      <c r="X277">
        <v>0.13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0.5</v>
      </c>
      <c r="AE277">
        <v>0</v>
      </c>
      <c r="AF277">
        <v>0</v>
      </c>
      <c r="AG277" s="1">
        <v>1</v>
      </c>
      <c r="AH277">
        <v>50</v>
      </c>
      <c r="AI277">
        <v>800</v>
      </c>
      <c r="AJ277" t="s">
        <v>240</v>
      </c>
      <c r="AK277" t="s">
        <v>251</v>
      </c>
      <c r="AL277" t="s">
        <v>184</v>
      </c>
    </row>
    <row r="278" spans="1:38" x14ac:dyDescent="0.3">
      <c r="A278">
        <v>0</v>
      </c>
      <c r="B278">
        <v>0</v>
      </c>
      <c r="C278">
        <v>0</v>
      </c>
      <c r="D278">
        <v>0</v>
      </c>
      <c r="E278">
        <v>0.64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0.21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7.0000000000000007E-2</v>
      </c>
      <c r="T278">
        <v>0</v>
      </c>
      <c r="U278">
        <v>0</v>
      </c>
      <c r="V278">
        <v>0</v>
      </c>
      <c r="W278">
        <v>0</v>
      </c>
      <c r="X278">
        <v>0.08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0.5</v>
      </c>
      <c r="AE278">
        <v>0</v>
      </c>
      <c r="AF278">
        <v>0</v>
      </c>
      <c r="AG278" s="1">
        <v>1</v>
      </c>
      <c r="AH278">
        <v>50</v>
      </c>
      <c r="AI278">
        <v>1280</v>
      </c>
      <c r="AJ278" t="s">
        <v>240</v>
      </c>
      <c r="AK278" t="s">
        <v>252</v>
      </c>
      <c r="AL278" t="s">
        <v>184</v>
      </c>
    </row>
    <row r="279" spans="1:38" x14ac:dyDescent="0.3">
      <c r="A279">
        <v>0</v>
      </c>
      <c r="B279">
        <v>0</v>
      </c>
      <c r="C279">
        <v>0</v>
      </c>
      <c r="D279">
        <v>0</v>
      </c>
      <c r="E279">
        <v>0.64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0.21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0.11</v>
      </c>
      <c r="T279">
        <v>0</v>
      </c>
      <c r="U279">
        <v>0</v>
      </c>
      <c r="V279">
        <v>0</v>
      </c>
      <c r="W279">
        <v>0</v>
      </c>
      <c r="X279">
        <v>0.04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0.5</v>
      </c>
      <c r="AE279">
        <v>0</v>
      </c>
      <c r="AF279">
        <v>0</v>
      </c>
      <c r="AG279" s="1">
        <v>1</v>
      </c>
      <c r="AH279">
        <v>50</v>
      </c>
      <c r="AI279">
        <v>600</v>
      </c>
      <c r="AJ279" t="s">
        <v>240</v>
      </c>
      <c r="AK279" t="s">
        <v>253</v>
      </c>
      <c r="AL279" t="s">
        <v>184</v>
      </c>
    </row>
    <row r="280" spans="1:38" x14ac:dyDescent="0.3">
      <c r="A280">
        <v>0</v>
      </c>
      <c r="B280">
        <v>0</v>
      </c>
      <c r="C280">
        <v>0</v>
      </c>
      <c r="D280">
        <v>0</v>
      </c>
      <c r="E280">
        <v>0.8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0.05</v>
      </c>
      <c r="T280">
        <v>0</v>
      </c>
      <c r="U280">
        <v>0</v>
      </c>
      <c r="V280">
        <v>0</v>
      </c>
      <c r="W280">
        <v>0</v>
      </c>
      <c r="X280">
        <v>0.15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0.5</v>
      </c>
      <c r="AE280">
        <v>0</v>
      </c>
      <c r="AF280">
        <v>0</v>
      </c>
      <c r="AG280" s="1">
        <v>0.5</v>
      </c>
      <c r="AH280">
        <v>50</v>
      </c>
      <c r="AI280">
        <v>203</v>
      </c>
      <c r="AJ280" t="s">
        <v>255</v>
      </c>
      <c r="AK280" t="s">
        <v>254</v>
      </c>
      <c r="AL280" t="s">
        <v>184</v>
      </c>
    </row>
    <row r="281" spans="1:38" x14ac:dyDescent="0.3">
      <c r="A281">
        <v>0</v>
      </c>
      <c r="B281">
        <v>0</v>
      </c>
      <c r="C281">
        <v>0</v>
      </c>
      <c r="D281">
        <v>0</v>
      </c>
      <c r="E281">
        <v>0.8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0.04</v>
      </c>
      <c r="T281">
        <v>0</v>
      </c>
      <c r="U281">
        <v>0</v>
      </c>
      <c r="V281">
        <v>0</v>
      </c>
      <c r="W281">
        <v>0</v>
      </c>
      <c r="X281">
        <v>0.16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0.5</v>
      </c>
      <c r="AE281">
        <v>0</v>
      </c>
      <c r="AF281">
        <v>0</v>
      </c>
      <c r="AG281" s="1">
        <v>0.5</v>
      </c>
      <c r="AH281">
        <v>50</v>
      </c>
      <c r="AI281">
        <v>330</v>
      </c>
      <c r="AJ281" t="s">
        <v>255</v>
      </c>
      <c r="AK281" t="s">
        <v>254</v>
      </c>
      <c r="AL281" t="s">
        <v>184</v>
      </c>
    </row>
    <row r="282" spans="1:38" x14ac:dyDescent="0.3">
      <c r="A282">
        <v>0</v>
      </c>
      <c r="B282">
        <v>0</v>
      </c>
      <c r="C282">
        <v>0</v>
      </c>
      <c r="D282">
        <v>0</v>
      </c>
      <c r="E282">
        <v>0.8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0.03</v>
      </c>
      <c r="T282">
        <v>0</v>
      </c>
      <c r="U282">
        <v>0</v>
      </c>
      <c r="V282">
        <v>0</v>
      </c>
      <c r="W282">
        <v>0</v>
      </c>
      <c r="X282">
        <v>0.17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0.5</v>
      </c>
      <c r="AE282">
        <v>0</v>
      </c>
      <c r="AF282">
        <v>0</v>
      </c>
      <c r="AG282" s="1">
        <v>0.5</v>
      </c>
      <c r="AH282">
        <v>50</v>
      </c>
      <c r="AI282">
        <v>666</v>
      </c>
      <c r="AJ282" t="s">
        <v>255</v>
      </c>
      <c r="AK282" t="s">
        <v>254</v>
      </c>
      <c r="AL282" t="s">
        <v>184</v>
      </c>
    </row>
    <row r="283" spans="1:38" x14ac:dyDescent="0.3">
      <c r="A283">
        <v>0</v>
      </c>
      <c r="B283">
        <v>0</v>
      </c>
      <c r="C283">
        <v>0</v>
      </c>
      <c r="D283">
        <v>0</v>
      </c>
      <c r="E283">
        <v>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0.02</v>
      </c>
      <c r="T283">
        <v>0</v>
      </c>
      <c r="U283">
        <v>0</v>
      </c>
      <c r="V283">
        <v>0</v>
      </c>
      <c r="W283">
        <v>0</v>
      </c>
      <c r="X283">
        <v>0.18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0.5</v>
      </c>
      <c r="AE283">
        <v>0</v>
      </c>
      <c r="AF283">
        <v>0</v>
      </c>
      <c r="AG283" s="1">
        <v>0.5</v>
      </c>
      <c r="AH283">
        <v>50</v>
      </c>
      <c r="AI283">
        <v>1247</v>
      </c>
      <c r="AJ283" t="s">
        <v>255</v>
      </c>
      <c r="AK283" t="s">
        <v>254</v>
      </c>
      <c r="AL283" t="s">
        <v>184</v>
      </c>
    </row>
    <row r="284" spans="1:38" x14ac:dyDescent="0.3">
      <c r="A284">
        <v>0</v>
      </c>
      <c r="B284">
        <v>0</v>
      </c>
      <c r="C284">
        <v>0</v>
      </c>
      <c r="D284">
        <v>0</v>
      </c>
      <c r="E284">
        <v>0.8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0.01</v>
      </c>
      <c r="T284">
        <v>0</v>
      </c>
      <c r="U284">
        <v>0</v>
      </c>
      <c r="V284">
        <v>0</v>
      </c>
      <c r="W284">
        <v>0</v>
      </c>
      <c r="X284">
        <v>0.19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0.5</v>
      </c>
      <c r="AE284">
        <v>0</v>
      </c>
      <c r="AF284">
        <v>0</v>
      </c>
      <c r="AG284" s="1">
        <v>0.5</v>
      </c>
      <c r="AH284">
        <v>50</v>
      </c>
      <c r="AI284">
        <v>556</v>
      </c>
      <c r="AJ284" t="s">
        <v>255</v>
      </c>
      <c r="AK284" t="s">
        <v>254</v>
      </c>
      <c r="AL284" t="s">
        <v>184</v>
      </c>
    </row>
    <row r="285" spans="1:3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0.95</v>
      </c>
      <c r="I285">
        <v>0</v>
      </c>
      <c r="J285">
        <v>0</v>
      </c>
      <c r="K285">
        <v>0</v>
      </c>
      <c r="L285">
        <v>0.03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0.02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0</v>
      </c>
      <c r="AE285">
        <v>0.1</v>
      </c>
      <c r="AF285">
        <v>0</v>
      </c>
      <c r="AG285" s="1">
        <v>1</v>
      </c>
      <c r="AH285">
        <v>50</v>
      </c>
      <c r="AI285">
        <v>304</v>
      </c>
      <c r="AJ285">
        <v>27</v>
      </c>
      <c r="AK285" t="s">
        <v>218</v>
      </c>
      <c r="AL285" t="s">
        <v>219</v>
      </c>
    </row>
    <row r="286" spans="1:3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0.95</v>
      </c>
      <c r="I286">
        <v>0</v>
      </c>
      <c r="J286">
        <v>0</v>
      </c>
      <c r="K286">
        <v>0</v>
      </c>
      <c r="L286">
        <v>0.03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>0.62*0.02</f>
        <v>1.24E-2</v>
      </c>
      <c r="X286">
        <f>0.38*2/100</f>
        <v>7.6E-3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0</v>
      </c>
      <c r="AE286">
        <v>0.1</v>
      </c>
      <c r="AF286">
        <v>0</v>
      </c>
      <c r="AG286" s="1">
        <v>1</v>
      </c>
      <c r="AH286">
        <v>50</v>
      </c>
      <c r="AI286">
        <v>140</v>
      </c>
      <c r="AJ286">
        <v>27</v>
      </c>
      <c r="AK286" t="s">
        <v>218</v>
      </c>
      <c r="AL286" t="s">
        <v>219</v>
      </c>
    </row>
    <row r="287" spans="1:3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0.95</v>
      </c>
      <c r="I287">
        <v>0</v>
      </c>
      <c r="J287">
        <v>0</v>
      </c>
      <c r="K287">
        <v>0</v>
      </c>
      <c r="L287">
        <v>0.03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0.35*0.02</f>
        <v>6.9999999999999993E-3</v>
      </c>
      <c r="X287">
        <f>0.65*0.02</f>
        <v>1.3000000000000001E-2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0</v>
      </c>
      <c r="AE287">
        <v>0.1</v>
      </c>
      <c r="AF287">
        <v>0</v>
      </c>
      <c r="AG287" s="1">
        <v>1</v>
      </c>
      <c r="AH287">
        <v>50</v>
      </c>
      <c r="AI287">
        <v>532</v>
      </c>
      <c r="AJ287">
        <v>27</v>
      </c>
      <c r="AK287" t="s">
        <v>218</v>
      </c>
      <c r="AL287" t="s">
        <v>219</v>
      </c>
    </row>
    <row r="288" spans="1:38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0.95</v>
      </c>
      <c r="I288">
        <v>0</v>
      </c>
      <c r="J288">
        <v>0</v>
      </c>
      <c r="K288">
        <v>0</v>
      </c>
      <c r="L288">
        <v>0.03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0.003</f>
        <v>3.0000000000000001E-3</v>
      </c>
      <c r="X288">
        <f>0.85*0.02</f>
        <v>1.7000000000000001E-2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0</v>
      </c>
      <c r="AE288">
        <v>0.1</v>
      </c>
      <c r="AF288">
        <v>0</v>
      </c>
      <c r="AG288" s="1">
        <v>1</v>
      </c>
      <c r="AH288">
        <v>50</v>
      </c>
      <c r="AI288">
        <v>853</v>
      </c>
      <c r="AJ288">
        <v>27</v>
      </c>
      <c r="AK288" t="s">
        <v>218</v>
      </c>
      <c r="AL288" t="s">
        <v>219</v>
      </c>
    </row>
    <row r="289" spans="1:38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0.83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7.0000000000000007E-2</v>
      </c>
      <c r="T289">
        <v>0</v>
      </c>
      <c r="U289">
        <v>0</v>
      </c>
      <c r="V289">
        <v>0</v>
      </c>
      <c r="W289">
        <v>0</v>
      </c>
      <c r="X289">
        <v>0.1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0.1</v>
      </c>
      <c r="AE289">
        <v>0</v>
      </c>
      <c r="AF289">
        <v>0</v>
      </c>
      <c r="AG289" s="1">
        <v>0.5</v>
      </c>
      <c r="AH289">
        <v>50</v>
      </c>
      <c r="AI289">
        <v>1390</v>
      </c>
      <c r="AJ289">
        <v>20</v>
      </c>
      <c r="AK289" t="s">
        <v>220</v>
      </c>
      <c r="AL289" t="s">
        <v>219</v>
      </c>
    </row>
    <row r="290" spans="1:38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0.06</v>
      </c>
      <c r="T290">
        <v>0</v>
      </c>
      <c r="U290">
        <v>0</v>
      </c>
      <c r="V290">
        <v>0</v>
      </c>
      <c r="W290">
        <v>0</v>
      </c>
      <c r="X290">
        <v>0.11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0.1</v>
      </c>
      <c r="AE290">
        <v>0</v>
      </c>
      <c r="AF290">
        <v>0</v>
      </c>
      <c r="AG290" s="1">
        <v>0.5</v>
      </c>
      <c r="AH290">
        <v>50</v>
      </c>
      <c r="AI290">
        <v>1940</v>
      </c>
      <c r="AJ290">
        <v>20</v>
      </c>
      <c r="AK290" t="s">
        <v>220</v>
      </c>
      <c r="AL290" t="s">
        <v>219</v>
      </c>
    </row>
    <row r="291" spans="1:38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0.05</v>
      </c>
      <c r="T291">
        <v>0</v>
      </c>
      <c r="U291">
        <v>0</v>
      </c>
      <c r="V291">
        <v>0</v>
      </c>
      <c r="W291">
        <v>0</v>
      </c>
      <c r="X291">
        <v>0.12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0.1</v>
      </c>
      <c r="AE291">
        <v>0</v>
      </c>
      <c r="AF291">
        <v>0</v>
      </c>
      <c r="AG291" s="1">
        <v>0.5</v>
      </c>
      <c r="AH291">
        <v>50</v>
      </c>
      <c r="AI291">
        <v>1630</v>
      </c>
      <c r="AJ291">
        <v>20</v>
      </c>
      <c r="AK291" t="s">
        <v>220</v>
      </c>
      <c r="AL291" t="s">
        <v>219</v>
      </c>
    </row>
    <row r="292" spans="1:38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0.83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0.04</v>
      </c>
      <c r="T292">
        <v>0</v>
      </c>
      <c r="U292">
        <v>0</v>
      </c>
      <c r="V292">
        <v>0</v>
      </c>
      <c r="W292">
        <v>0</v>
      </c>
      <c r="X292">
        <v>0.13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0.1</v>
      </c>
      <c r="AE292">
        <v>0</v>
      </c>
      <c r="AF292">
        <v>0</v>
      </c>
      <c r="AG292" s="1">
        <v>0.5</v>
      </c>
      <c r="AH292">
        <v>50</v>
      </c>
      <c r="AI292">
        <v>1480</v>
      </c>
      <c r="AJ292">
        <v>20</v>
      </c>
      <c r="AK292" t="s">
        <v>220</v>
      </c>
      <c r="AL292" t="s">
        <v>219</v>
      </c>
    </row>
    <row r="293" spans="1:38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0.02</v>
      </c>
      <c r="S293">
        <v>0</v>
      </c>
      <c r="T293">
        <v>0</v>
      </c>
      <c r="U293">
        <v>7.0000000000000007E-2</v>
      </c>
      <c r="V293">
        <v>0</v>
      </c>
      <c r="W293">
        <f>0</f>
        <v>0</v>
      </c>
      <c r="X293">
        <v>0.12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0</v>
      </c>
      <c r="AE293">
        <v>0.1</v>
      </c>
      <c r="AF293">
        <v>0</v>
      </c>
      <c r="AG293" s="1">
        <v>1</v>
      </c>
      <c r="AH293">
        <v>20</v>
      </c>
      <c r="AI293">
        <v>900</v>
      </c>
      <c r="AJ293">
        <v>59</v>
      </c>
      <c r="AK293" t="s">
        <v>221</v>
      </c>
      <c r="AL293" t="s">
        <v>219</v>
      </c>
    </row>
    <row r="294" spans="1:38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0.04</v>
      </c>
      <c r="S294">
        <v>0.01</v>
      </c>
      <c r="T294">
        <v>0</v>
      </c>
      <c r="U294">
        <v>0</v>
      </c>
      <c r="V294">
        <v>0</v>
      </c>
      <c r="W294">
        <v>0</v>
      </c>
      <c r="X294">
        <v>0.13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0</v>
      </c>
      <c r="AE294">
        <v>0.1</v>
      </c>
      <c r="AF294">
        <v>0</v>
      </c>
      <c r="AG294" s="1">
        <v>1</v>
      </c>
      <c r="AH294">
        <v>50</v>
      </c>
      <c r="AI294">
        <v>1560</v>
      </c>
      <c r="AJ294">
        <v>62</v>
      </c>
      <c r="AK294" t="s">
        <v>222</v>
      </c>
      <c r="AL294" t="s">
        <v>219</v>
      </c>
    </row>
    <row r="295" spans="1:38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0.83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0.04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0.13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0</v>
      </c>
      <c r="AE295">
        <v>0.1</v>
      </c>
      <c r="AF295">
        <v>0</v>
      </c>
      <c r="AG295" s="1">
        <v>1</v>
      </c>
      <c r="AH295">
        <v>50</v>
      </c>
      <c r="AI295">
        <v>770</v>
      </c>
      <c r="AJ295">
        <v>62</v>
      </c>
      <c r="AK295" t="s">
        <v>222</v>
      </c>
      <c r="AL295" t="s">
        <v>219</v>
      </c>
    </row>
    <row r="296" spans="1:38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0.06</v>
      </c>
      <c r="T296">
        <v>0</v>
      </c>
      <c r="U296">
        <v>0</v>
      </c>
      <c r="V296">
        <v>0</v>
      </c>
      <c r="W296">
        <v>0</v>
      </c>
      <c r="X296">
        <v>0.23</v>
      </c>
      <c r="Y296">
        <v>0</v>
      </c>
      <c r="Z296">
        <v>0</v>
      </c>
      <c r="AA296">
        <v>0.11</v>
      </c>
      <c r="AB296">
        <v>0</v>
      </c>
      <c r="AC296">
        <v>0</v>
      </c>
      <c r="AD296" s="1">
        <v>0.5</v>
      </c>
      <c r="AE296">
        <v>0</v>
      </c>
      <c r="AF296">
        <v>0</v>
      </c>
      <c r="AG296" s="1">
        <v>0.5</v>
      </c>
      <c r="AH296">
        <v>50</v>
      </c>
      <c r="AI296">
        <v>721</v>
      </c>
      <c r="AJ296">
        <v>61</v>
      </c>
      <c r="AK296" t="s">
        <v>223</v>
      </c>
      <c r="AL296" t="s">
        <v>219</v>
      </c>
    </row>
    <row r="297" spans="1:38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0.11</v>
      </c>
      <c r="T297">
        <v>0</v>
      </c>
      <c r="U297">
        <v>0</v>
      </c>
      <c r="V297">
        <v>0</v>
      </c>
      <c r="W297">
        <v>0</v>
      </c>
      <c r="X297">
        <v>7.0000000000000007E-2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0.5</v>
      </c>
      <c r="AE297">
        <v>0</v>
      </c>
      <c r="AF297">
        <v>0</v>
      </c>
      <c r="AG297" s="1">
        <v>0.5</v>
      </c>
      <c r="AH297">
        <v>50</v>
      </c>
      <c r="AI297">
        <v>203</v>
      </c>
      <c r="AJ297">
        <v>43</v>
      </c>
      <c r="AK297" t="s">
        <v>226</v>
      </c>
      <c r="AL297" t="s">
        <v>219</v>
      </c>
    </row>
    <row r="298" spans="1:38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0.4</v>
      </c>
      <c r="I298">
        <v>0.02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0.09</v>
      </c>
      <c r="T298">
        <v>0</v>
      </c>
      <c r="U298">
        <v>0</v>
      </c>
      <c r="V298">
        <v>0</v>
      </c>
      <c r="W298">
        <v>0</v>
      </c>
      <c r="X298">
        <v>0.49</v>
      </c>
      <c r="Y298">
        <v>0</v>
      </c>
      <c r="Z298">
        <v>0</v>
      </c>
      <c r="AA298">
        <v>0</v>
      </c>
      <c r="AB298">
        <v>0</v>
      </c>
      <c r="AC298">
        <v>0</v>
      </c>
      <c r="AD298" s="1">
        <v>0.5</v>
      </c>
      <c r="AE298">
        <v>0</v>
      </c>
      <c r="AF298">
        <v>0</v>
      </c>
      <c r="AG298" s="1">
        <v>1</v>
      </c>
      <c r="AH298">
        <v>100</v>
      </c>
      <c r="AI298">
        <v>3110</v>
      </c>
      <c r="AJ298">
        <v>44</v>
      </c>
      <c r="AK298" t="s">
        <v>227</v>
      </c>
      <c r="AL298" t="s">
        <v>219</v>
      </c>
    </row>
    <row r="299" spans="1:38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0.83</v>
      </c>
      <c r="I299">
        <v>0.01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0.03</v>
      </c>
      <c r="T299">
        <v>0</v>
      </c>
      <c r="U299">
        <v>0</v>
      </c>
      <c r="V299">
        <v>0</v>
      </c>
      <c r="W299">
        <v>0</v>
      </c>
      <c r="X299">
        <v>0.13</v>
      </c>
      <c r="Y299">
        <v>0</v>
      </c>
      <c r="Z299">
        <v>0</v>
      </c>
      <c r="AA299">
        <v>0</v>
      </c>
      <c r="AB299">
        <v>0</v>
      </c>
      <c r="AC299">
        <v>0</v>
      </c>
      <c r="AD299" s="1">
        <v>0.5</v>
      </c>
      <c r="AE299">
        <v>0</v>
      </c>
      <c r="AF299">
        <v>0</v>
      </c>
      <c r="AG299" s="1">
        <v>1</v>
      </c>
      <c r="AH299">
        <v>100</v>
      </c>
      <c r="AI299">
        <v>1710</v>
      </c>
      <c r="AJ299">
        <v>44</v>
      </c>
      <c r="AK299" t="s">
        <v>227</v>
      </c>
      <c r="AL299" t="s">
        <v>219</v>
      </c>
    </row>
    <row r="300" spans="1:38" x14ac:dyDescent="0.3">
      <c r="A300">
        <v>0</v>
      </c>
      <c r="B300">
        <v>0.67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7.0000000000000007E-2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0.08</v>
      </c>
      <c r="U300">
        <v>0</v>
      </c>
      <c r="V300">
        <v>0</v>
      </c>
      <c r="W300">
        <v>0</v>
      </c>
      <c r="X300">
        <v>0.11</v>
      </c>
      <c r="Y300">
        <v>7.0000000000000007E-2</v>
      </c>
      <c r="Z300">
        <v>0</v>
      </c>
      <c r="AA300">
        <v>0</v>
      </c>
      <c r="AB300">
        <v>0</v>
      </c>
      <c r="AC300">
        <v>0</v>
      </c>
      <c r="AD300" s="1">
        <v>0.5</v>
      </c>
      <c r="AE300">
        <v>0</v>
      </c>
      <c r="AF300">
        <v>0</v>
      </c>
      <c r="AG300" s="1">
        <v>1</v>
      </c>
      <c r="AH300">
        <v>20</v>
      </c>
      <c r="AI300">
        <v>1277</v>
      </c>
      <c r="AJ300">
        <v>57</v>
      </c>
      <c r="AK300" t="s">
        <v>230</v>
      </c>
      <c r="AL300" t="s">
        <v>219</v>
      </c>
    </row>
    <row r="301" spans="1:38" x14ac:dyDescent="0.3">
      <c r="A301">
        <v>0</v>
      </c>
      <c r="B301">
        <v>0.67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7.0000000000000007E-2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0.08</v>
      </c>
      <c r="U301">
        <v>0</v>
      </c>
      <c r="V301">
        <v>0</v>
      </c>
      <c r="W301">
        <v>0</v>
      </c>
      <c r="X301">
        <v>0.11</v>
      </c>
      <c r="Y301">
        <v>7.0000000000000007E-2</v>
      </c>
      <c r="Z301">
        <v>0</v>
      </c>
      <c r="AA301">
        <v>0</v>
      </c>
      <c r="AB301">
        <v>0</v>
      </c>
      <c r="AC301">
        <v>0</v>
      </c>
      <c r="AD301" s="1">
        <v>0.5</v>
      </c>
      <c r="AE301">
        <v>0</v>
      </c>
      <c r="AF301">
        <v>0</v>
      </c>
      <c r="AG301" s="1">
        <v>1</v>
      </c>
      <c r="AH301">
        <v>50</v>
      </c>
      <c r="AI301">
        <v>1536.0000000000002</v>
      </c>
      <c r="AJ301">
        <v>57</v>
      </c>
      <c r="AK301" t="s">
        <v>230</v>
      </c>
      <c r="AL301" t="s">
        <v>219</v>
      </c>
    </row>
    <row r="302" spans="1:38" x14ac:dyDescent="0.3">
      <c r="A302">
        <v>0</v>
      </c>
      <c r="B302">
        <v>0.67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7.0000000000000007E-2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0.08</v>
      </c>
      <c r="U302">
        <v>0</v>
      </c>
      <c r="V302">
        <v>0</v>
      </c>
      <c r="W302">
        <v>0</v>
      </c>
      <c r="X302">
        <v>0.11</v>
      </c>
      <c r="Y302">
        <v>7.0000000000000007E-2</v>
      </c>
      <c r="Z302">
        <v>0</v>
      </c>
      <c r="AA302">
        <v>0</v>
      </c>
      <c r="AB302">
        <v>0</v>
      </c>
      <c r="AC302">
        <v>0</v>
      </c>
      <c r="AD302" s="1">
        <v>0.5</v>
      </c>
      <c r="AE302">
        <v>0</v>
      </c>
      <c r="AF302">
        <v>0</v>
      </c>
      <c r="AG302" s="1">
        <v>1</v>
      </c>
      <c r="AH302">
        <v>100</v>
      </c>
      <c r="AI302">
        <v>1823.9999999999998</v>
      </c>
      <c r="AJ302">
        <v>57</v>
      </c>
      <c r="AK302" t="s">
        <v>230</v>
      </c>
      <c r="AL302" t="s">
        <v>219</v>
      </c>
    </row>
    <row r="303" spans="1:38" x14ac:dyDescent="0.3">
      <c r="A303">
        <v>0</v>
      </c>
      <c r="B303">
        <v>0.67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7.0000000000000007E-2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0.08</v>
      </c>
      <c r="U303">
        <v>0</v>
      </c>
      <c r="V303">
        <v>0</v>
      </c>
      <c r="W303">
        <v>0</v>
      </c>
      <c r="X303">
        <v>0.11</v>
      </c>
      <c r="Y303">
        <v>7.0000000000000007E-2</v>
      </c>
      <c r="Z303">
        <v>0</v>
      </c>
      <c r="AA303">
        <v>0</v>
      </c>
      <c r="AB303">
        <v>0</v>
      </c>
      <c r="AC303">
        <v>0</v>
      </c>
      <c r="AD303" s="1">
        <v>0.5</v>
      </c>
      <c r="AE303">
        <v>0</v>
      </c>
      <c r="AF303">
        <v>0</v>
      </c>
      <c r="AG303" s="1">
        <v>1</v>
      </c>
      <c r="AH303">
        <v>200</v>
      </c>
      <c r="AI303">
        <v>2112</v>
      </c>
      <c r="AJ303">
        <v>57</v>
      </c>
      <c r="AK303" t="s">
        <v>230</v>
      </c>
      <c r="AL303" t="s">
        <v>219</v>
      </c>
    </row>
    <row r="304" spans="1:38" x14ac:dyDescent="0.3">
      <c r="A304">
        <v>0</v>
      </c>
      <c r="B304">
        <v>0.72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0.09</v>
      </c>
      <c r="U304">
        <v>0</v>
      </c>
      <c r="V304">
        <v>0</v>
      </c>
      <c r="W304">
        <v>0</v>
      </c>
      <c r="X304">
        <v>0.12</v>
      </c>
      <c r="Y304">
        <v>7.0000000000000007E-2</v>
      </c>
      <c r="Z304">
        <v>0</v>
      </c>
      <c r="AA304">
        <v>0</v>
      </c>
      <c r="AB304">
        <v>0</v>
      </c>
      <c r="AC304">
        <v>0</v>
      </c>
      <c r="AD304" s="1">
        <v>0.5</v>
      </c>
      <c r="AE304">
        <v>0</v>
      </c>
      <c r="AF304">
        <v>0</v>
      </c>
      <c r="AG304" s="1">
        <v>1</v>
      </c>
      <c r="AH304">
        <v>20</v>
      </c>
      <c r="AI304">
        <v>451</v>
      </c>
      <c r="AJ304">
        <v>57</v>
      </c>
      <c r="AK304" t="s">
        <v>230</v>
      </c>
      <c r="AL304" t="s">
        <v>219</v>
      </c>
    </row>
    <row r="305" spans="1:38" x14ac:dyDescent="0.3">
      <c r="A305">
        <v>0</v>
      </c>
      <c r="B305">
        <v>0.73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7.0000000000000007E-2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0.12</v>
      </c>
      <c r="Y305">
        <v>0.08</v>
      </c>
      <c r="Z305">
        <v>0</v>
      </c>
      <c r="AA305">
        <v>0</v>
      </c>
      <c r="AB305">
        <v>0</v>
      </c>
      <c r="AC305">
        <v>0</v>
      </c>
      <c r="AD305" s="1">
        <v>0.5</v>
      </c>
      <c r="AE305">
        <v>0</v>
      </c>
      <c r="AF305">
        <v>0</v>
      </c>
      <c r="AG305" s="1">
        <v>1</v>
      </c>
      <c r="AH305">
        <v>20</v>
      </c>
      <c r="AI305">
        <v>587</v>
      </c>
      <c r="AJ305">
        <v>57</v>
      </c>
      <c r="AK305" t="s">
        <v>230</v>
      </c>
      <c r="AL305" t="s">
        <v>219</v>
      </c>
    </row>
    <row r="306" spans="1:38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0.46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0.26</v>
      </c>
      <c r="W306">
        <v>0</v>
      </c>
      <c r="X306">
        <v>0.28000000000000003</v>
      </c>
      <c r="Y306">
        <v>0</v>
      </c>
      <c r="Z306">
        <v>0</v>
      </c>
      <c r="AA306">
        <v>0</v>
      </c>
      <c r="AB306">
        <v>0</v>
      </c>
      <c r="AC306">
        <v>0</v>
      </c>
      <c r="AD306" s="1">
        <v>0</v>
      </c>
      <c r="AE306">
        <v>0</v>
      </c>
      <c r="AF306">
        <v>0.1</v>
      </c>
      <c r="AG306" s="1">
        <v>0.1</v>
      </c>
      <c r="AH306">
        <v>50</v>
      </c>
      <c r="AI306">
        <v>120</v>
      </c>
      <c r="AJ306">
        <v>49</v>
      </c>
      <c r="AK306" t="s">
        <v>236</v>
      </c>
      <c r="AL306" t="s">
        <v>219</v>
      </c>
    </row>
    <row r="307" spans="1:38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0.46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0.37</v>
      </c>
      <c r="W307">
        <v>0</v>
      </c>
      <c r="X307">
        <v>0.17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0</v>
      </c>
      <c r="AE307">
        <v>0</v>
      </c>
      <c r="AF307">
        <v>0.1</v>
      </c>
      <c r="AG307" s="1">
        <v>0.1</v>
      </c>
      <c r="AH307">
        <v>50</v>
      </c>
      <c r="AI307">
        <v>250</v>
      </c>
      <c r="AJ307">
        <v>49</v>
      </c>
      <c r="AK307" t="s">
        <v>236</v>
      </c>
      <c r="AL307" t="s">
        <v>219</v>
      </c>
    </row>
    <row r="308" spans="1:38" x14ac:dyDescent="0.3">
      <c r="A308">
        <v>0</v>
      </c>
      <c r="B308">
        <v>0</v>
      </c>
      <c r="C308">
        <v>0</v>
      </c>
      <c r="D308">
        <v>0</v>
      </c>
      <c r="E308">
        <v>0.79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0.06</v>
      </c>
      <c r="U308">
        <v>0</v>
      </c>
      <c r="V308">
        <v>0</v>
      </c>
      <c r="W308">
        <v>0</v>
      </c>
      <c r="X308">
        <v>0.15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0.5</v>
      </c>
      <c r="AE308">
        <v>0</v>
      </c>
      <c r="AF308">
        <v>0</v>
      </c>
      <c r="AG308" s="1">
        <v>1</v>
      </c>
      <c r="AH308">
        <v>100</v>
      </c>
      <c r="AI308">
        <f>60*10000/(4.97*195)*0.07</f>
        <v>43.336944745395456</v>
      </c>
      <c r="AJ308" t="s">
        <v>258</v>
      </c>
      <c r="AK308" t="s">
        <v>267</v>
      </c>
      <c r="AL308" t="s">
        <v>184</v>
      </c>
    </row>
    <row r="309" spans="1:38" x14ac:dyDescent="0.3">
      <c r="A309">
        <v>0</v>
      </c>
      <c r="B309">
        <v>0</v>
      </c>
      <c r="C309">
        <v>0</v>
      </c>
      <c r="D309">
        <v>0</v>
      </c>
      <c r="E309">
        <v>0.82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0.03</v>
      </c>
      <c r="U309">
        <v>0</v>
      </c>
      <c r="V309">
        <v>0</v>
      </c>
      <c r="W309">
        <v>0</v>
      </c>
      <c r="X309">
        <v>0.15</v>
      </c>
      <c r="Y309">
        <v>0</v>
      </c>
      <c r="Z309">
        <v>0</v>
      </c>
      <c r="AA309">
        <v>0</v>
      </c>
      <c r="AB309">
        <v>0</v>
      </c>
      <c r="AC309">
        <v>0</v>
      </c>
      <c r="AD309" s="1">
        <v>0.5</v>
      </c>
      <c r="AE309">
        <v>0</v>
      </c>
      <c r="AF309">
        <v>0</v>
      </c>
      <c r="AG309" s="1">
        <v>1</v>
      </c>
      <c r="AH309">
        <v>100</v>
      </c>
      <c r="AI309">
        <f>86*10000/(2.49*195)*0.07</f>
        <v>123.98311193491915</v>
      </c>
      <c r="AJ309" t="s">
        <v>258</v>
      </c>
      <c r="AK309" t="s">
        <v>267</v>
      </c>
      <c r="AL309" t="s">
        <v>184</v>
      </c>
    </row>
    <row r="310" spans="1:38" x14ac:dyDescent="0.3">
      <c r="A310">
        <v>0</v>
      </c>
      <c r="B310">
        <v>0</v>
      </c>
      <c r="C310">
        <v>0</v>
      </c>
      <c r="D310">
        <v>0</v>
      </c>
      <c r="E310">
        <v>0.87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0.13</v>
      </c>
      <c r="Y310">
        <v>0</v>
      </c>
      <c r="Z310">
        <v>0</v>
      </c>
      <c r="AA310">
        <v>0</v>
      </c>
      <c r="AB310">
        <v>0</v>
      </c>
      <c r="AC310">
        <v>0</v>
      </c>
      <c r="AD310" s="1">
        <v>0.5</v>
      </c>
      <c r="AE310">
        <v>0</v>
      </c>
      <c r="AF310">
        <v>0</v>
      </c>
      <c r="AG310" s="1">
        <v>1</v>
      </c>
      <c r="AH310">
        <v>100</v>
      </c>
      <c r="AI310">
        <f>76*10000/(4.97*195)*0.07</f>
        <v>54.893463344167579</v>
      </c>
      <c r="AJ310" t="s">
        <v>258</v>
      </c>
      <c r="AK310" t="s">
        <v>267</v>
      </c>
      <c r="AL310" t="s">
        <v>184</v>
      </c>
    </row>
    <row r="311" spans="1:38" x14ac:dyDescent="0.3">
      <c r="A311">
        <v>0</v>
      </c>
      <c r="B311">
        <v>0</v>
      </c>
      <c r="C311">
        <v>0</v>
      </c>
      <c r="D311">
        <v>0</v>
      </c>
      <c r="E311">
        <v>0.53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0.2</v>
      </c>
      <c r="Y311">
        <v>0.1</v>
      </c>
      <c r="Z311">
        <v>0.17</v>
      </c>
      <c r="AA311">
        <v>0</v>
      </c>
      <c r="AB311">
        <v>0</v>
      </c>
      <c r="AC311">
        <v>0</v>
      </c>
      <c r="AD311" s="1">
        <v>0.5</v>
      </c>
      <c r="AE311">
        <v>0</v>
      </c>
      <c r="AF311">
        <v>0</v>
      </c>
      <c r="AG311" s="1">
        <v>1</v>
      </c>
      <c r="AH311">
        <v>20</v>
      </c>
      <c r="AI311">
        <v>1630</v>
      </c>
      <c r="AJ311" t="s">
        <v>268</v>
      </c>
      <c r="AK311" t="s">
        <v>275</v>
      </c>
      <c r="AL311" t="s">
        <v>184</v>
      </c>
    </row>
    <row r="312" spans="1:38" x14ac:dyDescent="0.3">
      <c r="A312">
        <v>0</v>
      </c>
      <c r="B312">
        <v>0</v>
      </c>
      <c r="C312">
        <v>0</v>
      </c>
      <c r="D312">
        <v>0</v>
      </c>
      <c r="E312">
        <v>0.59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0.22</v>
      </c>
      <c r="Y312">
        <v>0</v>
      </c>
      <c r="Z312">
        <v>0.19</v>
      </c>
      <c r="AA312">
        <v>0</v>
      </c>
      <c r="AB312">
        <v>0</v>
      </c>
      <c r="AC312">
        <v>0</v>
      </c>
      <c r="AD312" s="1">
        <v>0.5</v>
      </c>
      <c r="AE312">
        <v>0</v>
      </c>
      <c r="AF312">
        <v>0</v>
      </c>
      <c r="AG312" s="1">
        <v>1</v>
      </c>
      <c r="AH312">
        <v>20</v>
      </c>
      <c r="AI312">
        <v>1259</v>
      </c>
      <c r="AJ312" t="s">
        <v>268</v>
      </c>
      <c r="AK312" t="s">
        <v>275</v>
      </c>
      <c r="AL312" t="s">
        <v>184</v>
      </c>
    </row>
    <row r="313" spans="1:38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0.87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0.09</v>
      </c>
      <c r="Y313">
        <v>0.04</v>
      </c>
      <c r="Z313">
        <v>0</v>
      </c>
      <c r="AA313">
        <v>0</v>
      </c>
      <c r="AB313">
        <v>0</v>
      </c>
      <c r="AC313">
        <v>0</v>
      </c>
      <c r="AD313" s="1">
        <v>0.5</v>
      </c>
      <c r="AE313">
        <v>0</v>
      </c>
      <c r="AF313">
        <v>0</v>
      </c>
      <c r="AG313" s="1">
        <v>0.5</v>
      </c>
      <c r="AH313">
        <v>20</v>
      </c>
      <c r="AI313">
        <v>120</v>
      </c>
      <c r="AJ313" t="s">
        <v>276</v>
      </c>
      <c r="AK313" t="s">
        <v>277</v>
      </c>
      <c r="AL313" t="s">
        <v>184</v>
      </c>
    </row>
    <row r="314" spans="1:38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0.84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0.06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7.0000000000000007E-2</v>
      </c>
      <c r="Y314">
        <v>0.03</v>
      </c>
      <c r="Z314">
        <v>0</v>
      </c>
      <c r="AA314">
        <v>0</v>
      </c>
      <c r="AB314">
        <v>0</v>
      </c>
      <c r="AC314">
        <v>0</v>
      </c>
      <c r="AD314" s="1">
        <v>0.5</v>
      </c>
      <c r="AE314">
        <v>0</v>
      </c>
      <c r="AF314">
        <v>0</v>
      </c>
      <c r="AG314" s="1">
        <v>0.5</v>
      </c>
      <c r="AH314">
        <v>20</v>
      </c>
      <c r="AI314">
        <v>62.333333333333336</v>
      </c>
      <c r="AJ314" t="s">
        <v>276</v>
      </c>
      <c r="AK314" t="s">
        <v>277</v>
      </c>
      <c r="AL314" t="s">
        <v>184</v>
      </c>
    </row>
    <row r="315" spans="1:38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0.63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0.22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0.11</v>
      </c>
      <c r="Y315">
        <v>0.04</v>
      </c>
      <c r="Z315">
        <v>0</v>
      </c>
      <c r="AA315">
        <v>0</v>
      </c>
      <c r="AB315">
        <v>0</v>
      </c>
      <c r="AC315">
        <v>0</v>
      </c>
      <c r="AD315" s="1">
        <v>0.5</v>
      </c>
      <c r="AE315">
        <v>0</v>
      </c>
      <c r="AF315">
        <v>0</v>
      </c>
      <c r="AG315" s="1">
        <v>0.5</v>
      </c>
      <c r="AH315">
        <v>20</v>
      </c>
      <c r="AI315">
        <v>70.666666666666657</v>
      </c>
      <c r="AJ315" t="s">
        <v>276</v>
      </c>
      <c r="AK315" t="s">
        <v>277</v>
      </c>
      <c r="AL315" t="s">
        <v>184</v>
      </c>
    </row>
    <row r="316" spans="1:38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0.56999999999999995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0.28000000000000003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0.11</v>
      </c>
      <c r="Y316">
        <v>0.04</v>
      </c>
      <c r="Z316">
        <v>0</v>
      </c>
      <c r="AA316">
        <v>0</v>
      </c>
      <c r="AB316">
        <v>0</v>
      </c>
      <c r="AC316">
        <v>0</v>
      </c>
      <c r="AD316" s="1">
        <v>0.5</v>
      </c>
      <c r="AE316">
        <v>0</v>
      </c>
      <c r="AF316">
        <v>0</v>
      </c>
      <c r="AG316" s="1">
        <v>0.5</v>
      </c>
      <c r="AH316">
        <v>20</v>
      </c>
      <c r="AI316">
        <v>100.66666666666667</v>
      </c>
      <c r="AJ316" t="s">
        <v>276</v>
      </c>
      <c r="AK316" t="s">
        <v>277</v>
      </c>
      <c r="AL316" t="s">
        <v>184</v>
      </c>
    </row>
    <row r="317" spans="1:3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0.54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0.09</v>
      </c>
      <c r="Y317">
        <v>0.03</v>
      </c>
      <c r="Z317">
        <v>0</v>
      </c>
      <c r="AA317">
        <v>0</v>
      </c>
      <c r="AB317">
        <v>0</v>
      </c>
      <c r="AC317">
        <v>0</v>
      </c>
      <c r="AD317" s="1">
        <v>0.5</v>
      </c>
      <c r="AE317">
        <v>0</v>
      </c>
      <c r="AF317">
        <v>0</v>
      </c>
      <c r="AG317" s="1">
        <v>0.5</v>
      </c>
      <c r="AH317">
        <v>20</v>
      </c>
      <c r="AI317">
        <v>112.66666666666667</v>
      </c>
      <c r="AJ317" t="s">
        <v>276</v>
      </c>
      <c r="AK317" t="s">
        <v>277</v>
      </c>
      <c r="AL317" t="s">
        <v>184</v>
      </c>
    </row>
    <row r="318" spans="1:38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0.46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0.1</v>
      </c>
      <c r="Y318">
        <v>0.04</v>
      </c>
      <c r="Z318">
        <v>0</v>
      </c>
      <c r="AA318">
        <v>0</v>
      </c>
      <c r="AB318">
        <v>0</v>
      </c>
      <c r="AC318">
        <v>0</v>
      </c>
      <c r="AD318" s="1">
        <v>0.5</v>
      </c>
      <c r="AE318">
        <v>0</v>
      </c>
      <c r="AF318">
        <v>0</v>
      </c>
      <c r="AG318" s="1">
        <v>0.5</v>
      </c>
      <c r="AH318">
        <v>20</v>
      </c>
      <c r="AI318">
        <v>90.666666666666671</v>
      </c>
      <c r="AJ318" t="s">
        <v>276</v>
      </c>
      <c r="AK318" t="s">
        <v>277</v>
      </c>
      <c r="AL318" t="s">
        <v>184</v>
      </c>
    </row>
    <row r="319" spans="1:38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0.32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0.52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0.12</v>
      </c>
      <c r="Y319">
        <v>0.04</v>
      </c>
      <c r="Z319">
        <v>0</v>
      </c>
      <c r="AA319">
        <v>0</v>
      </c>
      <c r="AB319">
        <v>0</v>
      </c>
      <c r="AC319">
        <v>0</v>
      </c>
      <c r="AD319" s="1">
        <v>0.5</v>
      </c>
      <c r="AE319">
        <v>0</v>
      </c>
      <c r="AF319">
        <v>0</v>
      </c>
      <c r="AG319" s="1">
        <v>0.5</v>
      </c>
      <c r="AH319">
        <v>20</v>
      </c>
      <c r="AI319">
        <v>67</v>
      </c>
      <c r="AJ319" t="s">
        <v>276</v>
      </c>
      <c r="AK319" t="s">
        <v>277</v>
      </c>
      <c r="AL319" t="s">
        <v>184</v>
      </c>
    </row>
    <row r="320" spans="1:38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0.05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0.15</v>
      </c>
      <c r="Y320">
        <v>0</v>
      </c>
      <c r="Z320">
        <v>0</v>
      </c>
      <c r="AA320">
        <v>0</v>
      </c>
      <c r="AB320">
        <v>0</v>
      </c>
      <c r="AC320">
        <v>0</v>
      </c>
      <c r="AD320" s="1">
        <v>0.5</v>
      </c>
      <c r="AE320">
        <v>0</v>
      </c>
      <c r="AF320">
        <v>0</v>
      </c>
      <c r="AG320" s="1">
        <v>0.5</v>
      </c>
      <c r="AH320">
        <v>50</v>
      </c>
      <c r="AI320">
        <v>828</v>
      </c>
      <c r="AJ320" t="s">
        <v>278</v>
      </c>
      <c r="AK320" t="s">
        <v>281</v>
      </c>
      <c r="AL320" t="s">
        <v>184</v>
      </c>
    </row>
    <row r="321" spans="1:38" x14ac:dyDescent="0.3">
      <c r="A321">
        <v>0</v>
      </c>
      <c r="B321">
        <v>0</v>
      </c>
      <c r="C321">
        <v>0</v>
      </c>
      <c r="D321">
        <v>0</v>
      </c>
      <c r="E321">
        <v>0.8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0.05</v>
      </c>
      <c r="V321">
        <v>0</v>
      </c>
      <c r="W321">
        <v>0</v>
      </c>
      <c r="X321">
        <v>0.15</v>
      </c>
      <c r="Y321">
        <v>0</v>
      </c>
      <c r="Z321">
        <v>0</v>
      </c>
      <c r="AA321">
        <v>0</v>
      </c>
      <c r="AB321">
        <v>0</v>
      </c>
      <c r="AC321">
        <v>0</v>
      </c>
      <c r="AD321" s="1">
        <v>0</v>
      </c>
      <c r="AE321">
        <v>0.1</v>
      </c>
      <c r="AF321">
        <v>0</v>
      </c>
      <c r="AG321" s="1">
        <v>0.5</v>
      </c>
      <c r="AH321">
        <v>100</v>
      </c>
      <c r="AI321">
        <v>658</v>
      </c>
      <c r="AJ321" t="s">
        <v>282</v>
      </c>
      <c r="AK321" t="s">
        <v>285</v>
      </c>
      <c r="AL321" t="s">
        <v>184</v>
      </c>
    </row>
    <row r="322" spans="1:38" x14ac:dyDescent="0.3">
      <c r="A322">
        <v>0</v>
      </c>
      <c r="B322">
        <v>0</v>
      </c>
      <c r="C322">
        <v>0</v>
      </c>
      <c r="D322">
        <v>0</v>
      </c>
      <c r="E322">
        <v>0.8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7.0000000000000007E-2</v>
      </c>
      <c r="V322">
        <v>0</v>
      </c>
      <c r="W322">
        <v>0</v>
      </c>
      <c r="X322">
        <v>0.13</v>
      </c>
      <c r="Y322">
        <v>0</v>
      </c>
      <c r="Z322">
        <v>0</v>
      </c>
      <c r="AA322">
        <v>0</v>
      </c>
      <c r="AB322">
        <v>0</v>
      </c>
      <c r="AC322">
        <v>0</v>
      </c>
      <c r="AD322" s="1">
        <v>0</v>
      </c>
      <c r="AE322">
        <v>0.1</v>
      </c>
      <c r="AF322">
        <v>0</v>
      </c>
      <c r="AG322" s="1">
        <v>0.5</v>
      </c>
      <c r="AH322">
        <v>100</v>
      </c>
      <c r="AI322">
        <v>933</v>
      </c>
      <c r="AJ322" t="s">
        <v>282</v>
      </c>
      <c r="AK322" t="s">
        <v>285</v>
      </c>
      <c r="AL322" t="s">
        <v>184</v>
      </c>
    </row>
    <row r="323" spans="1:38" x14ac:dyDescent="0.3">
      <c r="A323">
        <v>0</v>
      </c>
      <c r="B323">
        <v>0</v>
      </c>
      <c r="C323">
        <v>0</v>
      </c>
      <c r="D323">
        <v>0</v>
      </c>
      <c r="E323">
        <v>0.8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0.1</v>
      </c>
      <c r="V323">
        <v>0</v>
      </c>
      <c r="W323">
        <v>0</v>
      </c>
      <c r="X323">
        <v>0.1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0</v>
      </c>
      <c r="AE323">
        <v>0.1</v>
      </c>
      <c r="AF323">
        <v>0</v>
      </c>
      <c r="AG323" s="1">
        <v>0.5</v>
      </c>
      <c r="AH323">
        <v>100</v>
      </c>
      <c r="AI323">
        <v>1091</v>
      </c>
      <c r="AJ323" t="s">
        <v>282</v>
      </c>
      <c r="AK323" t="s">
        <v>285</v>
      </c>
      <c r="AL323" t="s">
        <v>184</v>
      </c>
    </row>
    <row r="324" spans="1:38" x14ac:dyDescent="0.3">
      <c r="A324">
        <v>0</v>
      </c>
      <c r="B324">
        <v>0</v>
      </c>
      <c r="C324">
        <v>0</v>
      </c>
      <c r="D324">
        <v>0</v>
      </c>
      <c r="E324">
        <v>0.8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0.2</v>
      </c>
      <c r="Y324">
        <v>0</v>
      </c>
      <c r="Z324">
        <v>0</v>
      </c>
      <c r="AA324">
        <v>0</v>
      </c>
      <c r="AB324">
        <v>0</v>
      </c>
      <c r="AC324">
        <v>0</v>
      </c>
      <c r="AD324" s="1">
        <v>0</v>
      </c>
      <c r="AE324">
        <v>0.1</v>
      </c>
      <c r="AF324">
        <v>0</v>
      </c>
      <c r="AG324" s="1">
        <v>0.5</v>
      </c>
      <c r="AH324">
        <v>100</v>
      </c>
      <c r="AI324">
        <v>435</v>
      </c>
      <c r="AJ324" t="s">
        <v>282</v>
      </c>
      <c r="AK324" t="s">
        <v>285</v>
      </c>
      <c r="AL324" t="s">
        <v>184</v>
      </c>
    </row>
    <row r="325" spans="1:38" x14ac:dyDescent="0.3">
      <c r="A325">
        <v>0</v>
      </c>
      <c r="B325">
        <v>0.22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0.27</v>
      </c>
      <c r="X325">
        <v>0.51</v>
      </c>
      <c r="Y325">
        <v>0</v>
      </c>
      <c r="Z325">
        <v>0</v>
      </c>
      <c r="AA325">
        <v>0</v>
      </c>
      <c r="AB325">
        <v>0</v>
      </c>
      <c r="AC325">
        <v>0</v>
      </c>
      <c r="AD325" s="1">
        <v>0.1</v>
      </c>
      <c r="AE325">
        <v>0</v>
      </c>
      <c r="AF325">
        <v>0</v>
      </c>
      <c r="AG325" s="1">
        <v>0.5</v>
      </c>
      <c r="AH325">
        <v>50</v>
      </c>
      <c r="AI325">
        <v>404</v>
      </c>
      <c r="AJ325" t="s">
        <v>286</v>
      </c>
      <c r="AK325" t="s">
        <v>289</v>
      </c>
      <c r="AL325" t="s">
        <v>184</v>
      </c>
    </row>
    <row r="326" spans="1:38" x14ac:dyDescent="0.3">
      <c r="A326">
        <v>0</v>
      </c>
      <c r="B326">
        <v>0.22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0.61</v>
      </c>
      <c r="X326">
        <v>0.17</v>
      </c>
      <c r="Y326">
        <v>0</v>
      </c>
      <c r="Z326">
        <v>0</v>
      </c>
      <c r="AA326">
        <v>0</v>
      </c>
      <c r="AB326">
        <v>0</v>
      </c>
      <c r="AC326">
        <v>0</v>
      </c>
      <c r="AD326" s="1">
        <v>0.1</v>
      </c>
      <c r="AE326">
        <v>0</v>
      </c>
      <c r="AF326">
        <v>0</v>
      </c>
      <c r="AG326" s="1">
        <v>0.5</v>
      </c>
      <c r="AH326">
        <v>50</v>
      </c>
      <c r="AI326">
        <v>289</v>
      </c>
      <c r="AJ326" t="s">
        <v>286</v>
      </c>
      <c r="AK326" t="s">
        <v>289</v>
      </c>
      <c r="AL326" t="s">
        <v>184</v>
      </c>
    </row>
    <row r="327" spans="1:38" x14ac:dyDescent="0.3">
      <c r="A327">
        <v>0</v>
      </c>
      <c r="B327">
        <v>0.22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0.4</v>
      </c>
      <c r="X327">
        <v>0.38</v>
      </c>
      <c r="Y327">
        <v>0</v>
      </c>
      <c r="Z327">
        <v>0</v>
      </c>
      <c r="AA327">
        <v>0</v>
      </c>
      <c r="AB327">
        <v>0</v>
      </c>
      <c r="AC327">
        <v>0</v>
      </c>
      <c r="AD327" s="1">
        <v>0.1</v>
      </c>
      <c r="AE327">
        <v>0</v>
      </c>
      <c r="AF327">
        <v>0</v>
      </c>
      <c r="AG327" s="1">
        <v>0.5</v>
      </c>
      <c r="AH327">
        <v>50</v>
      </c>
      <c r="AI327">
        <v>185</v>
      </c>
      <c r="AJ327" t="s">
        <v>286</v>
      </c>
      <c r="AK327" t="s">
        <v>289</v>
      </c>
      <c r="AL327" t="s">
        <v>184</v>
      </c>
    </row>
    <row r="328" spans="1:38" x14ac:dyDescent="0.3">
      <c r="A328">
        <v>0</v>
      </c>
      <c r="B328">
        <v>0</v>
      </c>
      <c r="C328">
        <v>0</v>
      </c>
      <c r="D328">
        <v>0</v>
      </c>
      <c r="E328">
        <v>0.91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0.02</v>
      </c>
      <c r="W328">
        <v>0</v>
      </c>
      <c r="X328">
        <v>7.0000000000000007E-2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0.5</v>
      </c>
      <c r="AE328">
        <v>0</v>
      </c>
      <c r="AF328">
        <v>0</v>
      </c>
      <c r="AG328" s="1">
        <v>1</v>
      </c>
      <c r="AH328">
        <v>50</v>
      </c>
      <c r="AI328">
        <v>390</v>
      </c>
      <c r="AJ328" t="s">
        <v>290</v>
      </c>
      <c r="AK328" s="7" t="s">
        <v>291</v>
      </c>
      <c r="AL328" t="s">
        <v>184</v>
      </c>
    </row>
    <row r="329" spans="1:38" x14ac:dyDescent="0.3">
      <c r="A329">
        <v>0</v>
      </c>
      <c r="B329">
        <v>0</v>
      </c>
      <c r="C329">
        <v>0</v>
      </c>
      <c r="D329">
        <v>0</v>
      </c>
      <c r="E329">
        <v>0.94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0.03</v>
      </c>
      <c r="W329">
        <v>0</v>
      </c>
      <c r="X329">
        <v>0.03</v>
      </c>
      <c r="Y329">
        <v>0</v>
      </c>
      <c r="Z329">
        <v>0</v>
      </c>
      <c r="AA329">
        <v>0</v>
      </c>
      <c r="AB329">
        <v>0</v>
      </c>
      <c r="AC329">
        <v>0</v>
      </c>
      <c r="AD329" s="1">
        <v>0.5</v>
      </c>
      <c r="AE329">
        <v>0</v>
      </c>
      <c r="AF329">
        <v>0</v>
      </c>
      <c r="AG329" s="1">
        <v>1</v>
      </c>
      <c r="AH329">
        <v>50</v>
      </c>
      <c r="AI329">
        <v>274</v>
      </c>
      <c r="AJ329" t="s">
        <v>290</v>
      </c>
      <c r="AK329" s="7" t="s">
        <v>291</v>
      </c>
      <c r="AL329" t="s">
        <v>184</v>
      </c>
    </row>
    <row r="330" spans="1:38" x14ac:dyDescent="0.3">
      <c r="A330">
        <v>0</v>
      </c>
      <c r="B330">
        <v>0.35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0.09</v>
      </c>
      <c r="X330">
        <v>0.56000000000000005</v>
      </c>
      <c r="Y330">
        <v>0</v>
      </c>
      <c r="Z330">
        <v>0</v>
      </c>
      <c r="AA330">
        <v>0</v>
      </c>
      <c r="AB330">
        <v>0</v>
      </c>
      <c r="AC330">
        <v>0</v>
      </c>
      <c r="AD330" s="1">
        <v>0</v>
      </c>
      <c r="AE330">
        <v>0</v>
      </c>
      <c r="AF330">
        <v>1</v>
      </c>
      <c r="AG330" s="1">
        <v>0.5</v>
      </c>
      <c r="AH330">
        <v>100</v>
      </c>
      <c r="AI330">
        <v>6.9</v>
      </c>
      <c r="AJ330" t="s">
        <v>293</v>
      </c>
      <c r="AK330" t="s">
        <v>294</v>
      </c>
      <c r="AL330" t="s">
        <v>184</v>
      </c>
    </row>
    <row r="331" spans="1:38" x14ac:dyDescent="0.3">
      <c r="A331">
        <v>0</v>
      </c>
      <c r="B331">
        <v>0.38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0.12</v>
      </c>
      <c r="X331">
        <v>0.5</v>
      </c>
      <c r="Y331">
        <v>0</v>
      </c>
      <c r="Z331">
        <v>0</v>
      </c>
      <c r="AA331">
        <v>0</v>
      </c>
      <c r="AB331">
        <v>0</v>
      </c>
      <c r="AC331">
        <v>0</v>
      </c>
      <c r="AD331" s="1">
        <v>0</v>
      </c>
      <c r="AE331">
        <v>0</v>
      </c>
      <c r="AF331">
        <v>1</v>
      </c>
      <c r="AG331" s="1">
        <v>0.5</v>
      </c>
      <c r="AH331">
        <v>100</v>
      </c>
      <c r="AI331">
        <v>8.4</v>
      </c>
      <c r="AJ331" t="s">
        <v>293</v>
      </c>
      <c r="AK331" t="s">
        <v>295</v>
      </c>
      <c r="AL331" t="s">
        <v>184</v>
      </c>
    </row>
    <row r="332" spans="1:38" x14ac:dyDescent="0.3">
      <c r="A332">
        <v>0</v>
      </c>
      <c r="B332">
        <v>0.31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0.22</v>
      </c>
      <c r="X332">
        <v>0.47</v>
      </c>
      <c r="Y332">
        <v>0</v>
      </c>
      <c r="Z332">
        <v>0</v>
      </c>
      <c r="AA332">
        <v>0</v>
      </c>
      <c r="AB332">
        <v>0</v>
      </c>
      <c r="AC332">
        <v>0</v>
      </c>
      <c r="AD332" s="1">
        <v>0</v>
      </c>
      <c r="AE332">
        <v>0</v>
      </c>
      <c r="AF332">
        <v>1</v>
      </c>
      <c r="AG332" s="1">
        <v>0.5</v>
      </c>
      <c r="AH332">
        <v>100</v>
      </c>
      <c r="AI332">
        <v>10.3</v>
      </c>
      <c r="AJ332" t="s">
        <v>293</v>
      </c>
      <c r="AK332" t="s">
        <v>296</v>
      </c>
      <c r="AL332" t="s">
        <v>184</v>
      </c>
    </row>
    <row r="333" spans="1:38" x14ac:dyDescent="0.3">
      <c r="A333">
        <v>0</v>
      </c>
      <c r="B333">
        <v>0.33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0.28999999999999998</v>
      </c>
      <c r="X333">
        <v>0.38</v>
      </c>
      <c r="Y333">
        <v>0</v>
      </c>
      <c r="Z333">
        <v>0</v>
      </c>
      <c r="AA333">
        <v>0</v>
      </c>
      <c r="AB333">
        <v>0</v>
      </c>
      <c r="AC333">
        <v>0</v>
      </c>
      <c r="AD333" s="1">
        <v>0</v>
      </c>
      <c r="AE333">
        <v>0</v>
      </c>
      <c r="AF333">
        <v>1</v>
      </c>
      <c r="AG333" s="1">
        <v>0.5</v>
      </c>
      <c r="AH333">
        <v>100</v>
      </c>
      <c r="AI333">
        <v>14.7</v>
      </c>
      <c r="AJ333" t="s">
        <v>293</v>
      </c>
      <c r="AK333" t="s">
        <v>297</v>
      </c>
      <c r="AL333" t="s">
        <v>184</v>
      </c>
    </row>
    <row r="334" spans="1:38" x14ac:dyDescent="0.3">
      <c r="A334">
        <v>0</v>
      </c>
      <c r="B334">
        <v>0.33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0.36</v>
      </c>
      <c r="X334">
        <v>0.31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0</v>
      </c>
      <c r="AE334">
        <v>0</v>
      </c>
      <c r="AF334">
        <v>1</v>
      </c>
      <c r="AG334" s="1">
        <v>0.5</v>
      </c>
      <c r="AH334">
        <v>100</v>
      </c>
      <c r="AI334">
        <v>20.399999999999999</v>
      </c>
      <c r="AJ334" t="s">
        <v>293</v>
      </c>
      <c r="AK334" t="s">
        <v>298</v>
      </c>
      <c r="AL334" t="s">
        <v>184</v>
      </c>
    </row>
    <row r="335" spans="1:38" x14ac:dyDescent="0.3">
      <c r="A335">
        <v>0</v>
      </c>
      <c r="B335">
        <v>0.34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0.43</v>
      </c>
      <c r="X335">
        <v>0.23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0</v>
      </c>
      <c r="AE335">
        <v>0</v>
      </c>
      <c r="AF335">
        <v>1</v>
      </c>
      <c r="AG335" s="1">
        <v>0.5</v>
      </c>
      <c r="AH335">
        <v>100</v>
      </c>
      <c r="AI335">
        <v>22.8</v>
      </c>
      <c r="AJ335" t="s">
        <v>293</v>
      </c>
      <c r="AK335" t="s">
        <v>299</v>
      </c>
      <c r="AL335" t="s">
        <v>184</v>
      </c>
    </row>
    <row r="336" spans="1:38" x14ac:dyDescent="0.3">
      <c r="A336">
        <v>0</v>
      </c>
      <c r="B336">
        <v>0.31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0.48</v>
      </c>
      <c r="X336">
        <v>0.21</v>
      </c>
      <c r="Y336">
        <v>0</v>
      </c>
      <c r="Z336">
        <v>0</v>
      </c>
      <c r="AA336">
        <v>0</v>
      </c>
      <c r="AB336">
        <v>0</v>
      </c>
      <c r="AC336">
        <v>0</v>
      </c>
      <c r="AD336" s="1">
        <v>0</v>
      </c>
      <c r="AE336">
        <v>0</v>
      </c>
      <c r="AF336">
        <v>1</v>
      </c>
      <c r="AG336" s="1">
        <v>0.5</v>
      </c>
      <c r="AH336">
        <v>100</v>
      </c>
      <c r="AI336">
        <v>23.4</v>
      </c>
      <c r="AJ336" t="s">
        <v>293</v>
      </c>
      <c r="AK336" t="s">
        <v>300</v>
      </c>
      <c r="AL336" t="s">
        <v>184</v>
      </c>
    </row>
    <row r="337" spans="1:38" x14ac:dyDescent="0.3">
      <c r="A337">
        <v>0</v>
      </c>
      <c r="B337">
        <v>0.8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0.05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0.15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1</v>
      </c>
      <c r="AE337">
        <v>0</v>
      </c>
      <c r="AF337">
        <v>0</v>
      </c>
      <c r="AG337" s="1">
        <v>2</v>
      </c>
      <c r="AH337">
        <v>10</v>
      </c>
      <c r="AI337">
        <v>2661.751794871795</v>
      </c>
      <c r="AJ337" t="s">
        <v>301</v>
      </c>
      <c r="AK337" t="s">
        <v>304</v>
      </c>
      <c r="AL337" t="s">
        <v>184</v>
      </c>
    </row>
    <row r="338" spans="1:38" x14ac:dyDescent="0.3">
      <c r="A338">
        <v>0</v>
      </c>
      <c r="B338">
        <v>0.8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0.05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0.15</v>
      </c>
      <c r="Y338">
        <v>0</v>
      </c>
      <c r="Z338">
        <v>0</v>
      </c>
      <c r="AA338">
        <v>0</v>
      </c>
      <c r="AB338">
        <v>0</v>
      </c>
      <c r="AC338">
        <v>0</v>
      </c>
      <c r="AD338" s="1">
        <v>1</v>
      </c>
      <c r="AE338">
        <v>0</v>
      </c>
      <c r="AF338">
        <v>0</v>
      </c>
      <c r="AG338" s="1">
        <v>2</v>
      </c>
      <c r="AH338">
        <v>20</v>
      </c>
      <c r="AI338">
        <v>3092.6358974358977</v>
      </c>
      <c r="AJ338" t="s">
        <v>301</v>
      </c>
      <c r="AK338" t="s">
        <v>304</v>
      </c>
      <c r="AL338" t="s">
        <v>184</v>
      </c>
    </row>
    <row r="339" spans="1:38" x14ac:dyDescent="0.3">
      <c r="A339">
        <v>0</v>
      </c>
      <c r="B339">
        <v>0.8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0.05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0.15</v>
      </c>
      <c r="Y339">
        <v>0</v>
      </c>
      <c r="Z339">
        <v>0</v>
      </c>
      <c r="AA339">
        <v>0</v>
      </c>
      <c r="AB339">
        <v>0</v>
      </c>
      <c r="AC339">
        <v>0</v>
      </c>
      <c r="AD339" s="1">
        <v>1</v>
      </c>
      <c r="AE339">
        <v>0</v>
      </c>
      <c r="AF339">
        <v>0</v>
      </c>
      <c r="AG339" s="1">
        <v>2</v>
      </c>
      <c r="AH339">
        <v>30</v>
      </c>
      <c r="AI339">
        <v>3426.2235897435894</v>
      </c>
      <c r="AJ339" t="s">
        <v>301</v>
      </c>
      <c r="AK339" t="s">
        <v>304</v>
      </c>
      <c r="AL339" t="s">
        <v>184</v>
      </c>
    </row>
    <row r="340" spans="1:38" x14ac:dyDescent="0.3">
      <c r="A340">
        <v>0</v>
      </c>
      <c r="B340">
        <v>0.8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0.05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0.15</v>
      </c>
      <c r="Y340">
        <v>0</v>
      </c>
      <c r="Z340">
        <v>0</v>
      </c>
      <c r="AA340">
        <v>0</v>
      </c>
      <c r="AB340">
        <v>0</v>
      </c>
      <c r="AC340">
        <v>0</v>
      </c>
      <c r="AD340" s="1">
        <v>1</v>
      </c>
      <c r="AE340">
        <v>0</v>
      </c>
      <c r="AF340">
        <v>0</v>
      </c>
      <c r="AG340" s="1">
        <v>2</v>
      </c>
      <c r="AH340">
        <v>40</v>
      </c>
      <c r="AI340">
        <v>3822.3589743589741</v>
      </c>
      <c r="AJ340" t="s">
        <v>301</v>
      </c>
      <c r="AK340" t="s">
        <v>304</v>
      </c>
      <c r="AL340" t="s">
        <v>184</v>
      </c>
    </row>
    <row r="341" spans="1:38" x14ac:dyDescent="0.3">
      <c r="A341">
        <v>0</v>
      </c>
      <c r="B341">
        <v>0.8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0.05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0.15</v>
      </c>
      <c r="Y341">
        <v>0</v>
      </c>
      <c r="Z341">
        <v>0</v>
      </c>
      <c r="AA341">
        <v>0</v>
      </c>
      <c r="AB341">
        <v>0</v>
      </c>
      <c r="AC341">
        <v>0</v>
      </c>
      <c r="AD341" s="1">
        <v>1</v>
      </c>
      <c r="AE341">
        <v>0</v>
      </c>
      <c r="AF341">
        <v>0</v>
      </c>
      <c r="AG341" s="1">
        <v>2</v>
      </c>
      <c r="AH341">
        <v>50</v>
      </c>
      <c r="AI341">
        <v>3926.6051282051276</v>
      </c>
      <c r="AJ341" t="s">
        <v>301</v>
      </c>
      <c r="AK341" t="s">
        <v>304</v>
      </c>
      <c r="AL341" t="s">
        <v>184</v>
      </c>
    </row>
    <row r="342" spans="1:38" x14ac:dyDescent="0.3">
      <c r="A342">
        <v>0</v>
      </c>
      <c r="B342">
        <v>0.8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0.05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0.15</v>
      </c>
      <c r="Y342">
        <v>0</v>
      </c>
      <c r="Z342">
        <v>0</v>
      </c>
      <c r="AA342">
        <v>0</v>
      </c>
      <c r="AB342">
        <v>0</v>
      </c>
      <c r="AC342">
        <v>0</v>
      </c>
      <c r="AD342" s="1">
        <v>1</v>
      </c>
      <c r="AE342">
        <v>0</v>
      </c>
      <c r="AF342">
        <v>0</v>
      </c>
      <c r="AG342" s="1">
        <v>2</v>
      </c>
      <c r="AH342">
        <v>60</v>
      </c>
      <c r="AI342">
        <v>4065.6</v>
      </c>
      <c r="AJ342" t="s">
        <v>301</v>
      </c>
      <c r="AK342" t="s">
        <v>304</v>
      </c>
      <c r="AL342" t="s">
        <v>184</v>
      </c>
    </row>
    <row r="343" spans="1:38" x14ac:dyDescent="0.3">
      <c r="A343">
        <v>0</v>
      </c>
      <c r="B343">
        <v>0.8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0.05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0.15</v>
      </c>
      <c r="Y343">
        <v>0</v>
      </c>
      <c r="Z343">
        <v>0</v>
      </c>
      <c r="AA343">
        <v>0</v>
      </c>
      <c r="AB343">
        <v>0</v>
      </c>
      <c r="AC343">
        <v>0</v>
      </c>
      <c r="AD343" s="1">
        <v>1</v>
      </c>
      <c r="AE343">
        <v>0</v>
      </c>
      <c r="AF343">
        <v>0</v>
      </c>
      <c r="AG343" s="1">
        <v>2</v>
      </c>
      <c r="AH343">
        <v>70</v>
      </c>
      <c r="AI343">
        <v>4155.9466666666667</v>
      </c>
      <c r="AJ343" t="s">
        <v>301</v>
      </c>
      <c r="AK343" t="s">
        <v>304</v>
      </c>
      <c r="AL343" t="s">
        <v>184</v>
      </c>
    </row>
    <row r="344" spans="1:38" x14ac:dyDescent="0.3">
      <c r="A344">
        <v>0</v>
      </c>
      <c r="B344">
        <v>0.8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0.05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0.15</v>
      </c>
      <c r="Y344">
        <v>0</v>
      </c>
      <c r="Z344">
        <v>0</v>
      </c>
      <c r="AA344">
        <v>0</v>
      </c>
      <c r="AB344">
        <v>0</v>
      </c>
      <c r="AC344">
        <v>0</v>
      </c>
      <c r="AD344" s="1">
        <v>1</v>
      </c>
      <c r="AE344">
        <v>0</v>
      </c>
      <c r="AF344">
        <v>0</v>
      </c>
      <c r="AG344" s="1">
        <v>2</v>
      </c>
      <c r="AH344">
        <v>80</v>
      </c>
      <c r="AI344">
        <v>4281.042051282051</v>
      </c>
      <c r="AJ344" t="s">
        <v>301</v>
      </c>
      <c r="AK344" t="s">
        <v>304</v>
      </c>
      <c r="AL344" t="s">
        <v>184</v>
      </c>
    </row>
    <row r="345" spans="1:38" ht="17.25" customHeight="1" x14ac:dyDescent="0.3">
      <c r="A345">
        <v>0</v>
      </c>
      <c r="B345">
        <v>0.8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0.05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0.15</v>
      </c>
      <c r="Y345">
        <v>0</v>
      </c>
      <c r="Z345">
        <v>0</v>
      </c>
      <c r="AA345">
        <v>0</v>
      </c>
      <c r="AB345">
        <v>0</v>
      </c>
      <c r="AC345">
        <v>0</v>
      </c>
      <c r="AD345" s="1">
        <v>1</v>
      </c>
      <c r="AE345">
        <v>0</v>
      </c>
      <c r="AF345">
        <v>0</v>
      </c>
      <c r="AG345" s="1">
        <v>2</v>
      </c>
      <c r="AH345">
        <v>90</v>
      </c>
      <c r="AI345">
        <v>4385.288205128204</v>
      </c>
      <c r="AJ345" t="s">
        <v>301</v>
      </c>
      <c r="AK345" t="s">
        <v>304</v>
      </c>
      <c r="AL345" t="s">
        <v>184</v>
      </c>
    </row>
    <row r="346" spans="1:38" x14ac:dyDescent="0.3">
      <c r="A346">
        <v>0</v>
      </c>
      <c r="B346">
        <v>0.8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0.05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0.15</v>
      </c>
      <c r="Y346">
        <v>0</v>
      </c>
      <c r="Z346">
        <v>0</v>
      </c>
      <c r="AA346">
        <v>0</v>
      </c>
      <c r="AB346">
        <v>0</v>
      </c>
      <c r="AC346">
        <v>0</v>
      </c>
      <c r="AD346" s="1">
        <v>1</v>
      </c>
      <c r="AE346">
        <v>0</v>
      </c>
      <c r="AF346">
        <v>0</v>
      </c>
      <c r="AG346" s="1">
        <v>2</v>
      </c>
      <c r="AH346">
        <v>100</v>
      </c>
      <c r="AI346">
        <v>4552.082051282051</v>
      </c>
      <c r="AJ346" t="s">
        <v>301</v>
      </c>
      <c r="AK346" t="s">
        <v>304</v>
      </c>
      <c r="AL346" t="s">
        <v>184</v>
      </c>
    </row>
    <row r="347" spans="1:38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>1-0.3-0.02</f>
        <v>0.67999999999999994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0.02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0.2</v>
      </c>
      <c r="Y347">
        <v>0.1</v>
      </c>
      <c r="Z347">
        <v>0</v>
      </c>
      <c r="AA347">
        <v>0</v>
      </c>
      <c r="AB347">
        <v>0</v>
      </c>
      <c r="AC347">
        <v>0</v>
      </c>
      <c r="AD347" s="1">
        <v>0.5</v>
      </c>
      <c r="AE347">
        <v>0</v>
      </c>
      <c r="AF347">
        <v>0</v>
      </c>
      <c r="AG347" s="1">
        <v>0.5</v>
      </c>
      <c r="AH347">
        <v>20</v>
      </c>
      <c r="AI347">
        <f>16.2/0.193</f>
        <v>83.937823834196891</v>
      </c>
      <c r="AJ347" t="s">
        <v>305</v>
      </c>
      <c r="AK347" t="s">
        <v>306</v>
      </c>
      <c r="AL347" t="s">
        <v>184</v>
      </c>
    </row>
    <row r="348" spans="1:38" x14ac:dyDescent="0.3">
      <c r="A348">
        <v>0</v>
      </c>
      <c r="B348">
        <v>0.43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0.21</v>
      </c>
      <c r="T348">
        <v>0</v>
      </c>
      <c r="U348">
        <v>0</v>
      </c>
      <c r="V348">
        <v>0</v>
      </c>
      <c r="W348">
        <v>0</v>
      </c>
      <c r="X348">
        <v>0.27</v>
      </c>
      <c r="Y348">
        <v>0</v>
      </c>
      <c r="Z348">
        <v>0</v>
      </c>
      <c r="AA348">
        <v>0</v>
      </c>
      <c r="AB348">
        <v>0</v>
      </c>
      <c r="AC348">
        <v>0</v>
      </c>
      <c r="AD348" s="1">
        <v>0.5</v>
      </c>
      <c r="AE348">
        <v>0</v>
      </c>
      <c r="AF348">
        <v>0</v>
      </c>
      <c r="AG348" s="1">
        <v>1</v>
      </c>
      <c r="AH348">
        <v>10</v>
      </c>
      <c r="AI348">
        <v>448</v>
      </c>
      <c r="AJ348" t="s">
        <v>307</v>
      </c>
      <c r="AK348" t="s">
        <v>308</v>
      </c>
      <c r="AL348" t="s">
        <v>184</v>
      </c>
    </row>
    <row r="349" spans="1:38" x14ac:dyDescent="0.3">
      <c r="A349">
        <v>0</v>
      </c>
      <c r="B349">
        <v>0.43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0.21</v>
      </c>
      <c r="T349">
        <v>0</v>
      </c>
      <c r="U349">
        <v>0</v>
      </c>
      <c r="V349">
        <v>0</v>
      </c>
      <c r="W349">
        <v>0</v>
      </c>
      <c r="X349">
        <v>0.27</v>
      </c>
      <c r="Y349">
        <v>0</v>
      </c>
      <c r="Z349">
        <v>0</v>
      </c>
      <c r="AA349">
        <v>0</v>
      </c>
      <c r="AB349">
        <v>0</v>
      </c>
      <c r="AC349">
        <v>0</v>
      </c>
      <c r="AD349" s="1">
        <v>0.5</v>
      </c>
      <c r="AE349">
        <v>0</v>
      </c>
      <c r="AF349">
        <v>0</v>
      </c>
      <c r="AG349" s="1">
        <v>1</v>
      </c>
      <c r="AH349">
        <v>20</v>
      </c>
      <c r="AI349">
        <v>616</v>
      </c>
      <c r="AJ349" t="s">
        <v>307</v>
      </c>
      <c r="AK349" t="s">
        <v>308</v>
      </c>
      <c r="AL349" t="s">
        <v>184</v>
      </c>
    </row>
    <row r="350" spans="1:38" x14ac:dyDescent="0.3">
      <c r="A350">
        <v>0</v>
      </c>
      <c r="B350">
        <v>0.43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0.21</v>
      </c>
      <c r="T350">
        <v>0</v>
      </c>
      <c r="U350">
        <v>0</v>
      </c>
      <c r="V350">
        <v>0</v>
      </c>
      <c r="W350">
        <v>0</v>
      </c>
      <c r="X350">
        <v>0.27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0.5</v>
      </c>
      <c r="AE350">
        <v>0</v>
      </c>
      <c r="AF350">
        <v>0</v>
      </c>
      <c r="AG350" s="1">
        <v>1</v>
      </c>
      <c r="AH350">
        <v>30</v>
      </c>
      <c r="AI350">
        <v>760</v>
      </c>
      <c r="AJ350" t="s">
        <v>307</v>
      </c>
      <c r="AK350" t="s">
        <v>308</v>
      </c>
      <c r="AL350" t="s">
        <v>184</v>
      </c>
    </row>
    <row r="351" spans="1:38" x14ac:dyDescent="0.3">
      <c r="A351">
        <v>0</v>
      </c>
      <c r="B351">
        <v>0.43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0.21</v>
      </c>
      <c r="T351">
        <v>0</v>
      </c>
      <c r="U351">
        <v>0</v>
      </c>
      <c r="V351">
        <v>0</v>
      </c>
      <c r="W351">
        <v>0</v>
      </c>
      <c r="X351">
        <v>0.27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0.5</v>
      </c>
      <c r="AE351">
        <v>0</v>
      </c>
      <c r="AF351">
        <v>0</v>
      </c>
      <c r="AG351" s="1">
        <v>1</v>
      </c>
      <c r="AH351">
        <v>40</v>
      </c>
      <c r="AI351">
        <v>840</v>
      </c>
      <c r="AJ351" t="s">
        <v>307</v>
      </c>
      <c r="AK351" t="s">
        <v>308</v>
      </c>
      <c r="AL351" t="s">
        <v>184</v>
      </c>
    </row>
    <row r="352" spans="1:38" x14ac:dyDescent="0.3">
      <c r="A352">
        <v>0</v>
      </c>
      <c r="B352">
        <v>0.43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0.21</v>
      </c>
      <c r="T352">
        <v>0</v>
      </c>
      <c r="U352">
        <v>0</v>
      </c>
      <c r="V352">
        <v>0</v>
      </c>
      <c r="W352">
        <v>0</v>
      </c>
      <c r="X352">
        <v>0.27</v>
      </c>
      <c r="Y352">
        <v>0</v>
      </c>
      <c r="Z352">
        <v>0</v>
      </c>
      <c r="AA352">
        <v>0</v>
      </c>
      <c r="AB352">
        <v>0</v>
      </c>
      <c r="AC352">
        <v>0</v>
      </c>
      <c r="AD352" s="1">
        <v>0.5</v>
      </c>
      <c r="AE352">
        <v>0</v>
      </c>
      <c r="AF352">
        <v>0</v>
      </c>
      <c r="AG352" s="1">
        <v>1</v>
      </c>
      <c r="AH352">
        <v>50</v>
      </c>
      <c r="AI352">
        <v>919.99999999999989</v>
      </c>
      <c r="AJ352" t="s">
        <v>307</v>
      </c>
      <c r="AK352" t="s">
        <v>308</v>
      </c>
      <c r="AL352" t="s">
        <v>184</v>
      </c>
    </row>
    <row r="353" spans="1:38" x14ac:dyDescent="0.3">
      <c r="A353">
        <v>0</v>
      </c>
      <c r="B353">
        <v>0.43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0.21</v>
      </c>
      <c r="T353">
        <v>0</v>
      </c>
      <c r="U353">
        <v>0</v>
      </c>
      <c r="V353">
        <v>0</v>
      </c>
      <c r="W353">
        <v>0</v>
      </c>
      <c r="X353">
        <v>0.27</v>
      </c>
      <c r="Y353">
        <v>0</v>
      </c>
      <c r="Z353">
        <v>0</v>
      </c>
      <c r="AA353">
        <v>0</v>
      </c>
      <c r="AB353">
        <v>0</v>
      </c>
      <c r="AC353">
        <v>0</v>
      </c>
      <c r="AD353" s="1">
        <v>0.5</v>
      </c>
      <c r="AE353">
        <v>0</v>
      </c>
      <c r="AF353">
        <v>0</v>
      </c>
      <c r="AG353" s="1">
        <v>1</v>
      </c>
      <c r="AH353">
        <v>60</v>
      </c>
      <c r="AI353">
        <v>1000</v>
      </c>
      <c r="AJ353" t="s">
        <v>307</v>
      </c>
      <c r="AK353" t="s">
        <v>308</v>
      </c>
      <c r="AL353" t="s">
        <v>184</v>
      </c>
    </row>
    <row r="354" spans="1:38" x14ac:dyDescent="0.3">
      <c r="A354">
        <v>0</v>
      </c>
      <c r="B354">
        <v>0.43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0.21</v>
      </c>
      <c r="T354">
        <v>0</v>
      </c>
      <c r="U354">
        <v>0</v>
      </c>
      <c r="V354">
        <v>0</v>
      </c>
      <c r="W354">
        <v>0</v>
      </c>
      <c r="X354">
        <v>0.27</v>
      </c>
      <c r="Y354">
        <v>0</v>
      </c>
      <c r="Z354">
        <v>0</v>
      </c>
      <c r="AA354">
        <v>0</v>
      </c>
      <c r="AB354">
        <v>0</v>
      </c>
      <c r="AC354">
        <v>0</v>
      </c>
      <c r="AD354" s="1">
        <v>0.5</v>
      </c>
      <c r="AE354">
        <v>0</v>
      </c>
      <c r="AF354">
        <v>0</v>
      </c>
      <c r="AG354" s="1">
        <v>1</v>
      </c>
      <c r="AH354">
        <v>70</v>
      </c>
      <c r="AI354">
        <v>1059.9999999999998</v>
      </c>
      <c r="AJ354" t="s">
        <v>307</v>
      </c>
      <c r="AK354" t="s">
        <v>308</v>
      </c>
      <c r="AL354" t="s">
        <v>184</v>
      </c>
    </row>
    <row r="355" spans="1:38" x14ac:dyDescent="0.3">
      <c r="A355">
        <v>0</v>
      </c>
      <c r="B355">
        <v>0.43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0.21</v>
      </c>
      <c r="T355">
        <v>0</v>
      </c>
      <c r="U355">
        <v>0</v>
      </c>
      <c r="V355">
        <v>0</v>
      </c>
      <c r="W355">
        <v>0</v>
      </c>
      <c r="X355">
        <v>0.27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0.5</v>
      </c>
      <c r="AE355">
        <v>0</v>
      </c>
      <c r="AF355">
        <v>0</v>
      </c>
      <c r="AG355" s="1">
        <v>1</v>
      </c>
      <c r="AH355">
        <v>80</v>
      </c>
      <c r="AI355">
        <v>1111.9999999999998</v>
      </c>
      <c r="AJ355" t="s">
        <v>307</v>
      </c>
      <c r="AK355" t="s">
        <v>308</v>
      </c>
      <c r="AL355" t="s">
        <v>184</v>
      </c>
    </row>
    <row r="356" spans="1:38" x14ac:dyDescent="0.3">
      <c r="A356">
        <v>0</v>
      </c>
      <c r="B356">
        <v>0.43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0.21</v>
      </c>
      <c r="T356">
        <v>0</v>
      </c>
      <c r="U356">
        <v>0</v>
      </c>
      <c r="V356">
        <v>0</v>
      </c>
      <c r="W356">
        <v>0</v>
      </c>
      <c r="X356">
        <v>0.27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0.5</v>
      </c>
      <c r="AE356">
        <v>0</v>
      </c>
      <c r="AF356">
        <v>0</v>
      </c>
      <c r="AG356" s="1">
        <v>1</v>
      </c>
      <c r="AH356">
        <v>90</v>
      </c>
      <c r="AI356">
        <v>1160</v>
      </c>
      <c r="AJ356" t="s">
        <v>307</v>
      </c>
      <c r="AK356" t="s">
        <v>308</v>
      </c>
      <c r="AL356" t="s">
        <v>184</v>
      </c>
    </row>
    <row r="357" spans="1:38" x14ac:dyDescent="0.3">
      <c r="A357">
        <v>0</v>
      </c>
      <c r="B357">
        <v>0.43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0.21</v>
      </c>
      <c r="T357">
        <v>0</v>
      </c>
      <c r="U357">
        <v>0</v>
      </c>
      <c r="V357">
        <v>0</v>
      </c>
      <c r="W357">
        <v>0</v>
      </c>
      <c r="X357">
        <v>0.27</v>
      </c>
      <c r="Y357">
        <v>0</v>
      </c>
      <c r="Z357">
        <v>0</v>
      </c>
      <c r="AA357">
        <v>0</v>
      </c>
      <c r="AB357">
        <v>0</v>
      </c>
      <c r="AC357">
        <v>0</v>
      </c>
      <c r="AD357" s="1">
        <v>0.5</v>
      </c>
      <c r="AE357">
        <v>0</v>
      </c>
      <c r="AF357">
        <v>0</v>
      </c>
      <c r="AG357" s="1">
        <v>1</v>
      </c>
      <c r="AH357">
        <v>100</v>
      </c>
      <c r="AI357">
        <v>1200</v>
      </c>
      <c r="AJ357" t="s">
        <v>307</v>
      </c>
      <c r="AK357" t="s">
        <v>308</v>
      </c>
      <c r="AL357" t="s">
        <v>184</v>
      </c>
    </row>
    <row r="358" spans="1:38" x14ac:dyDescent="0.3">
      <c r="A358">
        <v>0</v>
      </c>
      <c r="B358">
        <v>0</v>
      </c>
      <c r="C358">
        <v>0.6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0.5</v>
      </c>
      <c r="AE358">
        <v>0</v>
      </c>
      <c r="AF358">
        <v>0</v>
      </c>
      <c r="AG358">
        <v>0.5</v>
      </c>
      <c r="AH358">
        <v>50</v>
      </c>
      <c r="AI358">
        <v>308.56</v>
      </c>
      <c r="AJ358" s="5">
        <v>57</v>
      </c>
      <c r="AK358" s="5" t="s">
        <v>310</v>
      </c>
      <c r="AL358" t="s">
        <v>316</v>
      </c>
    </row>
    <row r="359" spans="1:38" x14ac:dyDescent="0.3">
      <c r="A359">
        <v>0</v>
      </c>
      <c r="B359" s="5">
        <v>0.42499999999999999</v>
      </c>
      <c r="C359" s="5">
        <v>0.42499999999999999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0.15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0.5</v>
      </c>
      <c r="AE359">
        <v>0</v>
      </c>
      <c r="AF359">
        <v>0</v>
      </c>
      <c r="AG359">
        <v>1</v>
      </c>
      <c r="AH359">
        <v>50</v>
      </c>
      <c r="AI359">
        <v>529</v>
      </c>
      <c r="AJ359" s="5" t="s">
        <v>311</v>
      </c>
      <c r="AK359" s="5" t="s">
        <v>312</v>
      </c>
      <c r="AL359" t="s">
        <v>316</v>
      </c>
    </row>
    <row r="360" spans="1:38" x14ac:dyDescent="0.3">
      <c r="A360">
        <v>0</v>
      </c>
      <c r="B360" s="5">
        <f>60/65*0.85</f>
        <v>0.7846153846153846</v>
      </c>
      <c r="C360" s="5">
        <v>6.5384615384615388E-2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0.5</v>
      </c>
      <c r="AE360">
        <v>0</v>
      </c>
      <c r="AF360">
        <v>0</v>
      </c>
      <c r="AG360">
        <v>1</v>
      </c>
      <c r="AH360">
        <v>50</v>
      </c>
      <c r="AI360">
        <v>179</v>
      </c>
      <c r="AJ360" s="5" t="s">
        <v>311</v>
      </c>
      <c r="AK360" s="5" t="s">
        <v>312</v>
      </c>
      <c r="AL360" t="s">
        <v>316</v>
      </c>
    </row>
    <row r="361" spans="1:38" x14ac:dyDescent="0.3">
      <c r="A361">
        <v>0</v>
      </c>
      <c r="B361" s="5">
        <f>0.85*60/90</f>
        <v>0.56666666666666665</v>
      </c>
      <c r="C361" s="5">
        <v>0.28333333333333333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0.15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0.5</v>
      </c>
      <c r="AE361">
        <v>0</v>
      </c>
      <c r="AF361">
        <v>0</v>
      </c>
      <c r="AG361">
        <v>1</v>
      </c>
      <c r="AH361">
        <v>50</v>
      </c>
      <c r="AI361">
        <v>413</v>
      </c>
      <c r="AJ361" s="5" t="s">
        <v>311</v>
      </c>
      <c r="AK361" s="5" t="s">
        <v>312</v>
      </c>
      <c r="AL361" t="s">
        <v>316</v>
      </c>
    </row>
    <row r="362" spans="1:38" x14ac:dyDescent="0.3">
      <c r="A362">
        <v>0</v>
      </c>
      <c r="B362">
        <v>0.45</v>
      </c>
      <c r="C362">
        <v>0.45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0.05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0.05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0.5</v>
      </c>
      <c r="AE362">
        <v>0</v>
      </c>
      <c r="AF362">
        <v>0</v>
      </c>
      <c r="AG362">
        <v>0.5</v>
      </c>
      <c r="AH362">
        <v>50</v>
      </c>
      <c r="AI362">
        <v>437</v>
      </c>
      <c r="AJ362" s="5" t="s">
        <v>313</v>
      </c>
      <c r="AK362" s="5" t="s">
        <v>314</v>
      </c>
      <c r="AL362" t="s">
        <v>316</v>
      </c>
    </row>
    <row r="363" spans="1:38" x14ac:dyDescent="0.3">
      <c r="A363">
        <v>0</v>
      </c>
      <c r="B363">
        <v>0</v>
      </c>
      <c r="C363">
        <v>0.83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0.17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0.5</v>
      </c>
      <c r="AE363">
        <v>0</v>
      </c>
      <c r="AF363">
        <v>0</v>
      </c>
      <c r="AG363">
        <v>0.5</v>
      </c>
      <c r="AH363">
        <v>50</v>
      </c>
      <c r="AI363">
        <v>139</v>
      </c>
      <c r="AJ363" s="5">
        <v>58</v>
      </c>
      <c r="AK363" s="5" t="s">
        <v>315</v>
      </c>
      <c r="AL363" t="s">
        <v>316</v>
      </c>
    </row>
    <row r="364" spans="1:38" x14ac:dyDescent="0.3">
      <c r="A364">
        <v>0</v>
      </c>
      <c r="B364">
        <v>0</v>
      </c>
      <c r="C364">
        <v>0.68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0.32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0.5</v>
      </c>
      <c r="AE364">
        <v>0</v>
      </c>
      <c r="AF364">
        <v>0</v>
      </c>
      <c r="AG364">
        <v>0.5</v>
      </c>
      <c r="AH364">
        <v>50</v>
      </c>
      <c r="AI364">
        <v>147</v>
      </c>
      <c r="AJ364" s="5">
        <v>58</v>
      </c>
      <c r="AK364" s="5" t="s">
        <v>315</v>
      </c>
      <c r="AL364" t="s">
        <v>316</v>
      </c>
    </row>
    <row r="365" spans="1:38" x14ac:dyDescent="0.3">
      <c r="A365">
        <v>0</v>
      </c>
      <c r="B365">
        <v>0</v>
      </c>
      <c r="C365">
        <v>0.66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0.34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0.5</v>
      </c>
      <c r="AE365">
        <v>0</v>
      </c>
      <c r="AF365">
        <v>0</v>
      </c>
      <c r="AG365">
        <v>0.5</v>
      </c>
      <c r="AH365">
        <v>50</v>
      </c>
      <c r="AI365">
        <v>141</v>
      </c>
      <c r="AJ365" s="5">
        <v>58</v>
      </c>
      <c r="AK365" s="5" t="s">
        <v>315</v>
      </c>
      <c r="AL365" t="s">
        <v>316</v>
      </c>
    </row>
  </sheetData>
  <phoneticPr fontId="1" type="noConversion"/>
  <hyperlinks>
    <hyperlink ref="AK250" r:id="rId1" xr:uid="{00000000-0004-0000-0400-000000000000}"/>
    <hyperlink ref="AK252" r:id="rId2" xr:uid="{00000000-0004-0000-0400-000001000000}"/>
    <hyperlink ref="AK59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97"/>
  <sheetViews>
    <sheetView topLeftCell="A571" workbookViewId="0">
      <selection activeCell="J586" sqref="J586"/>
    </sheetView>
  </sheetViews>
  <sheetFormatPr defaultRowHeight="14.4" x14ac:dyDescent="0.3"/>
  <cols>
    <col min="1" max="1" width="39" customWidth="1"/>
    <col min="2" max="2" width="17.33203125" customWidth="1"/>
    <col min="4" max="4" width="30" customWidth="1"/>
    <col min="5" max="5" width="16.88671875" customWidth="1"/>
    <col min="6" max="6" width="20.44140625" customWidth="1"/>
    <col min="7" max="7" width="12" bestFit="1" customWidth="1"/>
    <col min="9" max="9" width="15.33203125" customWidth="1"/>
    <col min="12" max="12" width="13" customWidth="1"/>
  </cols>
  <sheetData>
    <row r="1" spans="1:7" x14ac:dyDescent="0.3">
      <c r="A1" t="s">
        <v>7</v>
      </c>
      <c r="B1">
        <v>134</v>
      </c>
    </row>
    <row r="2" spans="1:7" x14ac:dyDescent="0.3">
      <c r="A2" t="s">
        <v>8</v>
      </c>
      <c r="B2">
        <v>3</v>
      </c>
      <c r="D2">
        <v>2</v>
      </c>
      <c r="F2" t="s">
        <v>8</v>
      </c>
      <c r="G2">
        <v>1</v>
      </c>
    </row>
    <row r="3" spans="1:7" x14ac:dyDescent="0.3">
      <c r="A3" t="s">
        <v>9</v>
      </c>
      <c r="B3">
        <v>1</v>
      </c>
      <c r="D3">
        <v>1</v>
      </c>
      <c r="F3" t="s">
        <v>9</v>
      </c>
      <c r="G3">
        <v>1</v>
      </c>
    </row>
    <row r="4" spans="1:7" x14ac:dyDescent="0.3">
      <c r="A4" t="s">
        <v>10</v>
      </c>
      <c r="B4">
        <f>B2*195</f>
        <v>585</v>
      </c>
      <c r="D4">
        <f>D2*195</f>
        <v>390</v>
      </c>
      <c r="F4" t="s">
        <v>10</v>
      </c>
      <c r="G4">
        <f>G2*195</f>
        <v>195</v>
      </c>
    </row>
    <row r="5" spans="1:7" x14ac:dyDescent="0.3">
      <c r="A5" t="s">
        <v>11</v>
      </c>
      <c r="B5">
        <f>B3*60</f>
        <v>60</v>
      </c>
      <c r="D5">
        <f>D3*60</f>
        <v>60</v>
      </c>
      <c r="F5" t="s">
        <v>11</v>
      </c>
      <c r="G5">
        <f>G3*60</f>
        <v>60</v>
      </c>
    </row>
    <row r="6" spans="1:7" x14ac:dyDescent="0.3">
      <c r="A6" t="s">
        <v>12</v>
      </c>
      <c r="B6">
        <f>B4+B5</f>
        <v>645</v>
      </c>
      <c r="D6">
        <f>D4+D5</f>
        <v>450</v>
      </c>
      <c r="F6" t="s">
        <v>12</v>
      </c>
      <c r="G6">
        <f>G4+G5</f>
        <v>255</v>
      </c>
    </row>
    <row r="7" spans="1:7" x14ac:dyDescent="0.3">
      <c r="A7" t="s">
        <v>13</v>
      </c>
      <c r="B7">
        <f>B4/B6</f>
        <v>0.90697674418604646</v>
      </c>
      <c r="D7">
        <f>D4/D6</f>
        <v>0.8666666666666667</v>
      </c>
      <c r="F7" t="s">
        <v>13</v>
      </c>
      <c r="G7">
        <f>G4/G6</f>
        <v>0.76470588235294112</v>
      </c>
    </row>
    <row r="8" spans="1:7" x14ac:dyDescent="0.3">
      <c r="A8" t="s">
        <v>14</v>
      </c>
      <c r="B8">
        <f>B5/B6</f>
        <v>9.3023255813953487E-2</v>
      </c>
      <c r="D8">
        <f>D5/D6</f>
        <v>0.13333333333333333</v>
      </c>
      <c r="F8" t="s">
        <v>14</v>
      </c>
      <c r="G8">
        <f>G5/G6</f>
        <v>0.23529411764705882</v>
      </c>
    </row>
    <row r="9" spans="1:7" x14ac:dyDescent="0.3">
      <c r="B9">
        <f>B7*0.4</f>
        <v>0.36279069767441863</v>
      </c>
      <c r="D9">
        <f>D7*0.4</f>
        <v>0.34666666666666668</v>
      </c>
      <c r="G9">
        <f>G7*0.4</f>
        <v>0.30588235294117649</v>
      </c>
    </row>
    <row r="10" spans="1:7" x14ac:dyDescent="0.3">
      <c r="B10">
        <f>B8*0.4</f>
        <v>3.7209302325581395E-2</v>
      </c>
      <c r="D10">
        <f>D8*0.4</f>
        <v>5.3333333333333337E-2</v>
      </c>
      <c r="G10">
        <f>G8*0.4</f>
        <v>9.4117647058823528E-2</v>
      </c>
    </row>
    <row r="14" spans="1:7" x14ac:dyDescent="0.3">
      <c r="A14" t="s">
        <v>16</v>
      </c>
      <c r="B14">
        <v>135</v>
      </c>
    </row>
    <row r="15" spans="1:7" x14ac:dyDescent="0.3">
      <c r="A15" t="s">
        <v>1</v>
      </c>
      <c r="B15">
        <v>63.32</v>
      </c>
      <c r="D15">
        <v>72</v>
      </c>
      <c r="F15" t="s">
        <v>1</v>
      </c>
      <c r="G15">
        <v>78</v>
      </c>
    </row>
    <row r="16" spans="1:7" x14ac:dyDescent="0.3">
      <c r="A16" t="s">
        <v>2</v>
      </c>
      <c r="B16">
        <v>33.01</v>
      </c>
      <c r="D16">
        <v>31</v>
      </c>
      <c r="F16" t="s">
        <v>2</v>
      </c>
      <c r="G16">
        <v>32</v>
      </c>
    </row>
    <row r="17" spans="1:8" x14ac:dyDescent="0.3">
      <c r="A17" t="s">
        <v>17</v>
      </c>
      <c r="B17">
        <f>B15+B16</f>
        <v>96.33</v>
      </c>
      <c r="D17">
        <v>144.47999999999999</v>
      </c>
      <c r="F17" t="s">
        <v>21</v>
      </c>
      <c r="G17">
        <v>144.47999999999999</v>
      </c>
    </row>
    <row r="18" spans="1:8" x14ac:dyDescent="0.3">
      <c r="A18" t="s">
        <v>18</v>
      </c>
      <c r="B18">
        <f>B15/B17</f>
        <v>0.65732378282985571</v>
      </c>
      <c r="D18">
        <f>D15+D16+D17</f>
        <v>247.48</v>
      </c>
      <c r="F18" t="s">
        <v>17</v>
      </c>
      <c r="G18">
        <f>G15+G16+G17</f>
        <v>254.48</v>
      </c>
    </row>
    <row r="19" spans="1:8" x14ac:dyDescent="0.3">
      <c r="A19" t="s">
        <v>19</v>
      </c>
      <c r="B19">
        <f>B16/B17</f>
        <v>0.34267621717014429</v>
      </c>
      <c r="D19">
        <f>D15/D18</f>
        <v>0.29093260061419107</v>
      </c>
      <c r="F19" t="s">
        <v>13</v>
      </c>
      <c r="G19">
        <f>G15/G18</f>
        <v>0.3065073876139579</v>
      </c>
    </row>
    <row r="20" spans="1:8" x14ac:dyDescent="0.3">
      <c r="B20">
        <f>B18*0.4</f>
        <v>0.26292951313194229</v>
      </c>
      <c r="D20">
        <f>D16/D18</f>
        <v>0.1252626474866656</v>
      </c>
      <c r="F20" t="s">
        <v>23</v>
      </c>
      <c r="G20">
        <f>G16/G18</f>
        <v>0.12574662055957248</v>
      </c>
    </row>
    <row r="21" spans="1:8" x14ac:dyDescent="0.3">
      <c r="B21">
        <f>B19*0.4</f>
        <v>0.13707048686805773</v>
      </c>
      <c r="D21">
        <f>D17/D18</f>
        <v>0.58380475189914338</v>
      </c>
      <c r="F21" t="s">
        <v>20</v>
      </c>
      <c r="G21">
        <f>G17/G18</f>
        <v>0.56774599182646968</v>
      </c>
      <c r="H21">
        <f>G21+G20+G19</f>
        <v>1</v>
      </c>
    </row>
    <row r="23" spans="1:8" x14ac:dyDescent="0.3">
      <c r="A23" t="s">
        <v>22</v>
      </c>
      <c r="B23">
        <f>96.32*0.6/0.4</f>
        <v>144.47999999999999</v>
      </c>
    </row>
    <row r="25" spans="1:8" x14ac:dyDescent="0.3">
      <c r="B25">
        <f>B23+B16+B15</f>
        <v>240.80999999999997</v>
      </c>
    </row>
    <row r="26" spans="1:8" x14ac:dyDescent="0.3">
      <c r="B26">
        <f>B23/B25*100</f>
        <v>59.997508409119227</v>
      </c>
    </row>
    <row r="28" spans="1:8" x14ac:dyDescent="0.3">
      <c r="A28" t="s">
        <v>16</v>
      </c>
      <c r="B28">
        <v>137</v>
      </c>
    </row>
    <row r="29" spans="1:8" x14ac:dyDescent="0.3">
      <c r="A29" t="s">
        <v>1</v>
      </c>
      <c r="B29">
        <v>25</v>
      </c>
    </row>
    <row r="30" spans="1:8" x14ac:dyDescent="0.3">
      <c r="A30" t="s">
        <v>2</v>
      </c>
      <c r="B30">
        <v>1</v>
      </c>
    </row>
    <row r="31" spans="1:8" x14ac:dyDescent="0.3">
      <c r="A31" t="s">
        <v>28</v>
      </c>
      <c r="B31">
        <f>B29*195</f>
        <v>4875</v>
      </c>
      <c r="D31" t="s">
        <v>33</v>
      </c>
      <c r="E31">
        <v>1000</v>
      </c>
      <c r="F31" t="s">
        <v>34</v>
      </c>
    </row>
    <row r="32" spans="1:8" x14ac:dyDescent="0.3">
      <c r="A32" t="s">
        <v>29</v>
      </c>
      <c r="B32">
        <f>B30*106</f>
        <v>106</v>
      </c>
      <c r="E32">
        <v>3</v>
      </c>
      <c r="F32" t="s">
        <v>34</v>
      </c>
    </row>
    <row r="33" spans="1:10" x14ac:dyDescent="0.3">
      <c r="A33" t="s">
        <v>30</v>
      </c>
      <c r="B33">
        <f>B31+B32</f>
        <v>4981</v>
      </c>
    </row>
    <row r="34" spans="1:10" x14ac:dyDescent="0.3">
      <c r="A34" t="s">
        <v>31</v>
      </c>
      <c r="B34">
        <v>0.17</v>
      </c>
    </row>
    <row r="35" spans="1:10" x14ac:dyDescent="0.3">
      <c r="A35" t="s">
        <v>32</v>
      </c>
      <c r="B35">
        <f>B31/B33*B34</f>
        <v>0.16638225255972697</v>
      </c>
    </row>
    <row r="36" spans="1:10" x14ac:dyDescent="0.3">
      <c r="A36" t="s">
        <v>23</v>
      </c>
      <c r="B36">
        <f>B32/B33*B34</f>
        <v>3.6177474402730378E-3</v>
      </c>
    </row>
    <row r="39" spans="1:10" x14ac:dyDescent="0.3">
      <c r="A39" t="s">
        <v>37</v>
      </c>
      <c r="B39">
        <v>138</v>
      </c>
    </row>
    <row r="40" spans="1:10" x14ac:dyDescent="0.3">
      <c r="A40">
        <v>5</v>
      </c>
      <c r="B40" t="s">
        <v>33</v>
      </c>
      <c r="C40">
        <v>2000</v>
      </c>
      <c r="E40">
        <f>120*A42</f>
        <v>2.7</v>
      </c>
      <c r="G40">
        <f>60*A42/(A41*0.31)</f>
        <v>87.096774193548399</v>
      </c>
      <c r="I40" t="s">
        <v>1</v>
      </c>
      <c r="J40">
        <v>1</v>
      </c>
    </row>
    <row r="41" spans="1:10" x14ac:dyDescent="0.3">
      <c r="A41">
        <f>A40*C41/C40</f>
        <v>0.05</v>
      </c>
      <c r="C41">
        <v>20</v>
      </c>
      <c r="E41">
        <f>E40/(A41*0.36)</f>
        <v>150.00000000000003</v>
      </c>
      <c r="I41" t="s">
        <v>2</v>
      </c>
    </row>
    <row r="42" spans="1:10" x14ac:dyDescent="0.3">
      <c r="A42">
        <f>A41*0.45</f>
        <v>2.2500000000000003E-2</v>
      </c>
      <c r="I42" t="s">
        <v>18</v>
      </c>
      <c r="J42">
        <f>195/(195+101)*0.45</f>
        <v>0.29645270270270269</v>
      </c>
    </row>
    <row r="43" spans="1:10" x14ac:dyDescent="0.3">
      <c r="A43" t="s">
        <v>1</v>
      </c>
      <c r="B43">
        <v>54.9</v>
      </c>
      <c r="D43">
        <v>53.8</v>
      </c>
    </row>
    <row r="44" spans="1:10" x14ac:dyDescent="0.3">
      <c r="A44" t="s">
        <v>2</v>
      </c>
      <c r="B44">
        <v>45.1</v>
      </c>
      <c r="D44">
        <v>46.2</v>
      </c>
    </row>
    <row r="45" spans="1:10" x14ac:dyDescent="0.3">
      <c r="A45" t="s">
        <v>28</v>
      </c>
      <c r="B45">
        <f>B43*195</f>
        <v>10705.5</v>
      </c>
      <c r="D45">
        <f>D43*195</f>
        <v>10491</v>
      </c>
    </row>
    <row r="46" spans="1:10" x14ac:dyDescent="0.3">
      <c r="A46" t="s">
        <v>29</v>
      </c>
      <c r="B46">
        <f>B44*101</f>
        <v>4555.1000000000004</v>
      </c>
      <c r="D46">
        <f>D44*101</f>
        <v>4666.2000000000007</v>
      </c>
    </row>
    <row r="47" spans="1:10" x14ac:dyDescent="0.3">
      <c r="A47" t="s">
        <v>17</v>
      </c>
      <c r="B47">
        <f>B45+B46</f>
        <v>15260.6</v>
      </c>
      <c r="D47">
        <f>D45+D46</f>
        <v>15157.2</v>
      </c>
    </row>
    <row r="48" spans="1:10" x14ac:dyDescent="0.3">
      <c r="A48" t="s">
        <v>162</v>
      </c>
      <c r="B48">
        <f>0.45</f>
        <v>0.45</v>
      </c>
      <c r="D48">
        <f>0.45</f>
        <v>0.45</v>
      </c>
    </row>
    <row r="49" spans="1:10" x14ac:dyDescent="0.3">
      <c r="A49" t="s">
        <v>13</v>
      </c>
      <c r="B49">
        <f>B45/B47*B48</f>
        <v>0.31568057612413664</v>
      </c>
      <c r="D49">
        <f>D45/D47*D48</f>
        <v>0.31146583801757577</v>
      </c>
    </row>
    <row r="50" spans="1:10" x14ac:dyDescent="0.3">
      <c r="A50" t="s">
        <v>23</v>
      </c>
      <c r="B50">
        <f>B46/B47*B48</f>
        <v>0.13431942387586335</v>
      </c>
      <c r="D50">
        <f>D46/D47*D48</f>
        <v>0.13853416198242421</v>
      </c>
    </row>
    <row r="58" spans="1:10" x14ac:dyDescent="0.3">
      <c r="J58">
        <f>101/(195+101)*0.45</f>
        <v>0.1535472972972973</v>
      </c>
    </row>
    <row r="59" spans="1:10" x14ac:dyDescent="0.3">
      <c r="A59" t="s">
        <v>16</v>
      </c>
      <c r="B59">
        <v>140</v>
      </c>
    </row>
    <row r="60" spans="1:10" x14ac:dyDescent="0.3">
      <c r="A60" t="s">
        <v>1</v>
      </c>
      <c r="B60">
        <v>57</v>
      </c>
      <c r="D60">
        <v>55</v>
      </c>
    </row>
    <row r="61" spans="1:10" x14ac:dyDescent="0.3">
      <c r="A61" t="s">
        <v>2</v>
      </c>
      <c r="B61">
        <v>43</v>
      </c>
      <c r="D61">
        <v>45</v>
      </c>
    </row>
    <row r="62" spans="1:10" x14ac:dyDescent="0.3">
      <c r="A62" t="s">
        <v>28</v>
      </c>
      <c r="B62">
        <f>B60*195</f>
        <v>11115</v>
      </c>
      <c r="D62">
        <f>D60*195</f>
        <v>10725</v>
      </c>
    </row>
    <row r="63" spans="1:10" x14ac:dyDescent="0.3">
      <c r="A63" t="s">
        <v>29</v>
      </c>
      <c r="B63">
        <f>B61*106</f>
        <v>4558</v>
      </c>
      <c r="D63">
        <f>D61*106</f>
        <v>4770</v>
      </c>
    </row>
    <row r="64" spans="1:10" x14ac:dyDescent="0.3">
      <c r="A64" t="s">
        <v>30</v>
      </c>
      <c r="B64">
        <f>B62+B63</f>
        <v>15673</v>
      </c>
      <c r="D64">
        <f>D62+D63</f>
        <v>15495</v>
      </c>
    </row>
    <row r="65" spans="1:4" x14ac:dyDescent="0.3">
      <c r="A65" t="s">
        <v>31</v>
      </c>
      <c r="B65">
        <v>0.19500000000000001</v>
      </c>
      <c r="D65">
        <v>0.19400000000000001</v>
      </c>
    </row>
    <row r="66" spans="1:4" x14ac:dyDescent="0.3">
      <c r="A66" t="s">
        <v>32</v>
      </c>
      <c r="B66">
        <f>B62/B64*B65</f>
        <v>0.1382903719772858</v>
      </c>
      <c r="D66">
        <f>D62/D64*D65</f>
        <v>0.13427879961277833</v>
      </c>
    </row>
    <row r="67" spans="1:4" x14ac:dyDescent="0.3">
      <c r="A67" t="s">
        <v>23</v>
      </c>
      <c r="B67">
        <f>B63/B64*B65</f>
        <v>5.6709628022714224E-2</v>
      </c>
      <c r="D67">
        <f>D63/D64*D65</f>
        <v>5.9721200387221694E-2</v>
      </c>
    </row>
    <row r="69" spans="1:4" x14ac:dyDescent="0.3">
      <c r="A69" t="s">
        <v>16</v>
      </c>
      <c r="B69">
        <v>141</v>
      </c>
    </row>
    <row r="70" spans="1:4" x14ac:dyDescent="0.3">
      <c r="A70" t="s">
        <v>42</v>
      </c>
      <c r="B70">
        <v>2</v>
      </c>
      <c r="C70" t="s">
        <v>33</v>
      </c>
    </row>
    <row r="71" spans="1:4" x14ac:dyDescent="0.3">
      <c r="A71" t="s">
        <v>43</v>
      </c>
      <c r="B71">
        <f>2/510</f>
        <v>3.9215686274509803E-3</v>
      </c>
      <c r="C71" t="s">
        <v>44</v>
      </c>
    </row>
    <row r="72" spans="1:4" x14ac:dyDescent="0.3">
      <c r="A72" t="s">
        <v>45</v>
      </c>
      <c r="B72">
        <v>40</v>
      </c>
      <c r="C72" t="s">
        <v>46</v>
      </c>
    </row>
    <row r="73" spans="1:4" x14ac:dyDescent="0.3">
      <c r="A73" t="s">
        <v>47</v>
      </c>
      <c r="B73">
        <f>B71*B72</f>
        <v>0.15686274509803921</v>
      </c>
    </row>
    <row r="75" spans="1:4" x14ac:dyDescent="0.3">
      <c r="A75" t="s">
        <v>16</v>
      </c>
      <c r="B75">
        <v>145</v>
      </c>
    </row>
    <row r="76" spans="1:4" x14ac:dyDescent="0.3">
      <c r="A76" t="s">
        <v>1</v>
      </c>
      <c r="B76">
        <v>1</v>
      </c>
      <c r="D76">
        <v>1</v>
      </c>
    </row>
    <row r="77" spans="1:4" x14ac:dyDescent="0.3">
      <c r="A77" t="s">
        <v>2</v>
      </c>
      <c r="B77">
        <v>1</v>
      </c>
      <c r="D77">
        <v>1</v>
      </c>
    </row>
    <row r="78" spans="1:4" x14ac:dyDescent="0.3">
      <c r="A78" t="s">
        <v>28</v>
      </c>
      <c r="B78">
        <f>B76*195</f>
        <v>195</v>
      </c>
      <c r="D78">
        <f>D76*195</f>
        <v>195</v>
      </c>
    </row>
    <row r="79" spans="1:4" x14ac:dyDescent="0.3">
      <c r="A79" t="s">
        <v>29</v>
      </c>
      <c r="B79">
        <f>B77*106</f>
        <v>106</v>
      </c>
      <c r="D79">
        <f>D77*106</f>
        <v>106</v>
      </c>
    </row>
    <row r="80" spans="1:4" x14ac:dyDescent="0.3">
      <c r="A80" t="s">
        <v>30</v>
      </c>
      <c r="B80">
        <f>B78+B79</f>
        <v>301</v>
      </c>
      <c r="D80">
        <f>D78+D79</f>
        <v>301</v>
      </c>
    </row>
    <row r="81" spans="1:8" x14ac:dyDescent="0.3">
      <c r="A81" t="s">
        <v>31</v>
      </c>
      <c r="B81">
        <v>0.4</v>
      </c>
      <c r="D81">
        <v>0.7</v>
      </c>
    </row>
    <row r="82" spans="1:8" x14ac:dyDescent="0.3">
      <c r="A82" t="s">
        <v>32</v>
      </c>
      <c r="B82">
        <f>B78/B80*B81</f>
        <v>0.25913621262458475</v>
      </c>
      <c r="D82">
        <f>D78/D80*D81</f>
        <v>0.45348837209302323</v>
      </c>
    </row>
    <row r="83" spans="1:8" x14ac:dyDescent="0.3">
      <c r="A83" t="s">
        <v>23</v>
      </c>
      <c r="B83">
        <f>B79/B80*B81</f>
        <v>0.14086378737541527</v>
      </c>
      <c r="D83">
        <f>D79/D80*D81</f>
        <v>0.2465116279069767</v>
      </c>
    </row>
    <row r="85" spans="1:8" x14ac:dyDescent="0.3">
      <c r="A85" t="s">
        <v>16</v>
      </c>
      <c r="B85">
        <v>146</v>
      </c>
    </row>
    <row r="86" spans="1:8" x14ac:dyDescent="0.3">
      <c r="A86" t="s">
        <v>1</v>
      </c>
      <c r="B86">
        <v>1</v>
      </c>
      <c r="D86">
        <v>1</v>
      </c>
    </row>
    <row r="87" spans="1:8" x14ac:dyDescent="0.3">
      <c r="A87" t="s">
        <v>2</v>
      </c>
      <c r="B87">
        <v>1</v>
      </c>
      <c r="D87">
        <v>1</v>
      </c>
    </row>
    <row r="88" spans="1:8" x14ac:dyDescent="0.3">
      <c r="A88" t="s">
        <v>28</v>
      </c>
      <c r="B88">
        <f>B86*195</f>
        <v>195</v>
      </c>
      <c r="D88">
        <f>D86*195</f>
        <v>195</v>
      </c>
      <c r="F88">
        <v>2.6</v>
      </c>
      <c r="G88">
        <v>276</v>
      </c>
      <c r="H88">
        <f>F88/10.55*1000</f>
        <v>246.44549763033174</v>
      </c>
    </row>
    <row r="89" spans="1:8" x14ac:dyDescent="0.3">
      <c r="A89" t="s">
        <v>29</v>
      </c>
      <c r="B89">
        <f>B87*106</f>
        <v>106</v>
      </c>
      <c r="D89">
        <f>D87*106</f>
        <v>106</v>
      </c>
      <c r="F89">
        <v>0.5</v>
      </c>
      <c r="G89">
        <f>F89*G88/F88</f>
        <v>53.076923076923073</v>
      </c>
    </row>
    <row r="90" spans="1:8" x14ac:dyDescent="0.3">
      <c r="A90" t="s">
        <v>30</v>
      </c>
      <c r="B90">
        <f>B88+B89</f>
        <v>301</v>
      </c>
      <c r="D90">
        <f>D88+D89</f>
        <v>301</v>
      </c>
    </row>
    <row r="91" spans="1:8" x14ac:dyDescent="0.3">
      <c r="A91" t="s">
        <v>31</v>
      </c>
      <c r="B91">
        <v>0.23499999999999999</v>
      </c>
      <c r="D91">
        <v>0.26</v>
      </c>
    </row>
    <row r="92" spans="1:8" x14ac:dyDescent="0.3">
      <c r="A92" t="s">
        <v>32</v>
      </c>
      <c r="B92">
        <f>B88/B90*B91</f>
        <v>0.15224252491694351</v>
      </c>
      <c r="D92">
        <f>D88/D90*D91</f>
        <v>0.16843853820598007</v>
      </c>
    </row>
    <row r="93" spans="1:8" x14ac:dyDescent="0.3">
      <c r="A93" t="s">
        <v>23</v>
      </c>
      <c r="B93">
        <f>B89/B90*B91</f>
        <v>8.2757475083056461E-2</v>
      </c>
      <c r="D93">
        <f>D89/D90*D91</f>
        <v>9.156146179401993E-2</v>
      </c>
    </row>
    <row r="97" spans="1:25" x14ac:dyDescent="0.3">
      <c r="A97" t="s">
        <v>16</v>
      </c>
      <c r="B97">
        <v>264</v>
      </c>
    </row>
    <row r="98" spans="1:25" x14ac:dyDescent="0.3">
      <c r="A98" t="s">
        <v>28</v>
      </c>
      <c r="B98">
        <v>12.2</v>
      </c>
      <c r="D98">
        <v>9.8000000000000007</v>
      </c>
      <c r="F98" t="s">
        <v>28</v>
      </c>
      <c r="G98">
        <v>13.4</v>
      </c>
      <c r="I98" t="s">
        <v>28</v>
      </c>
      <c r="J98">
        <v>13.8</v>
      </c>
      <c r="L98" t="s">
        <v>28</v>
      </c>
      <c r="M98">
        <v>11.2</v>
      </c>
      <c r="O98" t="s">
        <v>28</v>
      </c>
      <c r="P98">
        <v>10.199999999999999</v>
      </c>
      <c r="R98" t="s">
        <v>28</v>
      </c>
      <c r="S98">
        <v>12.9</v>
      </c>
      <c r="U98" t="s">
        <v>28</v>
      </c>
      <c r="V98">
        <v>10.7</v>
      </c>
      <c r="X98" t="s">
        <v>28</v>
      </c>
      <c r="Y98">
        <v>11.5</v>
      </c>
    </row>
    <row r="99" spans="1:25" x14ac:dyDescent="0.3">
      <c r="A99" t="s">
        <v>29</v>
      </c>
      <c r="B99">
        <v>5.0999999999999996</v>
      </c>
      <c r="D99">
        <v>5.3</v>
      </c>
      <c r="F99" t="s">
        <v>29</v>
      </c>
      <c r="G99">
        <v>6.9</v>
      </c>
      <c r="I99" t="s">
        <v>29</v>
      </c>
      <c r="J99">
        <v>7.3</v>
      </c>
      <c r="L99" t="s">
        <v>29</v>
      </c>
      <c r="M99">
        <v>6.4</v>
      </c>
      <c r="O99" t="s">
        <v>29</v>
      </c>
      <c r="P99">
        <v>6.6</v>
      </c>
      <c r="R99" t="s">
        <v>29</v>
      </c>
      <c r="S99">
        <v>7.4</v>
      </c>
      <c r="U99" t="s">
        <v>29</v>
      </c>
      <c r="V99">
        <v>7.6</v>
      </c>
      <c r="X99" t="s">
        <v>29</v>
      </c>
      <c r="Y99">
        <v>6.4</v>
      </c>
    </row>
    <row r="100" spans="1:25" x14ac:dyDescent="0.3">
      <c r="A100" t="s">
        <v>55</v>
      </c>
      <c r="B100">
        <v>0</v>
      </c>
      <c r="D100">
        <v>55</v>
      </c>
      <c r="F100" t="s">
        <v>55</v>
      </c>
      <c r="G100">
        <v>70.400000000000006</v>
      </c>
      <c r="I100" t="s">
        <v>55</v>
      </c>
      <c r="J100">
        <v>57.4</v>
      </c>
      <c r="L100" t="s">
        <v>55</v>
      </c>
      <c r="M100">
        <v>46.5</v>
      </c>
      <c r="O100" t="s">
        <v>55</v>
      </c>
      <c r="P100">
        <v>30.8</v>
      </c>
      <c r="R100" t="s">
        <v>55</v>
      </c>
      <c r="S100">
        <v>27.4</v>
      </c>
      <c r="U100" t="s">
        <v>55</v>
      </c>
      <c r="V100">
        <v>18.8</v>
      </c>
      <c r="X100" t="s">
        <v>55</v>
      </c>
      <c r="Y100">
        <v>13.7</v>
      </c>
    </row>
    <row r="101" spans="1:25" x14ac:dyDescent="0.3">
      <c r="A101" t="s">
        <v>53</v>
      </c>
      <c r="B101">
        <v>39.299999999999997</v>
      </c>
      <c r="D101">
        <v>13</v>
      </c>
      <c r="F101" t="s">
        <v>53</v>
      </c>
      <c r="G101">
        <v>0</v>
      </c>
      <c r="I101" t="s">
        <v>53</v>
      </c>
      <c r="J101">
        <v>9.6999999999999993</v>
      </c>
      <c r="L101" t="s">
        <v>53</v>
      </c>
      <c r="M101">
        <v>18</v>
      </c>
      <c r="O101" t="s">
        <v>53</v>
      </c>
      <c r="P101">
        <v>27.2</v>
      </c>
      <c r="R101" t="s">
        <v>53</v>
      </c>
      <c r="S101">
        <v>28.5</v>
      </c>
      <c r="U101" t="s">
        <v>53</v>
      </c>
      <c r="V101">
        <v>35.5</v>
      </c>
      <c r="X101" t="s">
        <v>53</v>
      </c>
      <c r="Y101">
        <v>36</v>
      </c>
    </row>
    <row r="102" spans="1:25" x14ac:dyDescent="0.3">
      <c r="A102" t="s">
        <v>54</v>
      </c>
      <c r="B102">
        <f>B101*80/48</f>
        <v>65.5</v>
      </c>
      <c r="D102">
        <f>D101*80/48</f>
        <v>21.666666666666668</v>
      </c>
      <c r="F102" t="s">
        <v>54</v>
      </c>
      <c r="G102">
        <f>G101*80/48</f>
        <v>0</v>
      </c>
      <c r="I102" t="s">
        <v>54</v>
      </c>
      <c r="J102">
        <f>J101*80/48</f>
        <v>16.166666666666668</v>
      </c>
      <c r="L102" t="s">
        <v>54</v>
      </c>
      <c r="M102">
        <f>M101*80/48</f>
        <v>30</v>
      </c>
      <c r="O102" t="s">
        <v>54</v>
      </c>
      <c r="P102">
        <f>P101*80/48</f>
        <v>45.333333333333336</v>
      </c>
      <c r="R102" t="s">
        <v>54</v>
      </c>
      <c r="S102">
        <f>S101*80/48</f>
        <v>47.5</v>
      </c>
      <c r="U102" t="s">
        <v>54</v>
      </c>
      <c r="V102">
        <f>V101*80/48</f>
        <v>59.166666666666664</v>
      </c>
      <c r="X102" t="s">
        <v>54</v>
      </c>
      <c r="Y102">
        <f>Y101*80/48</f>
        <v>60</v>
      </c>
    </row>
    <row r="103" spans="1:25" x14ac:dyDescent="0.3">
      <c r="A103" t="s">
        <v>12</v>
      </c>
      <c r="B103">
        <f>B98+B99+B102+B100</f>
        <v>82.8</v>
      </c>
      <c r="D103">
        <f>D98+D99+D102+D100</f>
        <v>91.766666666666666</v>
      </c>
      <c r="F103" t="s">
        <v>12</v>
      </c>
      <c r="G103">
        <f>G98+G99+G102+G100</f>
        <v>90.7</v>
      </c>
      <c r="I103" t="s">
        <v>12</v>
      </c>
      <c r="J103">
        <f>J98+J99+J102+J100</f>
        <v>94.666666666666657</v>
      </c>
      <c r="L103" t="s">
        <v>12</v>
      </c>
      <c r="M103">
        <f>M98+M99+M102+M100</f>
        <v>94.1</v>
      </c>
      <c r="O103" t="s">
        <v>12</v>
      </c>
      <c r="P103">
        <f>P98+P99+P102+P100</f>
        <v>92.933333333333337</v>
      </c>
      <c r="R103" t="s">
        <v>12</v>
      </c>
      <c r="S103">
        <f>S98+S99+S102+S100</f>
        <v>95.199999999999989</v>
      </c>
      <c r="U103" t="s">
        <v>12</v>
      </c>
      <c r="V103">
        <f>V98+V99+V102+V100</f>
        <v>96.266666666666666</v>
      </c>
      <c r="X103" t="s">
        <v>12</v>
      </c>
      <c r="Y103">
        <f>Y98+Y99+Y102+Y100</f>
        <v>91.600000000000009</v>
      </c>
    </row>
    <row r="104" spans="1:25" x14ac:dyDescent="0.3">
      <c r="A104" t="s">
        <v>18</v>
      </c>
      <c r="B104">
        <f>B98/B103</f>
        <v>0.14734299516908211</v>
      </c>
      <c r="D104">
        <f>D98/D103</f>
        <v>0.10679258990192518</v>
      </c>
      <c r="F104" t="s">
        <v>18</v>
      </c>
      <c r="G104">
        <f>G98/G103</f>
        <v>0.14773980154355015</v>
      </c>
      <c r="I104" t="s">
        <v>18</v>
      </c>
      <c r="J104">
        <f>J98/J103</f>
        <v>0.14577464788732397</v>
      </c>
      <c r="L104" t="s">
        <v>18</v>
      </c>
      <c r="M104">
        <f>M98/M103</f>
        <v>0.11902231668437832</v>
      </c>
      <c r="O104" t="s">
        <v>18</v>
      </c>
      <c r="P104">
        <f>P98/P103</f>
        <v>0.1097560975609756</v>
      </c>
      <c r="R104" t="s">
        <v>18</v>
      </c>
      <c r="S104">
        <f>S98/S103</f>
        <v>0.13550420168067229</v>
      </c>
      <c r="U104" t="s">
        <v>18</v>
      </c>
      <c r="V104">
        <f>V98/V103</f>
        <v>0.11114958448753462</v>
      </c>
      <c r="X104" t="s">
        <v>18</v>
      </c>
      <c r="Y104">
        <f>Y98/Y103</f>
        <v>0.12554585152838427</v>
      </c>
    </row>
    <row r="105" spans="1:25" x14ac:dyDescent="0.3">
      <c r="A105" t="s">
        <v>23</v>
      </c>
      <c r="B105">
        <f>B99/B103</f>
        <v>6.1594202898550721E-2</v>
      </c>
      <c r="D105">
        <f>D99/D103</f>
        <v>5.7755176171449325E-2</v>
      </c>
      <c r="F105" t="s">
        <v>23</v>
      </c>
      <c r="G105">
        <f>G99/G103</f>
        <v>7.6074972436604188E-2</v>
      </c>
      <c r="I105" t="s">
        <v>23</v>
      </c>
      <c r="J105">
        <f>J99/J103</f>
        <v>7.7112676056338036E-2</v>
      </c>
      <c r="L105" t="s">
        <v>23</v>
      </c>
      <c r="M105">
        <f>M99/M103</f>
        <v>6.8012752391073336E-2</v>
      </c>
      <c r="O105" t="s">
        <v>23</v>
      </c>
      <c r="P105">
        <f>P99/P103</f>
        <v>7.1018651362984214E-2</v>
      </c>
      <c r="R105" t="s">
        <v>23</v>
      </c>
      <c r="S105">
        <f>S99/S103</f>
        <v>7.7731092436974805E-2</v>
      </c>
      <c r="U105" t="s">
        <v>23</v>
      </c>
      <c r="V105">
        <f>V99/V103</f>
        <v>7.8947368421052627E-2</v>
      </c>
      <c r="X105" t="s">
        <v>23</v>
      </c>
      <c r="Y105">
        <f>Y99/Y103</f>
        <v>6.9868995633187769E-2</v>
      </c>
    </row>
    <row r="106" spans="1:25" x14ac:dyDescent="0.3">
      <c r="A106" t="s">
        <v>56</v>
      </c>
      <c r="B106">
        <f>B102/B103</f>
        <v>0.79106280193236722</v>
      </c>
      <c r="D106">
        <f>D102/D103</f>
        <v>0.23610606610969853</v>
      </c>
      <c r="F106" t="s">
        <v>56</v>
      </c>
      <c r="G106">
        <f>G102/G103</f>
        <v>0</v>
      </c>
      <c r="I106" t="s">
        <v>56</v>
      </c>
      <c r="J106">
        <f>J102/J103</f>
        <v>0.17077464788732397</v>
      </c>
      <c r="L106" t="s">
        <v>56</v>
      </c>
      <c r="M106">
        <f>M102/M103</f>
        <v>0.31880977683315626</v>
      </c>
      <c r="O106" t="s">
        <v>56</v>
      </c>
      <c r="P106">
        <f>P102/P103</f>
        <v>0.48780487804878048</v>
      </c>
      <c r="R106" t="s">
        <v>56</v>
      </c>
      <c r="S106">
        <f>S102/S103</f>
        <v>0.49894957983193283</v>
      </c>
      <c r="U106" t="s">
        <v>56</v>
      </c>
      <c r="V106">
        <f>V102/V103</f>
        <v>0.6146121883656509</v>
      </c>
      <c r="X106" t="s">
        <v>56</v>
      </c>
      <c r="Y106">
        <f>Y102/Y103</f>
        <v>0.65502183406113534</v>
      </c>
    </row>
    <row r="107" spans="1:25" x14ac:dyDescent="0.3">
      <c r="D107">
        <f>D100/D103</f>
        <v>0.59934616781692696</v>
      </c>
      <c r="F107" t="s">
        <v>20</v>
      </c>
      <c r="G107">
        <f>G100/G103</f>
        <v>0.77618522601984563</v>
      </c>
      <c r="I107" t="s">
        <v>20</v>
      </c>
      <c r="J107">
        <f>J100/J103</f>
        <v>0.60633802816901416</v>
      </c>
      <c r="L107" t="s">
        <v>20</v>
      </c>
      <c r="M107">
        <f>M100/M103</f>
        <v>0.49415515409139216</v>
      </c>
      <c r="O107" t="s">
        <v>20</v>
      </c>
      <c r="P107">
        <f>P100/P103</f>
        <v>0.33142037302725968</v>
      </c>
      <c r="R107" t="s">
        <v>20</v>
      </c>
      <c r="S107">
        <f>S100/S103</f>
        <v>0.2878151260504202</v>
      </c>
      <c r="U107" t="s">
        <v>20</v>
      </c>
      <c r="V107">
        <f>V100/V103</f>
        <v>0.1952908587257618</v>
      </c>
      <c r="X107" t="s">
        <v>20</v>
      </c>
      <c r="Y107">
        <f>Y100/Y103</f>
        <v>0.14956331877729256</v>
      </c>
    </row>
    <row r="109" spans="1:25" x14ac:dyDescent="0.3">
      <c r="L109" s="1">
        <v>366</v>
      </c>
      <c r="M109">
        <f>L109*(M104+M105)/M104</f>
        <v>575.14285714285711</v>
      </c>
    </row>
    <row r="110" spans="1:25" x14ac:dyDescent="0.3">
      <c r="A110" s="1">
        <v>125</v>
      </c>
      <c r="B110">
        <f>A110*15.9/10.2</f>
        <v>194.85294117647061</v>
      </c>
      <c r="L110" s="1">
        <v>406</v>
      </c>
      <c r="M110">
        <f>L110*(P104+P105)/P104</f>
        <v>668.70588235294122</v>
      </c>
    </row>
    <row r="111" spans="1:25" x14ac:dyDescent="0.3">
      <c r="A111" s="1">
        <v>9</v>
      </c>
      <c r="B111">
        <f>A111*(B104+B105)/B104</f>
        <v>12.762295081967213</v>
      </c>
      <c r="L111" s="1">
        <v>516</v>
      </c>
      <c r="M111">
        <f>L111*(S104+S105)/S104</f>
        <v>812</v>
      </c>
    </row>
    <row r="112" spans="1:25" x14ac:dyDescent="0.3">
      <c r="A112" s="1">
        <v>162</v>
      </c>
      <c r="B112">
        <f>A112*(D104+D105)/D104</f>
        <v>249.61224489795919</v>
      </c>
      <c r="L112" s="1">
        <v>451</v>
      </c>
      <c r="M112">
        <f>L112*(V104+V105)/V104</f>
        <v>771.3364485981308</v>
      </c>
    </row>
    <row r="113" spans="1:13" x14ac:dyDescent="0.3">
      <c r="A113" s="1">
        <v>202</v>
      </c>
      <c r="B113">
        <f>A113*(G104+G105)/G104</f>
        <v>306.01492537313436</v>
      </c>
      <c r="L113" s="1">
        <v>202</v>
      </c>
      <c r="M113">
        <f>L113*(Y104+Y105)/Y104</f>
        <v>314.41739130434786</v>
      </c>
    </row>
    <row r="114" spans="1:13" x14ac:dyDescent="0.3">
      <c r="A114" s="1">
        <v>313</v>
      </c>
      <c r="B114">
        <f>A114*(J104+J105)/J104</f>
        <v>478.57246376811599</v>
      </c>
    </row>
    <row r="117" spans="1:13" x14ac:dyDescent="0.3">
      <c r="A117" t="s">
        <v>7</v>
      </c>
      <c r="B117">
        <v>122</v>
      </c>
    </row>
    <row r="118" spans="1:13" x14ac:dyDescent="0.3">
      <c r="A118" t="s">
        <v>1</v>
      </c>
      <c r="B118">
        <v>45</v>
      </c>
      <c r="D118">
        <v>52</v>
      </c>
    </row>
    <row r="119" spans="1:13" x14ac:dyDescent="0.3">
      <c r="A119" t="s">
        <v>59</v>
      </c>
      <c r="B119">
        <v>55</v>
      </c>
      <c r="D119">
        <v>48</v>
      </c>
    </row>
    <row r="120" spans="1:13" x14ac:dyDescent="0.3">
      <c r="A120" t="s">
        <v>60</v>
      </c>
      <c r="B120">
        <f>B118*195</f>
        <v>8775</v>
      </c>
      <c r="D120">
        <f>D118*195</f>
        <v>10140</v>
      </c>
    </row>
    <row r="121" spans="1:13" x14ac:dyDescent="0.3">
      <c r="A121" t="s">
        <v>61</v>
      </c>
      <c r="B121">
        <f>B119*65</f>
        <v>3575</v>
      </c>
      <c r="D121">
        <f>D119*65</f>
        <v>3120</v>
      </c>
    </row>
    <row r="122" spans="1:13" x14ac:dyDescent="0.3">
      <c r="A122" t="s">
        <v>62</v>
      </c>
      <c r="B122">
        <f>B120+B121</f>
        <v>12350</v>
      </c>
      <c r="D122">
        <f>D120+D121</f>
        <v>13260</v>
      </c>
    </row>
    <row r="123" spans="1:13" x14ac:dyDescent="0.3">
      <c r="A123" t="s">
        <v>64</v>
      </c>
      <c r="B123">
        <v>0.05</v>
      </c>
      <c r="D123">
        <v>7.0000000000000007E-2</v>
      </c>
    </row>
    <row r="124" spans="1:13" x14ac:dyDescent="0.3">
      <c r="A124" t="s">
        <v>13</v>
      </c>
      <c r="B124">
        <f>B120/B122*0.05</f>
        <v>3.5526315789473684E-2</v>
      </c>
      <c r="D124">
        <f>D120/D122*0.07</f>
        <v>5.3529411764705881E-2</v>
      </c>
    </row>
    <row r="125" spans="1:13" x14ac:dyDescent="0.3">
      <c r="A125" t="s">
        <v>63</v>
      </c>
      <c r="B125">
        <f>B121/B122*B123</f>
        <v>1.4473684210526317E-2</v>
      </c>
      <c r="D125">
        <f>D121/D122*D123</f>
        <v>1.6470588235294119E-2</v>
      </c>
    </row>
    <row r="127" spans="1:13" x14ac:dyDescent="0.3">
      <c r="A127" t="s">
        <v>16</v>
      </c>
      <c r="B127">
        <v>154</v>
      </c>
    </row>
    <row r="128" spans="1:13" x14ac:dyDescent="0.3">
      <c r="A128" t="s">
        <v>1</v>
      </c>
      <c r="B128">
        <v>1</v>
      </c>
    </row>
    <row r="129" spans="1:7" x14ac:dyDescent="0.3">
      <c r="A129" t="s">
        <v>2</v>
      </c>
      <c r="B129">
        <v>1</v>
      </c>
    </row>
    <row r="130" spans="1:7" x14ac:dyDescent="0.3">
      <c r="A130" t="s">
        <v>28</v>
      </c>
      <c r="B130">
        <f>B128*195</f>
        <v>195</v>
      </c>
    </row>
    <row r="131" spans="1:7" x14ac:dyDescent="0.3">
      <c r="A131" t="s">
        <v>29</v>
      </c>
      <c r="B131">
        <f>B129*101</f>
        <v>101</v>
      </c>
    </row>
    <row r="132" spans="1:7" x14ac:dyDescent="0.3">
      <c r="A132" t="s">
        <v>30</v>
      </c>
      <c r="B132">
        <f>B130+B131</f>
        <v>296</v>
      </c>
    </row>
    <row r="133" spans="1:7" x14ac:dyDescent="0.3">
      <c r="A133" t="s">
        <v>31</v>
      </c>
      <c r="B133">
        <v>1</v>
      </c>
    </row>
    <row r="134" spans="1:7" x14ac:dyDescent="0.3">
      <c r="A134" t="s">
        <v>32</v>
      </c>
      <c r="B134">
        <f>B130/B132*B133</f>
        <v>0.65878378378378377</v>
      </c>
      <c r="D134">
        <f>0.4/1.3*B134</f>
        <v>0.20270270270270271</v>
      </c>
    </row>
    <row r="135" spans="1:7" x14ac:dyDescent="0.3">
      <c r="A135" t="s">
        <v>23</v>
      </c>
      <c r="B135">
        <f>B131/B132*B133</f>
        <v>0.34121621621621623</v>
      </c>
      <c r="D135">
        <f>0.4/1.3*B135</f>
        <v>0.104989604989605</v>
      </c>
    </row>
    <row r="137" spans="1:7" x14ac:dyDescent="0.3">
      <c r="A137" t="s">
        <v>7</v>
      </c>
      <c r="B137">
        <v>155</v>
      </c>
    </row>
    <row r="138" spans="1:7" x14ac:dyDescent="0.3">
      <c r="A138" t="s">
        <v>1</v>
      </c>
      <c r="B138">
        <v>1.5</v>
      </c>
      <c r="E138">
        <v>1.5</v>
      </c>
      <c r="G138">
        <v>1.6</v>
      </c>
    </row>
    <row r="139" spans="1:7" x14ac:dyDescent="0.3">
      <c r="A139" t="s">
        <v>2</v>
      </c>
      <c r="B139">
        <v>2.6</v>
      </c>
      <c r="E139">
        <v>2.6</v>
      </c>
      <c r="G139">
        <v>2.1</v>
      </c>
    </row>
    <row r="140" spans="1:7" x14ac:dyDescent="0.3">
      <c r="A140" t="s">
        <v>68</v>
      </c>
      <c r="B140">
        <v>84.5</v>
      </c>
      <c r="E140">
        <v>87.3</v>
      </c>
      <c r="G140">
        <v>90.4</v>
      </c>
    </row>
    <row r="141" spans="1:7" x14ac:dyDescent="0.3">
      <c r="A141" t="s">
        <v>12</v>
      </c>
      <c r="B141">
        <f>B138+B139+B140</f>
        <v>88.6</v>
      </c>
      <c r="E141">
        <f>E138+E139+E140</f>
        <v>91.399999999999991</v>
      </c>
      <c r="G141">
        <f>G138+G139+G140</f>
        <v>94.100000000000009</v>
      </c>
    </row>
    <row r="142" spans="1:7" x14ac:dyDescent="0.3">
      <c r="A142" t="s">
        <v>13</v>
      </c>
      <c r="B142">
        <f>B138/B141</f>
        <v>1.6930022573363433E-2</v>
      </c>
      <c r="E142">
        <f>E138/E141</f>
        <v>1.6411378555798689E-2</v>
      </c>
      <c r="G142">
        <f>G138/G141</f>
        <v>1.7003188097768331E-2</v>
      </c>
    </row>
    <row r="143" spans="1:7" x14ac:dyDescent="0.3">
      <c r="A143" t="s">
        <v>23</v>
      </c>
      <c r="B143">
        <f>B139/B141</f>
        <v>2.9345372460496618E-2</v>
      </c>
      <c r="E143">
        <f>E139/E141</f>
        <v>2.8446389496717728E-2</v>
      </c>
      <c r="G143">
        <f>G139/G141</f>
        <v>2.2316684378320933E-2</v>
      </c>
    </row>
    <row r="144" spans="1:7" x14ac:dyDescent="0.3">
      <c r="A144" t="s">
        <v>20</v>
      </c>
      <c r="B144">
        <f>B140/B141</f>
        <v>0.95372460496613998</v>
      </c>
      <c r="E144">
        <f>E140/E141</f>
        <v>0.9551422319474836</v>
      </c>
      <c r="G144">
        <f>G140/G141</f>
        <v>0.96068012752391074</v>
      </c>
    </row>
    <row r="146" spans="1:10" x14ac:dyDescent="0.3">
      <c r="A146" t="s">
        <v>16</v>
      </c>
      <c r="B146">
        <v>159</v>
      </c>
    </row>
    <row r="147" spans="1:10" x14ac:dyDescent="0.3">
      <c r="A147">
        <v>2</v>
      </c>
      <c r="B147" t="s">
        <v>33</v>
      </c>
      <c r="C147">
        <f>500+550</f>
        <v>1050</v>
      </c>
    </row>
    <row r="148" spans="1:10" x14ac:dyDescent="0.3">
      <c r="A148">
        <f>20*2/C147</f>
        <v>3.8095238095238099E-2</v>
      </c>
      <c r="B148" t="s">
        <v>33</v>
      </c>
      <c r="C148">
        <v>20</v>
      </c>
    </row>
    <row r="150" spans="1:10" x14ac:dyDescent="0.3">
      <c r="A150">
        <v>44.27</v>
      </c>
      <c r="B150">
        <f>A150*0.07</f>
        <v>3.0989000000000004</v>
      </c>
      <c r="C150">
        <f>B150/A$148*2</f>
        <v>162.69225</v>
      </c>
    </row>
    <row r="151" spans="1:10" x14ac:dyDescent="0.3">
      <c r="A151">
        <v>47.37</v>
      </c>
      <c r="B151">
        <f t="shared" ref="B151:B153" si="0">A151*0.07</f>
        <v>3.3159000000000001</v>
      </c>
      <c r="C151">
        <f>B151/A$148/0.4</f>
        <v>217.60593749999998</v>
      </c>
    </row>
    <row r="152" spans="1:10" x14ac:dyDescent="0.3">
      <c r="A152">
        <v>38.299999999999997</v>
      </c>
      <c r="B152">
        <f t="shared" si="0"/>
        <v>2.681</v>
      </c>
      <c r="C152">
        <f>B152/A$148/0.25</f>
        <v>281.505</v>
      </c>
    </row>
    <row r="153" spans="1:10" x14ac:dyDescent="0.3">
      <c r="A153">
        <v>27.86</v>
      </c>
      <c r="B153">
        <f t="shared" si="0"/>
        <v>1.9502000000000002</v>
      </c>
      <c r="C153">
        <f>B153/A$148/0.14</f>
        <v>365.66249999999997</v>
      </c>
    </row>
    <row r="155" spans="1:10" x14ac:dyDescent="0.3">
      <c r="A155" t="s">
        <v>16</v>
      </c>
      <c r="B155">
        <v>162</v>
      </c>
    </row>
    <row r="156" spans="1:10" x14ac:dyDescent="0.3">
      <c r="A156" t="s">
        <v>1</v>
      </c>
      <c r="B156">
        <v>20</v>
      </c>
      <c r="D156">
        <v>35</v>
      </c>
      <c r="F156" t="s">
        <v>1</v>
      </c>
      <c r="G156">
        <v>50</v>
      </c>
      <c r="I156" t="s">
        <v>1</v>
      </c>
      <c r="J156">
        <v>65</v>
      </c>
    </row>
    <row r="157" spans="1:10" x14ac:dyDescent="0.3">
      <c r="A157" t="s">
        <v>72</v>
      </c>
      <c r="B157">
        <v>80</v>
      </c>
      <c r="D157">
        <v>65</v>
      </c>
      <c r="F157" t="s">
        <v>72</v>
      </c>
      <c r="G157">
        <v>50</v>
      </c>
      <c r="I157" t="s">
        <v>72</v>
      </c>
      <c r="J157">
        <v>35</v>
      </c>
    </row>
    <row r="158" spans="1:10" x14ac:dyDescent="0.3">
      <c r="A158" t="s">
        <v>28</v>
      </c>
      <c r="B158">
        <f>B156*195</f>
        <v>3900</v>
      </c>
      <c r="D158">
        <f>D156*195</f>
        <v>6825</v>
      </c>
      <c r="F158" t="s">
        <v>28</v>
      </c>
      <c r="G158">
        <f>G156*195</f>
        <v>9750</v>
      </c>
      <c r="I158" t="s">
        <v>28</v>
      </c>
      <c r="J158">
        <f>J156*195</f>
        <v>12675</v>
      </c>
    </row>
    <row r="159" spans="1:10" x14ac:dyDescent="0.3">
      <c r="A159" t="s">
        <v>73</v>
      </c>
      <c r="B159">
        <f>B157*59</f>
        <v>4720</v>
      </c>
      <c r="D159">
        <f>D157*59</f>
        <v>3835</v>
      </c>
      <c r="F159" t="s">
        <v>73</v>
      </c>
      <c r="G159">
        <f>G157*59</f>
        <v>2950</v>
      </c>
      <c r="I159" t="s">
        <v>73</v>
      </c>
      <c r="J159">
        <f>J157*59</f>
        <v>2065</v>
      </c>
    </row>
    <row r="160" spans="1:10" x14ac:dyDescent="0.3">
      <c r="A160" t="s">
        <v>30</v>
      </c>
      <c r="B160">
        <f>B158+B159</f>
        <v>8620</v>
      </c>
      <c r="D160">
        <f>D158+D159</f>
        <v>10660</v>
      </c>
      <c r="F160" t="s">
        <v>30</v>
      </c>
      <c r="G160">
        <f>G158+G159</f>
        <v>12700</v>
      </c>
      <c r="I160" t="s">
        <v>30</v>
      </c>
      <c r="J160">
        <f>J158+J159</f>
        <v>14740</v>
      </c>
    </row>
    <row r="161" spans="1:13" x14ac:dyDescent="0.3">
      <c r="A161" t="s">
        <v>31</v>
      </c>
      <c r="B161">
        <v>0.6</v>
      </c>
      <c r="D161">
        <v>0.6</v>
      </c>
      <c r="F161" t="s">
        <v>31</v>
      </c>
      <c r="G161">
        <v>0.6</v>
      </c>
      <c r="I161" t="s">
        <v>31</v>
      </c>
      <c r="J161">
        <v>0.6</v>
      </c>
    </row>
    <row r="162" spans="1:13" x14ac:dyDescent="0.3">
      <c r="A162" t="s">
        <v>32</v>
      </c>
      <c r="B162">
        <f>B158/B160*B161</f>
        <v>0.27146171693735499</v>
      </c>
      <c r="D162">
        <f>D158/D160*D161</f>
        <v>0.38414634146341464</v>
      </c>
      <c r="F162" t="s">
        <v>32</v>
      </c>
      <c r="G162">
        <f>G158/G160*G161</f>
        <v>0.46062992125984248</v>
      </c>
      <c r="I162" t="s">
        <v>32</v>
      </c>
      <c r="J162">
        <f>J158/J160*J161</f>
        <v>0.51594301221166894</v>
      </c>
    </row>
    <row r="163" spans="1:13" x14ac:dyDescent="0.3">
      <c r="A163" t="s">
        <v>74</v>
      </c>
      <c r="B163">
        <f>B159/B160*B161</f>
        <v>0.32853828306264504</v>
      </c>
      <c r="D163">
        <f>D159/D160*D161</f>
        <v>0.21585365853658536</v>
      </c>
      <c r="F163" t="s">
        <v>74</v>
      </c>
      <c r="G163">
        <f>G159/G160*G161</f>
        <v>0.13937007874015747</v>
      </c>
      <c r="I163" t="s">
        <v>74</v>
      </c>
      <c r="J163">
        <f>J159/J160*J161</f>
        <v>8.4056987788331067E-2</v>
      </c>
    </row>
    <row r="165" spans="1:13" x14ac:dyDescent="0.3">
      <c r="A165" t="s">
        <v>7</v>
      </c>
      <c r="B165">
        <v>164</v>
      </c>
    </row>
    <row r="166" spans="1:13" x14ac:dyDescent="0.3">
      <c r="A166" t="s">
        <v>8</v>
      </c>
      <c r="B166">
        <v>9.16</v>
      </c>
      <c r="E166">
        <v>14.66</v>
      </c>
      <c r="G166">
        <v>16.32</v>
      </c>
      <c r="I166">
        <v>18.079999999999998</v>
      </c>
      <c r="K166">
        <v>14.59</v>
      </c>
    </row>
    <row r="167" spans="1:13" x14ac:dyDescent="0.3">
      <c r="A167" t="s">
        <v>77</v>
      </c>
      <c r="B167">
        <v>9.1</v>
      </c>
      <c r="E167">
        <v>3.64</v>
      </c>
      <c r="G167">
        <v>2.08</v>
      </c>
      <c r="I167">
        <v>0</v>
      </c>
      <c r="K167">
        <v>3.82</v>
      </c>
    </row>
    <row r="168" spans="1:13" x14ac:dyDescent="0.3">
      <c r="A168" t="s">
        <v>76</v>
      </c>
      <c r="B168">
        <f>2.12</f>
        <v>2.12</v>
      </c>
      <c r="E168">
        <v>5.7</v>
      </c>
      <c r="G168">
        <v>5.0599999999999996</v>
      </c>
      <c r="I168">
        <v>5.65</v>
      </c>
      <c r="K168">
        <v>0</v>
      </c>
    </row>
    <row r="169" spans="1:13" x14ac:dyDescent="0.3">
      <c r="A169" t="s">
        <v>78</v>
      </c>
      <c r="B169">
        <f>B168*1825/1152</f>
        <v>3.3585069444444446</v>
      </c>
      <c r="E169">
        <f>E168*1825/1152</f>
        <v>9.0299479166666661</v>
      </c>
      <c r="G169">
        <f>G168*1825/1152</f>
        <v>8.0160590277777786</v>
      </c>
      <c r="I169">
        <f>I168*1825/1152</f>
        <v>8.9507378472222214</v>
      </c>
      <c r="K169">
        <f>K168*1825/1152</f>
        <v>0</v>
      </c>
    </row>
    <row r="170" spans="1:13" x14ac:dyDescent="0.3">
      <c r="A170" t="s">
        <v>51</v>
      </c>
      <c r="B170">
        <f>100-B169-B167-B166</f>
        <v>78.381493055555566</v>
      </c>
      <c r="E170">
        <f>100-E169-E167-E166</f>
        <v>72.670052083333331</v>
      </c>
      <c r="G170">
        <f>100-G169-G167-G166</f>
        <v>73.583940972222223</v>
      </c>
      <c r="I170">
        <f>100-I169-I167-I166</f>
        <v>72.969262152777773</v>
      </c>
      <c r="K170">
        <f>100-K167-K166</f>
        <v>81.59</v>
      </c>
    </row>
    <row r="173" spans="1:13" x14ac:dyDescent="0.3">
      <c r="B173" t="s">
        <v>16</v>
      </c>
    </row>
    <row r="174" spans="1:13" x14ac:dyDescent="0.3">
      <c r="B174" t="s">
        <v>85</v>
      </c>
      <c r="E174" t="s">
        <v>86</v>
      </c>
      <c r="F174" t="s">
        <v>87</v>
      </c>
      <c r="I174">
        <v>1</v>
      </c>
      <c r="J174" t="s">
        <v>88</v>
      </c>
      <c r="K174">
        <v>7.4</v>
      </c>
      <c r="L174" t="s">
        <v>89</v>
      </c>
    </row>
    <row r="175" spans="1:13" x14ac:dyDescent="0.3">
      <c r="B175">
        <v>7.5</v>
      </c>
      <c r="D175">
        <v>5</v>
      </c>
      <c r="E175" t="s">
        <v>80</v>
      </c>
      <c r="I175">
        <v>1.5</v>
      </c>
      <c r="J175" t="s">
        <v>88</v>
      </c>
      <c r="K175">
        <f>I175*K174/I174</f>
        <v>11.100000000000001</v>
      </c>
      <c r="L175" t="s">
        <v>89</v>
      </c>
      <c r="M175">
        <f>195+35*6+2</f>
        <v>407</v>
      </c>
    </row>
    <row r="176" spans="1:13" x14ac:dyDescent="0.3">
      <c r="B176">
        <v>15</v>
      </c>
      <c r="D176">
        <f>B176*5/7.5</f>
        <v>10</v>
      </c>
      <c r="E176">
        <v>11</v>
      </c>
      <c r="F176">
        <f>E176*0.07/0.006</f>
        <v>128.33333333333334</v>
      </c>
      <c r="K176">
        <f>K175/407*195</f>
        <v>5.3181818181818183</v>
      </c>
      <c r="L176" t="s">
        <v>90</v>
      </c>
    </row>
    <row r="177" spans="2:12" x14ac:dyDescent="0.3">
      <c r="B177">
        <v>4.8</v>
      </c>
      <c r="D177">
        <f>B177*5/7.5</f>
        <v>3.2</v>
      </c>
      <c r="E177">
        <v>14</v>
      </c>
      <c r="F177">
        <f t="shared" ref="F177:F182" si="1">E177*0.07/0.006</f>
        <v>163.33333333333334</v>
      </c>
      <c r="I177" t="s">
        <v>80</v>
      </c>
      <c r="K177">
        <v>100</v>
      </c>
      <c r="L177" t="s">
        <v>33</v>
      </c>
    </row>
    <row r="178" spans="2:12" x14ac:dyDescent="0.3">
      <c r="B178">
        <v>6.7</v>
      </c>
      <c r="D178">
        <f t="shared" ref="D178:D183" si="2">B178*5/7.5</f>
        <v>4.4666666666666668</v>
      </c>
      <c r="E178">
        <v>18</v>
      </c>
      <c r="F178">
        <f t="shared" si="1"/>
        <v>210.00000000000003</v>
      </c>
      <c r="I178" t="s">
        <v>91</v>
      </c>
      <c r="K178">
        <f>K176/(K176+K177)</f>
        <v>5.0496331463098836E-2</v>
      </c>
    </row>
    <row r="179" spans="2:12" x14ac:dyDescent="0.3">
      <c r="B179">
        <v>9.5</v>
      </c>
      <c r="D179">
        <f t="shared" si="2"/>
        <v>6.333333333333333</v>
      </c>
      <c r="E179">
        <v>19</v>
      </c>
      <c r="F179">
        <f t="shared" si="1"/>
        <v>221.66666666666669</v>
      </c>
    </row>
    <row r="180" spans="2:12" x14ac:dyDescent="0.3">
      <c r="B180">
        <v>10.6</v>
      </c>
      <c r="D180">
        <f t="shared" si="2"/>
        <v>7.0666666666666664</v>
      </c>
      <c r="E180">
        <v>21</v>
      </c>
      <c r="F180">
        <f t="shared" si="1"/>
        <v>245.00000000000003</v>
      </c>
      <c r="I180" t="s">
        <v>92</v>
      </c>
    </row>
    <row r="181" spans="2:12" x14ac:dyDescent="0.3">
      <c r="B181">
        <v>11.6</v>
      </c>
      <c r="D181">
        <f t="shared" si="2"/>
        <v>7.7333333333333334</v>
      </c>
      <c r="E181">
        <v>24</v>
      </c>
      <c r="F181">
        <f t="shared" si="1"/>
        <v>280</v>
      </c>
      <c r="I181">
        <v>7.6</v>
      </c>
      <c r="J181" t="s">
        <v>33</v>
      </c>
      <c r="K181">
        <v>2000</v>
      </c>
      <c r="L181" t="s">
        <v>93</v>
      </c>
    </row>
    <row r="182" spans="2:12" x14ac:dyDescent="0.3">
      <c r="B182">
        <v>13.45</v>
      </c>
      <c r="D182">
        <f t="shared" si="2"/>
        <v>8.9666666666666668</v>
      </c>
      <c r="E182">
        <v>27</v>
      </c>
      <c r="F182">
        <f t="shared" si="1"/>
        <v>315</v>
      </c>
      <c r="I182">
        <f>I181*K182/K181</f>
        <v>0.114</v>
      </c>
      <c r="J182" t="s">
        <v>33</v>
      </c>
      <c r="K182">
        <v>30</v>
      </c>
      <c r="L182" t="s">
        <v>93</v>
      </c>
    </row>
    <row r="183" spans="2:12" x14ac:dyDescent="0.3">
      <c r="B183">
        <v>15</v>
      </c>
      <c r="D183">
        <f t="shared" si="2"/>
        <v>10</v>
      </c>
      <c r="I183">
        <f>I182*K178</f>
        <v>5.7565817867932679E-3</v>
      </c>
      <c r="J183" t="s">
        <v>94</v>
      </c>
    </row>
    <row r="184" spans="2:12" x14ac:dyDescent="0.3">
      <c r="E184" t="s">
        <v>86</v>
      </c>
      <c r="F184" t="s">
        <v>87</v>
      </c>
    </row>
    <row r="185" spans="2:12" x14ac:dyDescent="0.3">
      <c r="E185" t="s">
        <v>95</v>
      </c>
    </row>
    <row r="186" spans="2:12" x14ac:dyDescent="0.3">
      <c r="E186">
        <v>6.5</v>
      </c>
      <c r="F186">
        <f>E186*0.07/0.006</f>
        <v>75.833333333333343</v>
      </c>
      <c r="I186">
        <v>1</v>
      </c>
      <c r="J186" t="s">
        <v>88</v>
      </c>
      <c r="K186">
        <v>7.4</v>
      </c>
      <c r="L186" t="s">
        <v>96</v>
      </c>
    </row>
    <row r="187" spans="2:12" x14ac:dyDescent="0.3">
      <c r="E187">
        <v>8.5</v>
      </c>
      <c r="F187">
        <f t="shared" ref="F187:F192" si="3">E187*0.07/0.006</f>
        <v>99.166666666666686</v>
      </c>
      <c r="I187">
        <v>1.5</v>
      </c>
      <c r="J187" t="s">
        <v>88</v>
      </c>
      <c r="K187">
        <f>I187*K186/I186</f>
        <v>11.100000000000001</v>
      </c>
      <c r="L187" t="s">
        <v>96</v>
      </c>
    </row>
    <row r="188" spans="2:12" x14ac:dyDescent="0.3">
      <c r="E188">
        <v>11</v>
      </c>
      <c r="F188">
        <f t="shared" si="3"/>
        <v>128.33333333333334</v>
      </c>
      <c r="K188">
        <f>K187/207*101</f>
        <v>5.4159420289855076</v>
      </c>
      <c r="L188" t="s">
        <v>97</v>
      </c>
    </row>
    <row r="189" spans="2:12" x14ac:dyDescent="0.3">
      <c r="E189">
        <v>10</v>
      </c>
      <c r="F189">
        <f t="shared" si="3"/>
        <v>116.66666666666667</v>
      </c>
      <c r="I189" t="s">
        <v>13</v>
      </c>
      <c r="K189">
        <f>K176/(K177+K176+K188)</f>
        <v>4.8026585061727224E-2</v>
      </c>
    </row>
    <row r="190" spans="2:12" x14ac:dyDescent="0.3">
      <c r="E190">
        <v>12</v>
      </c>
      <c r="F190">
        <f t="shared" si="3"/>
        <v>140</v>
      </c>
      <c r="I190" t="s">
        <v>19</v>
      </c>
      <c r="K190">
        <f>K188/(K188+K177+K176)</f>
        <v>4.8909422324598564E-2</v>
      </c>
    </row>
    <row r="191" spans="2:12" x14ac:dyDescent="0.3">
      <c r="E191">
        <v>13</v>
      </c>
      <c r="F191">
        <f t="shared" si="3"/>
        <v>151.66666666666669</v>
      </c>
    </row>
    <row r="192" spans="2:12" x14ac:dyDescent="0.3">
      <c r="E192">
        <v>14.5</v>
      </c>
      <c r="F192">
        <f t="shared" si="3"/>
        <v>169.16666666666669</v>
      </c>
    </row>
    <row r="193" spans="5:12" x14ac:dyDescent="0.3">
      <c r="I193" t="s">
        <v>80</v>
      </c>
      <c r="K193">
        <v>100</v>
      </c>
      <c r="L193" t="s">
        <v>33</v>
      </c>
    </row>
    <row r="194" spans="5:12" x14ac:dyDescent="0.3">
      <c r="E194" t="s">
        <v>86</v>
      </c>
      <c r="F194" t="s">
        <v>98</v>
      </c>
      <c r="I194" t="s">
        <v>91</v>
      </c>
      <c r="K194">
        <f>K188/(K188+K193)</f>
        <v>5.1376878342521685E-2</v>
      </c>
    </row>
    <row r="195" spans="5:12" x14ac:dyDescent="0.3">
      <c r="E195" t="s">
        <v>80</v>
      </c>
    </row>
    <row r="196" spans="5:12" x14ac:dyDescent="0.3">
      <c r="E196">
        <v>9</v>
      </c>
      <c r="F196">
        <f>E196*0.07/0.006</f>
        <v>105.00000000000001</v>
      </c>
      <c r="I196">
        <v>7.6</v>
      </c>
      <c r="J196" t="s">
        <v>33</v>
      </c>
      <c r="K196">
        <v>2000</v>
      </c>
      <c r="L196" t="s">
        <v>93</v>
      </c>
    </row>
    <row r="197" spans="5:12" x14ac:dyDescent="0.3">
      <c r="E197">
        <v>12</v>
      </c>
      <c r="F197">
        <f t="shared" ref="F197:F202" si="4">E197*0.07/0.006</f>
        <v>140</v>
      </c>
      <c r="I197">
        <f>I196*K197/K196</f>
        <v>0.114</v>
      </c>
      <c r="J197" t="s">
        <v>33</v>
      </c>
      <c r="K197">
        <v>30</v>
      </c>
      <c r="L197" t="s">
        <v>93</v>
      </c>
    </row>
    <row r="198" spans="5:12" x14ac:dyDescent="0.3">
      <c r="E198">
        <v>16.5</v>
      </c>
      <c r="F198">
        <f t="shared" si="4"/>
        <v>192.5</v>
      </c>
      <c r="I198">
        <f>I197*K193</f>
        <v>11.4</v>
      </c>
      <c r="J198" t="s">
        <v>94</v>
      </c>
    </row>
    <row r="199" spans="5:12" x14ac:dyDescent="0.3">
      <c r="E199">
        <v>16.5</v>
      </c>
      <c r="F199">
        <f t="shared" si="4"/>
        <v>192.5</v>
      </c>
    </row>
    <row r="200" spans="5:12" x14ac:dyDescent="0.3">
      <c r="E200">
        <v>20</v>
      </c>
      <c r="F200">
        <f t="shared" si="4"/>
        <v>233.33333333333334</v>
      </c>
    </row>
    <row r="201" spans="5:12" x14ac:dyDescent="0.3">
      <c r="E201">
        <v>23</v>
      </c>
      <c r="F201">
        <f t="shared" si="4"/>
        <v>268.33333333333337</v>
      </c>
      <c r="I201">
        <v>1</v>
      </c>
      <c r="J201" t="s">
        <v>88</v>
      </c>
      <c r="K201">
        <v>7.4</v>
      </c>
      <c r="L201" t="s">
        <v>89</v>
      </c>
    </row>
    <row r="202" spans="5:12" x14ac:dyDescent="0.3">
      <c r="E202">
        <v>26</v>
      </c>
      <c r="F202">
        <f t="shared" si="4"/>
        <v>303.33333333333337</v>
      </c>
      <c r="I202">
        <v>1.5</v>
      </c>
      <c r="J202" t="s">
        <v>88</v>
      </c>
      <c r="K202">
        <f>I202*K201/I201</f>
        <v>11.100000000000001</v>
      </c>
      <c r="L202" t="s">
        <v>89</v>
      </c>
    </row>
    <row r="203" spans="5:12" x14ac:dyDescent="0.3">
      <c r="K203">
        <f>K202/407*195</f>
        <v>5.3181818181818183</v>
      </c>
      <c r="L203" t="s">
        <v>90</v>
      </c>
    </row>
    <row r="204" spans="5:12" x14ac:dyDescent="0.3">
      <c r="E204" t="s">
        <v>86</v>
      </c>
      <c r="F204" t="s">
        <v>98</v>
      </c>
      <c r="I204" t="s">
        <v>80</v>
      </c>
      <c r="K204">
        <v>100</v>
      </c>
      <c r="L204" t="s">
        <v>33</v>
      </c>
    </row>
    <row r="205" spans="5:12" x14ac:dyDescent="0.3">
      <c r="E205" t="s">
        <v>95</v>
      </c>
      <c r="I205" t="s">
        <v>91</v>
      </c>
      <c r="K205">
        <f>K203/(K203+K204)</f>
        <v>5.0496331463098836E-2</v>
      </c>
    </row>
    <row r="206" spans="5:12" x14ac:dyDescent="0.3">
      <c r="E206">
        <v>3</v>
      </c>
      <c r="F206">
        <f>E206*0.07/0.006</f>
        <v>35</v>
      </c>
    </row>
    <row r="207" spans="5:12" x14ac:dyDescent="0.3">
      <c r="E207">
        <v>3.9</v>
      </c>
      <c r="F207">
        <f t="shared" ref="F207:F212" si="5">E207*0.07/0.006</f>
        <v>45.5</v>
      </c>
    </row>
    <row r="208" spans="5:12" x14ac:dyDescent="0.3">
      <c r="E208">
        <v>5</v>
      </c>
      <c r="F208">
        <f t="shared" si="5"/>
        <v>58.333333333333336</v>
      </c>
    </row>
    <row r="209" spans="1:12" x14ac:dyDescent="0.3">
      <c r="E209">
        <v>5.5</v>
      </c>
      <c r="F209">
        <f t="shared" si="5"/>
        <v>64.166666666666671</v>
      </c>
      <c r="I209" t="s">
        <v>92</v>
      </c>
    </row>
    <row r="210" spans="1:12" x14ac:dyDescent="0.3">
      <c r="E210">
        <v>5.5</v>
      </c>
      <c r="F210">
        <f t="shared" si="5"/>
        <v>64.166666666666671</v>
      </c>
      <c r="I210">
        <v>7.6</v>
      </c>
      <c r="J210" t="s">
        <v>33</v>
      </c>
      <c r="K210">
        <v>2000</v>
      </c>
      <c r="L210" t="s">
        <v>93</v>
      </c>
    </row>
    <row r="211" spans="1:12" x14ac:dyDescent="0.3">
      <c r="E211">
        <v>6</v>
      </c>
      <c r="F211">
        <f t="shared" si="5"/>
        <v>70</v>
      </c>
      <c r="I211">
        <f>I210*K211/K210</f>
        <v>0.114</v>
      </c>
      <c r="J211" t="s">
        <v>33</v>
      </c>
      <c r="K211">
        <v>30</v>
      </c>
      <c r="L211" t="s">
        <v>93</v>
      </c>
    </row>
    <row r="212" spans="1:12" x14ac:dyDescent="0.3">
      <c r="E212">
        <v>7</v>
      </c>
      <c r="F212">
        <f t="shared" si="5"/>
        <v>81.666666666666671</v>
      </c>
      <c r="I212">
        <f>I211*K194</f>
        <v>5.8569641310474724E-3</v>
      </c>
      <c r="J212" t="s">
        <v>94</v>
      </c>
    </row>
    <row r="214" spans="1:12" x14ac:dyDescent="0.3">
      <c r="A214" t="s">
        <v>16</v>
      </c>
      <c r="B214">
        <v>182</v>
      </c>
    </row>
    <row r="215" spans="1:12" x14ac:dyDescent="0.3">
      <c r="A215" t="s">
        <v>1</v>
      </c>
      <c r="B215">
        <v>0.22</v>
      </c>
    </row>
    <row r="216" spans="1:12" x14ac:dyDescent="0.3">
      <c r="A216" t="s">
        <v>101</v>
      </c>
      <c r="B216">
        <v>7.0000000000000007E-2</v>
      </c>
    </row>
    <row r="217" spans="1:12" x14ac:dyDescent="0.3">
      <c r="A217" t="s">
        <v>68</v>
      </c>
      <c r="B217">
        <v>0.71</v>
      </c>
    </row>
    <row r="218" spans="1:12" x14ac:dyDescent="0.3">
      <c r="A218" t="s">
        <v>28</v>
      </c>
      <c r="B218">
        <f>B215*195</f>
        <v>42.9</v>
      </c>
    </row>
    <row r="219" spans="1:12" x14ac:dyDescent="0.3">
      <c r="A219" t="s">
        <v>103</v>
      </c>
      <c r="B219">
        <f>B216*106</f>
        <v>7.4200000000000008</v>
      </c>
    </row>
    <row r="220" spans="1:12" x14ac:dyDescent="0.3">
      <c r="A220" t="s">
        <v>102</v>
      </c>
      <c r="B220">
        <f>B217*12</f>
        <v>8.52</v>
      </c>
    </row>
    <row r="221" spans="1:12" x14ac:dyDescent="0.3">
      <c r="A221" t="s">
        <v>30</v>
      </c>
      <c r="B221">
        <f>B218+B219+B220</f>
        <v>58.84</v>
      </c>
    </row>
    <row r="222" spans="1:12" x14ac:dyDescent="0.3">
      <c r="A222" t="s">
        <v>31</v>
      </c>
      <c r="B222">
        <v>1</v>
      </c>
    </row>
    <row r="223" spans="1:12" x14ac:dyDescent="0.3">
      <c r="A223" t="s">
        <v>32</v>
      </c>
      <c r="B223">
        <f>B218/B221*B222</f>
        <v>0.7290958531611148</v>
      </c>
    </row>
    <row r="224" spans="1:12" x14ac:dyDescent="0.3">
      <c r="A224" t="s">
        <v>23</v>
      </c>
      <c r="B224">
        <f>B219/B221*B222</f>
        <v>0.12610469068660776</v>
      </c>
    </row>
    <row r="225" spans="1:4" x14ac:dyDescent="0.3">
      <c r="A225" t="s">
        <v>20</v>
      </c>
      <c r="B225">
        <f>B220/B221*100</f>
        <v>14.479945615227734</v>
      </c>
    </row>
    <row r="227" spans="1:4" x14ac:dyDescent="0.3">
      <c r="A227" t="s">
        <v>107</v>
      </c>
      <c r="B227">
        <v>184</v>
      </c>
    </row>
    <row r="228" spans="1:4" x14ac:dyDescent="0.3">
      <c r="A228" t="s">
        <v>1</v>
      </c>
      <c r="B228">
        <f>0.205*0.1*195</f>
        <v>3.9975000000000001</v>
      </c>
    </row>
    <row r="229" spans="1:4" x14ac:dyDescent="0.3">
      <c r="A229" t="s">
        <v>72</v>
      </c>
      <c r="B229">
        <f>0.11*0.1*59</f>
        <v>0.64900000000000002</v>
      </c>
    </row>
    <row r="230" spans="1:4" x14ac:dyDescent="0.3">
      <c r="A230" t="s">
        <v>80</v>
      </c>
      <c r="B230">
        <v>10</v>
      </c>
    </row>
    <row r="231" spans="1:4" x14ac:dyDescent="0.3">
      <c r="A231" t="s">
        <v>110</v>
      </c>
      <c r="B231">
        <f>SUM(B228:B230)</f>
        <v>14.6465</v>
      </c>
    </row>
    <row r="232" spans="1:4" x14ac:dyDescent="0.3">
      <c r="A232" t="s">
        <v>13</v>
      </c>
      <c r="B232">
        <f>B228/B231</f>
        <v>0.27293209981906941</v>
      </c>
    </row>
    <row r="233" spans="1:4" x14ac:dyDescent="0.3">
      <c r="A233" t="s">
        <v>108</v>
      </c>
      <c r="B233">
        <f>B229/B231</f>
        <v>4.4310927525347356E-2</v>
      </c>
    </row>
    <row r="234" spans="1:4" x14ac:dyDescent="0.3">
      <c r="A234" t="s">
        <v>109</v>
      </c>
      <c r="B234">
        <f>B230/B231</f>
        <v>0.68275697265558322</v>
      </c>
    </row>
    <row r="236" spans="1:4" x14ac:dyDescent="0.3">
      <c r="A236" t="s">
        <v>107</v>
      </c>
      <c r="B236">
        <v>185</v>
      </c>
    </row>
    <row r="237" spans="1:4" x14ac:dyDescent="0.3">
      <c r="A237" t="s">
        <v>1</v>
      </c>
      <c r="B237">
        <f>155/512*195</f>
        <v>59.033203125</v>
      </c>
      <c r="D237">
        <f>155/512*195</f>
        <v>59.033203125</v>
      </c>
    </row>
    <row r="238" spans="1:4" x14ac:dyDescent="0.3">
      <c r="A238" t="s">
        <v>72</v>
      </c>
      <c r="B238">
        <f>71.4/238*59</f>
        <v>17.700000000000003</v>
      </c>
      <c r="D238">
        <v>0</v>
      </c>
    </row>
    <row r="239" spans="1:4" x14ac:dyDescent="0.3">
      <c r="A239" t="s">
        <v>80</v>
      </c>
      <c r="B239">
        <v>35</v>
      </c>
      <c r="D239">
        <v>35</v>
      </c>
    </row>
    <row r="240" spans="1:4" x14ac:dyDescent="0.3">
      <c r="A240" t="s">
        <v>110</v>
      </c>
      <c r="B240">
        <f>SUM(B237:B239)</f>
        <v>111.733203125</v>
      </c>
      <c r="D240">
        <f>SUM(D237:D239)</f>
        <v>94.033203125</v>
      </c>
    </row>
    <row r="241" spans="1:4" x14ac:dyDescent="0.3">
      <c r="A241" t="s">
        <v>13</v>
      </c>
      <c r="B241">
        <f>B237/B240</f>
        <v>0.52834073913514679</v>
      </c>
      <c r="D241">
        <f>D237/D240</f>
        <v>0.62779104787620732</v>
      </c>
    </row>
    <row r="242" spans="1:4" x14ac:dyDescent="0.3">
      <c r="A242" t="s">
        <v>108</v>
      </c>
      <c r="B242">
        <f>B238/B240</f>
        <v>0.15841307243468505</v>
      </c>
      <c r="D242">
        <f>D238/D240</f>
        <v>0</v>
      </c>
    </row>
    <row r="243" spans="1:4" x14ac:dyDescent="0.3">
      <c r="A243" t="s">
        <v>109</v>
      </c>
      <c r="B243">
        <f>B239/B240</f>
        <v>0.3132461884301681</v>
      </c>
      <c r="D243">
        <f>D239/D240</f>
        <v>0.37220895212379274</v>
      </c>
    </row>
    <row r="245" spans="1:4" x14ac:dyDescent="0.3">
      <c r="A245" t="s">
        <v>7</v>
      </c>
      <c r="B245">
        <v>187</v>
      </c>
    </row>
    <row r="246" spans="1:4" x14ac:dyDescent="0.3">
      <c r="A246" t="s">
        <v>1</v>
      </c>
      <c r="B246">
        <f>33/512*195</f>
        <v>12.568359375</v>
      </c>
    </row>
    <row r="247" spans="1:4" x14ac:dyDescent="0.3">
      <c r="A247" t="s">
        <v>113</v>
      </c>
      <c r="B247">
        <f>26/404*55</f>
        <v>3.5396039603960396</v>
      </c>
    </row>
    <row r="248" spans="1:4" x14ac:dyDescent="0.3">
      <c r="A248" t="s">
        <v>80</v>
      </c>
      <c r="B248">
        <v>0</v>
      </c>
    </row>
    <row r="249" spans="1:4" x14ac:dyDescent="0.3">
      <c r="A249" t="s">
        <v>110</v>
      </c>
      <c r="B249">
        <f>SUM(B246:B248)</f>
        <v>16.10796333539604</v>
      </c>
    </row>
    <row r="250" spans="1:4" x14ac:dyDescent="0.3">
      <c r="A250" t="s">
        <v>13</v>
      </c>
      <c r="B250">
        <f>B246/B249</f>
        <v>0.78025751072961369</v>
      </c>
    </row>
    <row r="251" spans="1:4" x14ac:dyDescent="0.3">
      <c r="A251" t="s">
        <v>108</v>
      </c>
      <c r="B251">
        <f>B247/B249</f>
        <v>0.21974248927038625</v>
      </c>
    </row>
    <row r="252" spans="1:4" x14ac:dyDescent="0.3">
      <c r="A252" t="s">
        <v>109</v>
      </c>
      <c r="B252">
        <f>B248/B249</f>
        <v>0</v>
      </c>
    </row>
    <row r="254" spans="1:4" x14ac:dyDescent="0.3">
      <c r="A254" t="s">
        <v>16</v>
      </c>
      <c r="B254">
        <v>188</v>
      </c>
    </row>
    <row r="255" spans="1:4" x14ac:dyDescent="0.3">
      <c r="A255" t="s">
        <v>1</v>
      </c>
      <c r="B255">
        <v>2</v>
      </c>
    </row>
    <row r="256" spans="1:4" x14ac:dyDescent="0.3">
      <c r="A256" t="s">
        <v>116</v>
      </c>
      <c r="B256">
        <v>1</v>
      </c>
    </row>
    <row r="257" spans="1:5" x14ac:dyDescent="0.3">
      <c r="A257" t="s">
        <v>10</v>
      </c>
      <c r="B257">
        <f>B255*195</f>
        <v>390</v>
      </c>
    </row>
    <row r="258" spans="1:5" x14ac:dyDescent="0.3">
      <c r="A258" t="s">
        <v>117</v>
      </c>
      <c r="B258">
        <f>B256*64</f>
        <v>64</v>
      </c>
    </row>
    <row r="259" spans="1:5" x14ac:dyDescent="0.3">
      <c r="A259" t="s">
        <v>30</v>
      </c>
      <c r="B259">
        <f>B257+B258</f>
        <v>454</v>
      </c>
    </row>
    <row r="260" spans="1:5" x14ac:dyDescent="0.3">
      <c r="A260" t="s">
        <v>13</v>
      </c>
      <c r="B260">
        <f>B257/B259</f>
        <v>0.8590308370044053</v>
      </c>
      <c r="C260">
        <f>B260/B261</f>
        <v>6.0937499999999991</v>
      </c>
    </row>
    <row r="261" spans="1:5" x14ac:dyDescent="0.3">
      <c r="A261" t="s">
        <v>118</v>
      </c>
      <c r="B261">
        <f>B258/B259</f>
        <v>0.14096916299559473</v>
      </c>
      <c r="C261">
        <f>12.5/C260</f>
        <v>2.0512820512820515</v>
      </c>
    </row>
    <row r="263" spans="1:5" x14ac:dyDescent="0.3">
      <c r="A263" t="s">
        <v>7</v>
      </c>
      <c r="B263">
        <v>189</v>
      </c>
    </row>
    <row r="264" spans="1:5" x14ac:dyDescent="0.3">
      <c r="A264" t="s">
        <v>68</v>
      </c>
      <c r="B264">
        <f>1-B265-B266</f>
        <v>0.98799999999999999</v>
      </c>
    </row>
    <row r="265" spans="1:5" x14ac:dyDescent="0.3">
      <c r="A265" t="s">
        <v>1</v>
      </c>
      <c r="B265">
        <v>9.1999999999999998E-3</v>
      </c>
    </row>
    <row r="266" spans="1:5" x14ac:dyDescent="0.3">
      <c r="A266" t="s">
        <v>202</v>
      </c>
      <c r="B266">
        <v>2.8E-3</v>
      </c>
      <c r="D266">
        <v>119</v>
      </c>
      <c r="E266">
        <v>151</v>
      </c>
    </row>
    <row r="267" spans="1:5" x14ac:dyDescent="0.3">
      <c r="D267">
        <v>0.22</v>
      </c>
      <c r="E267">
        <f>D267*E266/D266</f>
        <v>0.27915966386554619</v>
      </c>
    </row>
    <row r="269" spans="1:5" x14ac:dyDescent="0.3">
      <c r="A269" t="s">
        <v>7</v>
      </c>
      <c r="B269">
        <v>192</v>
      </c>
    </row>
    <row r="270" spans="1:5" x14ac:dyDescent="0.3">
      <c r="A270" t="s">
        <v>1</v>
      </c>
      <c r="B270">
        <f>10*0.02/1000*195</f>
        <v>3.9E-2</v>
      </c>
      <c r="C270">
        <f>B270*1000</f>
        <v>39</v>
      </c>
    </row>
    <row r="271" spans="1:5" x14ac:dyDescent="0.3">
      <c r="A271" t="s">
        <v>121</v>
      </c>
      <c r="B271">
        <f>10*0.02/1000*197</f>
        <v>3.9400000000000004E-2</v>
      </c>
      <c r="C271">
        <f t="shared" ref="C271:C272" si="6">B271*1000</f>
        <v>39.400000000000006</v>
      </c>
    </row>
    <row r="272" spans="1:5" x14ac:dyDescent="0.3">
      <c r="A272" t="s">
        <v>101</v>
      </c>
      <c r="B272">
        <f>10*0.02/1000*106</f>
        <v>2.12E-2</v>
      </c>
      <c r="C272">
        <f t="shared" si="6"/>
        <v>21.2</v>
      </c>
    </row>
    <row r="273" spans="1:9" x14ac:dyDescent="0.3">
      <c r="A273" t="s">
        <v>68</v>
      </c>
      <c r="B273">
        <v>90</v>
      </c>
      <c r="C273">
        <f>B273</f>
        <v>90</v>
      </c>
    </row>
    <row r="274" spans="1:9" x14ac:dyDescent="0.3">
      <c r="B274">
        <f>B273+B272+B271+B270</f>
        <v>90.099599999999995</v>
      </c>
      <c r="C274">
        <f>C273+C272+C271+C270</f>
        <v>189.60000000000002</v>
      </c>
    </row>
    <row r="275" spans="1:9" x14ac:dyDescent="0.3">
      <c r="B275">
        <f>B270/B274</f>
        <v>4.3285430789925816E-4</v>
      </c>
    </row>
    <row r="277" spans="1:9" x14ac:dyDescent="0.3">
      <c r="A277" t="s">
        <v>7</v>
      </c>
      <c r="B277">
        <v>194</v>
      </c>
    </row>
    <row r="278" spans="1:9" x14ac:dyDescent="0.3">
      <c r="A278" t="s">
        <v>116</v>
      </c>
      <c r="B278">
        <f>0.0326/(63+70)</f>
        <v>2.451127819548872E-4</v>
      </c>
      <c r="E278">
        <f>0.0326/(63+70)</f>
        <v>2.451127819548872E-4</v>
      </c>
      <c r="G278">
        <f>0.0326/(63+70)</f>
        <v>2.451127819548872E-4</v>
      </c>
      <c r="I278">
        <f>0.0326/(63+70)</f>
        <v>2.451127819548872E-4</v>
      </c>
    </row>
    <row r="279" spans="1:9" x14ac:dyDescent="0.3">
      <c r="A279" t="s">
        <v>1</v>
      </c>
      <c r="B279">
        <f>0.17/0.83*B278</f>
        <v>5.0203822810037146E-5</v>
      </c>
      <c r="E279">
        <f>0.3/0.7*E278</f>
        <v>1.0504833512352309E-4</v>
      </c>
      <c r="G279">
        <f>0.14/0.76*G278</f>
        <v>4.5152354570637117E-5</v>
      </c>
      <c r="I279">
        <f>0.1/0.9*I278</f>
        <v>2.7234753550543023E-5</v>
      </c>
    </row>
    <row r="280" spans="1:9" x14ac:dyDescent="0.3">
      <c r="A280" t="s">
        <v>123</v>
      </c>
      <c r="B280">
        <f>B278*63*1000</f>
        <v>15.442105263157893</v>
      </c>
      <c r="E280">
        <f>E278*63*1000</f>
        <v>15.442105263157893</v>
      </c>
      <c r="G280">
        <f>G278*63*1000</f>
        <v>15.442105263157893</v>
      </c>
      <c r="I280">
        <f>I278*63*1000</f>
        <v>15.442105263157893</v>
      </c>
    </row>
    <row r="281" spans="1:9" x14ac:dyDescent="0.3">
      <c r="A281" t="s">
        <v>28</v>
      </c>
      <c r="B281">
        <f>B279*195*1000</f>
        <v>9.7897454479572428</v>
      </c>
      <c r="E281">
        <f>E279*195*1000</f>
        <v>20.484425349087005</v>
      </c>
      <c r="G281">
        <f>G279*195*1000</f>
        <v>8.8047091412742375</v>
      </c>
      <c r="I281">
        <f>I279*195*1000</f>
        <v>5.310776942355889</v>
      </c>
    </row>
    <row r="282" spans="1:9" x14ac:dyDescent="0.3">
      <c r="A282" t="s">
        <v>68</v>
      </c>
      <c r="B282">
        <v>20</v>
      </c>
      <c r="E282">
        <v>20</v>
      </c>
      <c r="G282">
        <v>20</v>
      </c>
      <c r="I282">
        <v>20</v>
      </c>
    </row>
    <row r="283" spans="1:9" x14ac:dyDescent="0.3">
      <c r="A283" t="s">
        <v>17</v>
      </c>
      <c r="B283">
        <f>B280+B281+B282</f>
        <v>45.231850711115136</v>
      </c>
      <c r="E283">
        <f>E280+E281+E282</f>
        <v>55.926530612244896</v>
      </c>
      <c r="G283">
        <f>G280+G281+G282</f>
        <v>44.246814404432129</v>
      </c>
      <c r="I283">
        <f>I280+I281+I282</f>
        <v>40.752882205513785</v>
      </c>
    </row>
    <row r="284" spans="1:9" x14ac:dyDescent="0.3">
      <c r="A284" t="s">
        <v>20</v>
      </c>
      <c r="B284">
        <f>B282/B283</f>
        <v>0.44216629842840505</v>
      </c>
      <c r="E284">
        <f>E282/E283</f>
        <v>0.35761202744124948</v>
      </c>
      <c r="G284">
        <f>G282/G283</f>
        <v>0.45200994171450753</v>
      </c>
      <c r="I284">
        <f>I282/I283</f>
        <v>0.49076283486261102</v>
      </c>
    </row>
    <row r="285" spans="1:9" x14ac:dyDescent="0.3">
      <c r="A285" t="s">
        <v>124</v>
      </c>
      <c r="B285">
        <f>B280/B283</f>
        <v>0.34139892620761586</v>
      </c>
      <c r="E285">
        <f>E280/E283</f>
        <v>0.27611412855595419</v>
      </c>
      <c r="G285">
        <f>G280/G283</f>
        <v>0.34899925499746448</v>
      </c>
      <c r="I285">
        <f>I280/I283</f>
        <v>0.37892056775971067</v>
      </c>
    </row>
    <row r="286" spans="1:9" x14ac:dyDescent="0.3">
      <c r="A286" t="s">
        <v>13</v>
      </c>
      <c r="B286">
        <f>B281/B283</f>
        <v>0.21643477536397909</v>
      </c>
      <c r="E286">
        <f>E281/E283</f>
        <v>0.36627384400279639</v>
      </c>
      <c r="G286">
        <f>G281/G283</f>
        <v>0.19899080328802801</v>
      </c>
      <c r="I286">
        <f>I281/I283</f>
        <v>0.13031659737767826</v>
      </c>
    </row>
    <row r="289" spans="1:7" x14ac:dyDescent="0.3">
      <c r="A289" t="s">
        <v>7</v>
      </c>
      <c r="B289">
        <v>219</v>
      </c>
    </row>
    <row r="290" spans="1:7" x14ac:dyDescent="0.3">
      <c r="A290">
        <v>2.5</v>
      </c>
      <c r="B290">
        <v>2</v>
      </c>
    </row>
    <row r="291" spans="1:7" x14ac:dyDescent="0.3">
      <c r="A291">
        <v>15</v>
      </c>
      <c r="B291">
        <f>A291*B290/A290</f>
        <v>12</v>
      </c>
      <c r="D291" t="s">
        <v>127</v>
      </c>
      <c r="E291" t="s">
        <v>128</v>
      </c>
    </row>
    <row r="292" spans="1:7" x14ac:dyDescent="0.3">
      <c r="A292">
        <v>1.4</v>
      </c>
      <c r="B292">
        <f>A292*B$290/A$290</f>
        <v>1.1199999999999999</v>
      </c>
      <c r="C292">
        <f>2+B292</f>
        <v>3.12</v>
      </c>
      <c r="D292">
        <v>225</v>
      </c>
      <c r="E292">
        <v>62</v>
      </c>
    </row>
    <row r="293" spans="1:7" x14ac:dyDescent="0.3">
      <c r="A293">
        <v>3.1</v>
      </c>
      <c r="B293">
        <f t="shared" ref="B293:B296" si="7">A293*B$290/A$290</f>
        <v>2.48</v>
      </c>
      <c r="C293">
        <f t="shared" ref="C293:C296" si="8">2+B293</f>
        <v>4.4800000000000004</v>
      </c>
      <c r="D293">
        <v>275</v>
      </c>
      <c r="E293">
        <v>75</v>
      </c>
    </row>
    <row r="294" spans="1:7" x14ac:dyDescent="0.3">
      <c r="A294">
        <v>6.35</v>
      </c>
      <c r="B294">
        <f t="shared" si="7"/>
        <v>5.08</v>
      </c>
      <c r="C294">
        <f t="shared" si="8"/>
        <v>7.08</v>
      </c>
      <c r="D294">
        <v>290</v>
      </c>
      <c r="E294">
        <v>100</v>
      </c>
    </row>
    <row r="295" spans="1:7" x14ac:dyDescent="0.3">
      <c r="A295">
        <v>9.9</v>
      </c>
      <c r="B295">
        <f t="shared" si="7"/>
        <v>7.92</v>
      </c>
      <c r="C295">
        <f t="shared" si="8"/>
        <v>9.92</v>
      </c>
      <c r="D295">
        <v>338</v>
      </c>
      <c r="E295">
        <v>120</v>
      </c>
    </row>
    <row r="296" spans="1:7" x14ac:dyDescent="0.3">
      <c r="A296">
        <v>15.1</v>
      </c>
      <c r="B296">
        <f t="shared" si="7"/>
        <v>12.08</v>
      </c>
      <c r="C296">
        <f t="shared" si="8"/>
        <v>14.08</v>
      </c>
      <c r="D296">
        <v>438</v>
      </c>
      <c r="E296">
        <v>142</v>
      </c>
    </row>
    <row r="299" spans="1:7" x14ac:dyDescent="0.3">
      <c r="A299" t="s">
        <v>7</v>
      </c>
      <c r="B299">
        <v>230</v>
      </c>
    </row>
    <row r="300" spans="1:7" x14ac:dyDescent="0.3">
      <c r="A300" t="s">
        <v>1</v>
      </c>
      <c r="B300">
        <v>3</v>
      </c>
      <c r="D300">
        <v>2</v>
      </c>
      <c r="F300" t="s">
        <v>1</v>
      </c>
      <c r="G300">
        <v>1</v>
      </c>
    </row>
    <row r="301" spans="1:7" x14ac:dyDescent="0.3">
      <c r="A301" t="s">
        <v>2</v>
      </c>
      <c r="B301">
        <v>1</v>
      </c>
      <c r="D301">
        <v>1</v>
      </c>
      <c r="F301" t="s">
        <v>2</v>
      </c>
      <c r="G301">
        <v>1</v>
      </c>
    </row>
    <row r="302" spans="1:7" x14ac:dyDescent="0.3">
      <c r="A302" t="s">
        <v>28</v>
      </c>
      <c r="B302">
        <f>B300*195</f>
        <v>585</v>
      </c>
      <c r="D302">
        <f>D300*195</f>
        <v>390</v>
      </c>
      <c r="F302" t="s">
        <v>28</v>
      </c>
      <c r="G302">
        <f>G300*195</f>
        <v>195</v>
      </c>
    </row>
    <row r="303" spans="1:7" x14ac:dyDescent="0.3">
      <c r="A303" t="s">
        <v>29</v>
      </c>
      <c r="B303">
        <f>B301*106</f>
        <v>106</v>
      </c>
      <c r="D303">
        <f>D301*106</f>
        <v>106</v>
      </c>
      <c r="F303" t="s">
        <v>29</v>
      </c>
      <c r="G303">
        <f>G301*106</f>
        <v>106</v>
      </c>
    </row>
    <row r="304" spans="1:7" x14ac:dyDescent="0.3">
      <c r="A304" t="s">
        <v>30</v>
      </c>
      <c r="B304">
        <f>B302+B303</f>
        <v>691</v>
      </c>
      <c r="D304">
        <f>D302+D303</f>
        <v>496</v>
      </c>
      <c r="F304" t="s">
        <v>30</v>
      </c>
      <c r="G304">
        <f>G302+G303</f>
        <v>301</v>
      </c>
    </row>
    <row r="305" spans="1:7" x14ac:dyDescent="0.3">
      <c r="A305" t="s">
        <v>31</v>
      </c>
      <c r="B305">
        <v>0.3</v>
      </c>
      <c r="D305">
        <v>0.3</v>
      </c>
      <c r="F305" t="s">
        <v>31</v>
      </c>
      <c r="G305">
        <v>0.3</v>
      </c>
    </row>
    <row r="306" spans="1:7" x14ac:dyDescent="0.3">
      <c r="A306" t="s">
        <v>32</v>
      </c>
      <c r="B306">
        <f>B302/B304*B305</f>
        <v>0.25397973950795943</v>
      </c>
      <c r="D306">
        <f>D302/D304*D305</f>
        <v>0.23588709677419353</v>
      </c>
      <c r="F306" t="s">
        <v>32</v>
      </c>
      <c r="G306">
        <f>G302/G304*G305</f>
        <v>0.19435215946843853</v>
      </c>
    </row>
    <row r="307" spans="1:7" x14ac:dyDescent="0.3">
      <c r="A307" t="s">
        <v>23</v>
      </c>
      <c r="B307">
        <f>B303/B304*B305</f>
        <v>4.602026049204052E-2</v>
      </c>
      <c r="D307">
        <f>D303/D304*D305</f>
        <v>6.4112903225806456E-2</v>
      </c>
      <c r="F307" t="s">
        <v>23</v>
      </c>
      <c r="G307">
        <f>G303/G304*G305</f>
        <v>0.10564784053156145</v>
      </c>
    </row>
    <row r="310" spans="1:7" x14ac:dyDescent="0.3">
      <c r="A310" t="s">
        <v>7</v>
      </c>
      <c r="B310">
        <v>235</v>
      </c>
    </row>
    <row r="311" spans="1:7" x14ac:dyDescent="0.3">
      <c r="A311" t="s">
        <v>136</v>
      </c>
      <c r="B311">
        <v>4.4000000000000004</v>
      </c>
    </row>
    <row r="312" spans="1:7" x14ac:dyDescent="0.3">
      <c r="A312" t="s">
        <v>68</v>
      </c>
      <c r="B312">
        <f>100-B311</f>
        <v>95.6</v>
      </c>
    </row>
    <row r="313" spans="1:7" x14ac:dyDescent="0.3">
      <c r="A313" t="s">
        <v>137</v>
      </c>
      <c r="B313">
        <f>B311*10</f>
        <v>44</v>
      </c>
    </row>
    <row r="314" spans="1:7" x14ac:dyDescent="0.3">
      <c r="A314" t="s">
        <v>138</v>
      </c>
      <c r="B314">
        <f>B312*12</f>
        <v>1147.1999999999998</v>
      </c>
    </row>
    <row r="315" spans="1:7" x14ac:dyDescent="0.3">
      <c r="A315" t="s">
        <v>47</v>
      </c>
      <c r="B315">
        <f>B314+B313</f>
        <v>1191.1999999999998</v>
      </c>
    </row>
    <row r="316" spans="1:7" x14ac:dyDescent="0.3">
      <c r="A316" t="s">
        <v>139</v>
      </c>
      <c r="B316">
        <f>B313/B315</f>
        <v>3.6937541974479522E-2</v>
      </c>
    </row>
    <row r="317" spans="1:7" x14ac:dyDescent="0.3">
      <c r="A317" t="s">
        <v>140</v>
      </c>
      <c r="B317">
        <f>B314/B315</f>
        <v>0.96306245802552048</v>
      </c>
    </row>
    <row r="319" spans="1:7" x14ac:dyDescent="0.3">
      <c r="A319" t="s">
        <v>143</v>
      </c>
      <c r="B319">
        <v>237</v>
      </c>
    </row>
    <row r="320" spans="1:7" x14ac:dyDescent="0.3">
      <c r="A320" t="s">
        <v>1</v>
      </c>
      <c r="B320">
        <v>3</v>
      </c>
      <c r="D320">
        <v>1</v>
      </c>
      <c r="F320" t="s">
        <v>1</v>
      </c>
      <c r="G320">
        <v>1</v>
      </c>
    </row>
    <row r="321" spans="1:9" x14ac:dyDescent="0.3">
      <c r="A321" t="s">
        <v>72</v>
      </c>
      <c r="B321">
        <v>1</v>
      </c>
      <c r="D321">
        <v>1</v>
      </c>
      <c r="F321" t="s">
        <v>72</v>
      </c>
      <c r="G321">
        <v>3</v>
      </c>
    </row>
    <row r="322" spans="1:9" x14ac:dyDescent="0.3">
      <c r="A322" t="s">
        <v>28</v>
      </c>
      <c r="B322">
        <f>B320*195</f>
        <v>585</v>
      </c>
      <c r="D322">
        <f>D320*195</f>
        <v>195</v>
      </c>
      <c r="F322" t="s">
        <v>28</v>
      </c>
      <c r="G322">
        <f>G320*195</f>
        <v>195</v>
      </c>
    </row>
    <row r="323" spans="1:9" x14ac:dyDescent="0.3">
      <c r="A323" t="s">
        <v>73</v>
      </c>
      <c r="B323">
        <f>B321*59</f>
        <v>59</v>
      </c>
      <c r="D323">
        <f>D321*59</f>
        <v>59</v>
      </c>
      <c r="F323" t="s">
        <v>73</v>
      </c>
      <c r="G323">
        <f>G321*59</f>
        <v>177</v>
      </c>
    </row>
    <row r="324" spans="1:9" x14ac:dyDescent="0.3">
      <c r="A324" t="s">
        <v>30</v>
      </c>
      <c r="B324">
        <f>B322+B323</f>
        <v>644</v>
      </c>
      <c r="D324">
        <f>D322+D323</f>
        <v>254</v>
      </c>
      <c r="F324" t="s">
        <v>30</v>
      </c>
      <c r="G324">
        <f>G322+G323</f>
        <v>372</v>
      </c>
    </row>
    <row r="325" spans="1:9" x14ac:dyDescent="0.3">
      <c r="A325" t="s">
        <v>31</v>
      </c>
      <c r="B325">
        <v>1</v>
      </c>
      <c r="D325">
        <v>1</v>
      </c>
      <c r="F325" t="s">
        <v>31</v>
      </c>
      <c r="G325">
        <v>1</v>
      </c>
    </row>
    <row r="326" spans="1:9" x14ac:dyDescent="0.3">
      <c r="A326" t="s">
        <v>32</v>
      </c>
      <c r="B326">
        <f>B322/B324*B325</f>
        <v>0.90838509316770188</v>
      </c>
      <c r="D326">
        <f>D322/D324*D325</f>
        <v>0.76771653543307083</v>
      </c>
      <c r="F326" t="s">
        <v>32</v>
      </c>
      <c r="G326">
        <f>G322/G324*G325</f>
        <v>0.52419354838709675</v>
      </c>
    </row>
    <row r="327" spans="1:9" x14ac:dyDescent="0.3">
      <c r="A327" t="s">
        <v>74</v>
      </c>
      <c r="B327">
        <f>B323/B324*B325</f>
        <v>9.1614906832298143E-2</v>
      </c>
      <c r="D327">
        <f>D323/D324*D325</f>
        <v>0.23228346456692914</v>
      </c>
      <c r="F327" t="s">
        <v>74</v>
      </c>
      <c r="G327">
        <f>G323/G324*G325</f>
        <v>0.47580645161290325</v>
      </c>
    </row>
    <row r="328" spans="1:9" x14ac:dyDescent="0.3">
      <c r="A328" t="s">
        <v>144</v>
      </c>
      <c r="B328">
        <f>B326/B327</f>
        <v>9.9152542372881349</v>
      </c>
      <c r="D328">
        <f>D326/D327</f>
        <v>3.3050847457627115</v>
      </c>
      <c r="F328" t="s">
        <v>144</v>
      </c>
      <c r="G328">
        <f>G326/G327</f>
        <v>1.1016949152542372</v>
      </c>
    </row>
    <row r="329" spans="1:9" x14ac:dyDescent="0.3">
      <c r="A329" t="s">
        <v>1</v>
      </c>
      <c r="B329">
        <v>0.17</v>
      </c>
      <c r="D329">
        <v>0.14000000000000001</v>
      </c>
      <c r="F329" t="s">
        <v>1</v>
      </c>
      <c r="G329">
        <v>8.5</v>
      </c>
    </row>
    <row r="330" spans="1:9" x14ac:dyDescent="0.3">
      <c r="A330" t="s">
        <v>72</v>
      </c>
      <c r="B330">
        <f>B329/B328</f>
        <v>1.7145299145299147E-2</v>
      </c>
      <c r="D330">
        <f>D329/D328</f>
        <v>4.2358974358974365E-2</v>
      </c>
      <c r="F330" t="s">
        <v>72</v>
      </c>
      <c r="G330">
        <f>G329/G328</f>
        <v>7.7153846153846155</v>
      </c>
    </row>
    <row r="332" spans="1:9" x14ac:dyDescent="0.3">
      <c r="A332" t="s">
        <v>7</v>
      </c>
      <c r="B332">
        <v>247</v>
      </c>
    </row>
    <row r="333" spans="1:9" x14ac:dyDescent="0.3">
      <c r="A333" t="s">
        <v>1</v>
      </c>
      <c r="B333">
        <v>1</v>
      </c>
      <c r="E333">
        <v>1</v>
      </c>
      <c r="G333">
        <v>1</v>
      </c>
      <c r="I333">
        <v>1</v>
      </c>
    </row>
    <row r="334" spans="1:9" x14ac:dyDescent="0.3">
      <c r="A334" t="s">
        <v>2</v>
      </c>
      <c r="B334">
        <v>1</v>
      </c>
      <c r="E334">
        <v>1</v>
      </c>
      <c r="G334">
        <v>1</v>
      </c>
      <c r="I334">
        <v>1</v>
      </c>
    </row>
    <row r="335" spans="1:9" x14ac:dyDescent="0.3">
      <c r="A335" t="s">
        <v>28</v>
      </c>
      <c r="B335">
        <f>B333*195</f>
        <v>195</v>
      </c>
      <c r="E335">
        <f>E333*195</f>
        <v>195</v>
      </c>
      <c r="G335">
        <f>G333*195</f>
        <v>195</v>
      </c>
      <c r="I335">
        <f>I333*195</f>
        <v>195</v>
      </c>
    </row>
    <row r="336" spans="1:9" x14ac:dyDescent="0.3">
      <c r="A336" t="s">
        <v>29</v>
      </c>
      <c r="B336">
        <f>B334*106</f>
        <v>106</v>
      </c>
      <c r="E336">
        <f>E334*106</f>
        <v>106</v>
      </c>
      <c r="G336">
        <f>G334*106</f>
        <v>106</v>
      </c>
      <c r="I336">
        <f>I334*106</f>
        <v>106</v>
      </c>
    </row>
    <row r="337" spans="1:9" x14ac:dyDescent="0.3">
      <c r="A337" t="s">
        <v>30</v>
      </c>
      <c r="B337">
        <f>B335+B336</f>
        <v>301</v>
      </c>
      <c r="E337">
        <f>E335+E336</f>
        <v>301</v>
      </c>
      <c r="G337">
        <f>G335+G336</f>
        <v>301</v>
      </c>
      <c r="I337">
        <f>I335+I336</f>
        <v>301</v>
      </c>
    </row>
    <row r="338" spans="1:9" x14ac:dyDescent="0.3">
      <c r="A338" t="s">
        <v>31</v>
      </c>
      <c r="B338">
        <v>0.2</v>
      </c>
      <c r="E338">
        <v>0.1</v>
      </c>
      <c r="G338">
        <v>0.3</v>
      </c>
      <c r="I338">
        <v>0.4</v>
      </c>
    </row>
    <row r="339" spans="1:9" x14ac:dyDescent="0.3">
      <c r="A339" t="s">
        <v>32</v>
      </c>
      <c r="B339">
        <f>B335/B337*B338</f>
        <v>0.12956810631229237</v>
      </c>
      <c r="E339">
        <f>E335/E337*E338</f>
        <v>6.4784053156146187E-2</v>
      </c>
      <c r="G339">
        <f>G335/G337*G338</f>
        <v>0.19435215946843853</v>
      </c>
      <c r="I339">
        <f>I335/I337*I338</f>
        <v>0.25913621262458475</v>
      </c>
    </row>
    <row r="340" spans="1:9" x14ac:dyDescent="0.3">
      <c r="A340" t="s">
        <v>23</v>
      </c>
      <c r="B340">
        <f>B336/B337*B338</f>
        <v>7.0431893687707636E-2</v>
      </c>
      <c r="E340">
        <f>E336/E337*E338</f>
        <v>3.5215946843853818E-2</v>
      </c>
      <c r="G340">
        <f>G336/G337*G338</f>
        <v>0.10564784053156145</v>
      </c>
      <c r="I340">
        <f>I336/I337*I338</f>
        <v>0.14086378737541527</v>
      </c>
    </row>
    <row r="342" spans="1:9" x14ac:dyDescent="0.3">
      <c r="A342" t="s">
        <v>7</v>
      </c>
      <c r="B342">
        <v>251</v>
      </c>
    </row>
    <row r="343" spans="1:9" x14ac:dyDescent="0.3">
      <c r="D343">
        <f>55+32</f>
        <v>87</v>
      </c>
    </row>
    <row r="344" spans="1:9" x14ac:dyDescent="0.3">
      <c r="D344">
        <v>55</v>
      </c>
    </row>
    <row r="345" spans="1:9" x14ac:dyDescent="0.3">
      <c r="A345" t="s">
        <v>152</v>
      </c>
      <c r="D345">
        <v>6.8</v>
      </c>
    </row>
    <row r="347" spans="1:9" x14ac:dyDescent="0.3">
      <c r="A347" t="s">
        <v>7</v>
      </c>
      <c r="B347">
        <v>252</v>
      </c>
    </row>
    <row r="348" spans="1:9" x14ac:dyDescent="0.3">
      <c r="D348">
        <f>55+32</f>
        <v>87</v>
      </c>
    </row>
    <row r="349" spans="1:9" x14ac:dyDescent="0.3">
      <c r="D349">
        <v>55</v>
      </c>
    </row>
    <row r="350" spans="1:9" x14ac:dyDescent="0.3">
      <c r="A350" t="s">
        <v>152</v>
      </c>
      <c r="D350">
        <v>6.1</v>
      </c>
    </row>
    <row r="353" spans="1:10" x14ac:dyDescent="0.3">
      <c r="A353" t="s">
        <v>7</v>
      </c>
      <c r="C353">
        <v>260</v>
      </c>
    </row>
    <row r="354" spans="1:10" x14ac:dyDescent="0.3">
      <c r="A354" t="s">
        <v>57</v>
      </c>
      <c r="C354">
        <v>0.05</v>
      </c>
      <c r="D354" t="s">
        <v>57</v>
      </c>
      <c r="F354">
        <v>0.25</v>
      </c>
      <c r="H354" t="s">
        <v>57</v>
      </c>
      <c r="J354">
        <v>0.5</v>
      </c>
    </row>
    <row r="355" spans="1:10" x14ac:dyDescent="0.3">
      <c r="A355" t="s">
        <v>1</v>
      </c>
      <c r="C355">
        <v>1</v>
      </c>
      <c r="D355" t="s">
        <v>1</v>
      </c>
      <c r="F355">
        <v>1</v>
      </c>
      <c r="H355" t="s">
        <v>1</v>
      </c>
      <c r="J355">
        <v>1</v>
      </c>
    </row>
    <row r="356" spans="1:10" x14ac:dyDescent="0.3">
      <c r="A356" t="s">
        <v>2</v>
      </c>
      <c r="C356">
        <v>1</v>
      </c>
      <c r="D356" t="s">
        <v>2</v>
      </c>
      <c r="F356">
        <v>1</v>
      </c>
      <c r="H356" t="s">
        <v>2</v>
      </c>
      <c r="J356">
        <v>1</v>
      </c>
    </row>
    <row r="357" spans="1:10" x14ac:dyDescent="0.3">
      <c r="A357" t="s">
        <v>53</v>
      </c>
      <c r="C357">
        <f>C354*80</f>
        <v>4</v>
      </c>
      <c r="D357" t="s">
        <v>53</v>
      </c>
      <c r="F357">
        <f>F354*80</f>
        <v>20</v>
      </c>
      <c r="H357" t="s">
        <v>53</v>
      </c>
      <c r="J357">
        <f>J354*80</f>
        <v>40</v>
      </c>
    </row>
    <row r="358" spans="1:10" x14ac:dyDescent="0.3">
      <c r="A358" t="s">
        <v>1</v>
      </c>
      <c r="C358">
        <f>C355*195*0.3</f>
        <v>58.5</v>
      </c>
      <c r="D358" t="s">
        <v>1</v>
      </c>
      <c r="F358">
        <f>F355*195*0.3</f>
        <v>58.5</v>
      </c>
      <c r="H358" t="s">
        <v>1</v>
      </c>
      <c r="J358">
        <f>J355*195*0.3</f>
        <v>58.5</v>
      </c>
    </row>
    <row r="359" spans="1:10" x14ac:dyDescent="0.3">
      <c r="A359" t="s">
        <v>2</v>
      </c>
      <c r="C359">
        <f>C356*101*0.3</f>
        <v>30.299999999999997</v>
      </c>
      <c r="D359" t="s">
        <v>2</v>
      </c>
      <c r="F359">
        <f>F356*101*0.3</f>
        <v>30.299999999999997</v>
      </c>
      <c r="H359" t="s">
        <v>2</v>
      </c>
      <c r="J359">
        <f>J356*101*0.3</f>
        <v>30.299999999999997</v>
      </c>
    </row>
    <row r="360" spans="1:10" x14ac:dyDescent="0.3">
      <c r="A360" t="s">
        <v>68</v>
      </c>
      <c r="C360">
        <f>(C358+C359)/0.3*0.7</f>
        <v>207.2</v>
      </c>
      <c r="D360" t="s">
        <v>68</v>
      </c>
      <c r="F360">
        <f>(F358+F359)/0.3*0.7</f>
        <v>207.2</v>
      </c>
      <c r="H360" t="s">
        <v>68</v>
      </c>
      <c r="J360">
        <f>(J358+J359)/0.3*0.7</f>
        <v>207.2</v>
      </c>
    </row>
    <row r="361" spans="1:10" x14ac:dyDescent="0.3">
      <c r="A361" t="s">
        <v>156</v>
      </c>
      <c r="C361">
        <f>C358+C357+C360+C359</f>
        <v>300</v>
      </c>
      <c r="D361" t="s">
        <v>156</v>
      </c>
      <c r="F361">
        <f>F358+F357+F360+F359</f>
        <v>316</v>
      </c>
      <c r="H361" t="s">
        <v>156</v>
      </c>
      <c r="J361">
        <f>J358+J357+J360+J359</f>
        <v>336</v>
      </c>
    </row>
    <row r="362" spans="1:10" x14ac:dyDescent="0.3">
      <c r="A362" t="s">
        <v>56</v>
      </c>
      <c r="C362">
        <f>C357/C361</f>
        <v>1.3333333333333334E-2</v>
      </c>
      <c r="D362" t="s">
        <v>56</v>
      </c>
      <c r="F362">
        <f>F357/F361</f>
        <v>6.3291139240506333E-2</v>
      </c>
      <c r="H362" t="s">
        <v>56</v>
      </c>
      <c r="J362">
        <f>J357/J361</f>
        <v>0.11904761904761904</v>
      </c>
    </row>
    <row r="363" spans="1:10" x14ac:dyDescent="0.3">
      <c r="A363" t="s">
        <v>18</v>
      </c>
      <c r="C363">
        <f>C358/C361</f>
        <v>0.19500000000000001</v>
      </c>
      <c r="D363" t="s">
        <v>18</v>
      </c>
      <c r="F363">
        <f>F358/F361</f>
        <v>0.185126582278481</v>
      </c>
      <c r="H363" t="s">
        <v>18</v>
      </c>
      <c r="J363">
        <f>J358/J361</f>
        <v>0.17410714285714285</v>
      </c>
    </row>
    <row r="364" spans="1:10" x14ac:dyDescent="0.3">
      <c r="A364" t="s">
        <v>19</v>
      </c>
      <c r="C364">
        <f>C359/C361</f>
        <v>0.10099999999999999</v>
      </c>
      <c r="D364" t="s">
        <v>19</v>
      </c>
      <c r="F364">
        <f>F359/F361</f>
        <v>9.5886075949367086E-2</v>
      </c>
      <c r="H364" t="s">
        <v>19</v>
      </c>
      <c r="J364">
        <f>J359/J361</f>
        <v>9.0178571428571414E-2</v>
      </c>
    </row>
    <row r="365" spans="1:10" x14ac:dyDescent="0.3">
      <c r="A365" t="s">
        <v>20</v>
      </c>
      <c r="C365">
        <f>C360/C361</f>
        <v>0.69066666666666665</v>
      </c>
      <c r="D365" t="s">
        <v>20</v>
      </c>
      <c r="F365">
        <f>F360/F361</f>
        <v>0.65569620253164551</v>
      </c>
      <c r="H365" t="s">
        <v>20</v>
      </c>
      <c r="J365">
        <f>J360/J361</f>
        <v>0.61666666666666659</v>
      </c>
    </row>
    <row r="367" spans="1:10" x14ac:dyDescent="0.3">
      <c r="A367" t="s">
        <v>157</v>
      </c>
      <c r="C367">
        <v>261</v>
      </c>
    </row>
    <row r="368" spans="1:10" x14ac:dyDescent="0.3">
      <c r="A368" t="s">
        <v>158</v>
      </c>
      <c r="C368">
        <f>1.73</f>
        <v>1.73</v>
      </c>
      <c r="D368">
        <f>1.73</f>
        <v>1.73</v>
      </c>
      <c r="F368">
        <f>1.73</f>
        <v>1.73</v>
      </c>
    </row>
    <row r="369" spans="1:10" x14ac:dyDescent="0.3">
      <c r="A369" t="s">
        <v>45</v>
      </c>
      <c r="C369">
        <f>30/1000</f>
        <v>0.03</v>
      </c>
      <c r="D369">
        <f>9/1000</f>
        <v>8.9999999999999993E-3</v>
      </c>
      <c r="F369">
        <f>24/1000</f>
        <v>2.4E-2</v>
      </c>
    </row>
    <row r="370" spans="1:10" x14ac:dyDescent="0.3">
      <c r="A370" t="s">
        <v>159</v>
      </c>
      <c r="C370">
        <f>C368*C369</f>
        <v>5.1899999999999995E-2</v>
      </c>
      <c r="D370">
        <f>D368*D369</f>
        <v>1.5569999999999999E-2</v>
      </c>
      <c r="F370">
        <f>F368*F369</f>
        <v>4.1520000000000001E-2</v>
      </c>
    </row>
    <row r="371" spans="1:10" x14ac:dyDescent="0.3">
      <c r="A371" t="s">
        <v>160</v>
      </c>
      <c r="C371">
        <f>C370/187</f>
        <v>2.7754010695187162E-4</v>
      </c>
      <c r="D371">
        <f>D370/187</f>
        <v>8.3262032085561492E-5</v>
      </c>
      <c r="F371">
        <f>F370/187</f>
        <v>2.2203208556149733E-4</v>
      </c>
    </row>
    <row r="372" spans="1:10" x14ac:dyDescent="0.3">
      <c r="A372" t="s">
        <v>54</v>
      </c>
      <c r="C372">
        <f>C371*80*1000</f>
        <v>22.203208556149729</v>
      </c>
      <c r="D372">
        <f>D371*80*1000</f>
        <v>6.6609625668449191</v>
      </c>
      <c r="F372">
        <f>F371*80*1000</f>
        <v>17.762566844919789</v>
      </c>
    </row>
    <row r="373" spans="1:10" x14ac:dyDescent="0.3">
      <c r="A373" t="s">
        <v>161</v>
      </c>
      <c r="C373">
        <f>6</f>
        <v>6</v>
      </c>
      <c r="D373">
        <f>6</f>
        <v>6</v>
      </c>
      <c r="F373">
        <f>6</f>
        <v>6</v>
      </c>
    </row>
    <row r="374" spans="1:10" x14ac:dyDescent="0.3">
      <c r="A374" t="s">
        <v>17</v>
      </c>
      <c r="C374">
        <f>C372+C373</f>
        <v>28.203208556149729</v>
      </c>
      <c r="D374">
        <f>D372+D373</f>
        <v>12.660962566844919</v>
      </c>
      <c r="F374">
        <f>F372+F373</f>
        <v>23.762566844919789</v>
      </c>
    </row>
    <row r="375" spans="1:10" x14ac:dyDescent="0.3">
      <c r="A375" t="s">
        <v>162</v>
      </c>
      <c r="C375">
        <v>0.8</v>
      </c>
      <c r="D375">
        <v>0.8</v>
      </c>
      <c r="F375">
        <v>0.8</v>
      </c>
    </row>
    <row r="376" spans="1:10" x14ac:dyDescent="0.3">
      <c r="A376" t="s">
        <v>163</v>
      </c>
      <c r="C376">
        <f>C373/C374*C375</f>
        <v>0.17019340159271903</v>
      </c>
      <c r="D376">
        <f>D373/D374*D375</f>
        <v>0.37911809427268128</v>
      </c>
      <c r="F376">
        <f>F373/F374*F375</f>
        <v>0.20199837969214152</v>
      </c>
    </row>
    <row r="377" spans="1:10" x14ac:dyDescent="0.3">
      <c r="A377" t="s">
        <v>164</v>
      </c>
      <c r="C377">
        <f>C372/C374*C375</f>
        <v>0.62980659840728104</v>
      </c>
      <c r="D377">
        <f>D372/D374*D375</f>
        <v>0.42088190572731882</v>
      </c>
      <c r="F377">
        <f>F372/F374*F375</f>
        <v>0.59800162030785853</v>
      </c>
    </row>
    <row r="379" spans="1:10" x14ac:dyDescent="0.3">
      <c r="A379" t="s">
        <v>7</v>
      </c>
      <c r="C379">
        <v>268</v>
      </c>
    </row>
    <row r="380" spans="1:10" x14ac:dyDescent="0.3">
      <c r="A380" t="s">
        <v>167</v>
      </c>
      <c r="C380">
        <v>5</v>
      </c>
      <c r="D380">
        <v>10</v>
      </c>
      <c r="F380">
        <v>15</v>
      </c>
    </row>
    <row r="381" spans="1:10" x14ac:dyDescent="0.3">
      <c r="A381" t="s">
        <v>68</v>
      </c>
      <c r="C381">
        <v>40</v>
      </c>
      <c r="D381">
        <v>40</v>
      </c>
      <c r="F381">
        <v>40</v>
      </c>
    </row>
    <row r="382" spans="1:10" x14ac:dyDescent="0.3">
      <c r="A382" t="s">
        <v>1</v>
      </c>
      <c r="C382">
        <f>0.5*0.1*195</f>
        <v>9.75</v>
      </c>
      <c r="D382">
        <f>0.5*0.1*195</f>
        <v>9.75</v>
      </c>
      <c r="F382">
        <f>0.5*0.1*195</f>
        <v>9.75</v>
      </c>
    </row>
    <row r="383" spans="1:10" x14ac:dyDescent="0.3">
      <c r="A383" t="s">
        <v>17</v>
      </c>
      <c r="C383">
        <f>C380+C381+C382</f>
        <v>54.75</v>
      </c>
      <c r="D383">
        <f>D380+D381+D382</f>
        <v>59.75</v>
      </c>
      <c r="F383">
        <f>F380+F381+F382</f>
        <v>64.75</v>
      </c>
      <c r="I383">
        <v>3.75</v>
      </c>
      <c r="J383">
        <v>40</v>
      </c>
    </row>
    <row r="384" spans="1:10" x14ac:dyDescent="0.3">
      <c r="A384" t="s">
        <v>20</v>
      </c>
      <c r="C384">
        <f>C381/C383</f>
        <v>0.73059360730593603</v>
      </c>
      <c r="D384">
        <f>D381/D383</f>
        <v>0.66945606694560666</v>
      </c>
      <c r="F384">
        <f>F381/F383</f>
        <v>0.61776061776061775</v>
      </c>
      <c r="I384">
        <v>15</v>
      </c>
      <c r="J384">
        <f>I384*J383/I383</f>
        <v>160</v>
      </c>
    </row>
    <row r="385" spans="1:10" x14ac:dyDescent="0.3">
      <c r="A385" t="s">
        <v>170</v>
      </c>
      <c r="C385">
        <f>C380/C383</f>
        <v>9.1324200913242004E-2</v>
      </c>
      <c r="D385">
        <f>D380/D383</f>
        <v>0.16736401673640167</v>
      </c>
      <c r="F385">
        <f>F380/F383</f>
        <v>0.23166023166023167</v>
      </c>
      <c r="I385">
        <f>6.4</f>
        <v>6.4</v>
      </c>
      <c r="J385">
        <f>I385*40/3.75</f>
        <v>68.266666666666666</v>
      </c>
    </row>
    <row r="386" spans="1:10" x14ac:dyDescent="0.3">
      <c r="A386" t="s">
        <v>18</v>
      </c>
      <c r="C386">
        <f>C382/C383</f>
        <v>0.17808219178082191</v>
      </c>
      <c r="D386">
        <f>D382/D383</f>
        <v>0.16317991631799164</v>
      </c>
      <c r="F386">
        <f>F382/F383</f>
        <v>0.15057915057915058</v>
      </c>
      <c r="I386">
        <v>5.8</v>
      </c>
      <c r="J386">
        <f t="shared" ref="J386:J390" si="9">I386*40/3.75</f>
        <v>61.866666666666667</v>
      </c>
    </row>
    <row r="387" spans="1:10" x14ac:dyDescent="0.3">
      <c r="I387">
        <v>4.9000000000000004</v>
      </c>
      <c r="J387">
        <f t="shared" si="9"/>
        <v>52.266666666666666</v>
      </c>
    </row>
    <row r="388" spans="1:10" x14ac:dyDescent="0.3">
      <c r="A388" t="s">
        <v>7</v>
      </c>
      <c r="C388">
        <v>269</v>
      </c>
      <c r="I388">
        <v>3.85</v>
      </c>
      <c r="J388">
        <f t="shared" si="9"/>
        <v>41.06666666666667</v>
      </c>
    </row>
    <row r="389" spans="1:10" x14ac:dyDescent="0.3">
      <c r="A389" t="s">
        <v>173</v>
      </c>
      <c r="D389" t="s">
        <v>174</v>
      </c>
      <c r="I389">
        <v>2.5</v>
      </c>
      <c r="J389">
        <f t="shared" si="9"/>
        <v>26.666666666666668</v>
      </c>
    </row>
    <row r="390" spans="1:10" x14ac:dyDescent="0.3">
      <c r="A390">
        <v>3.75</v>
      </c>
      <c r="B390">
        <v>40</v>
      </c>
      <c r="D390">
        <v>3.75</v>
      </c>
      <c r="E390">
        <v>30</v>
      </c>
      <c r="I390">
        <v>1.3</v>
      </c>
      <c r="J390">
        <f t="shared" si="9"/>
        <v>13.866666666666667</v>
      </c>
    </row>
    <row r="391" spans="1:10" x14ac:dyDescent="0.3">
      <c r="A391">
        <v>15</v>
      </c>
      <c r="B391">
        <f>A391*B390/A390</f>
        <v>160</v>
      </c>
      <c r="D391">
        <v>15</v>
      </c>
      <c r="E391">
        <f>D391*30/3.75</f>
        <v>120</v>
      </c>
    </row>
    <row r="392" spans="1:10" x14ac:dyDescent="0.3">
      <c r="A392">
        <f>6.4</f>
        <v>6.4</v>
      </c>
      <c r="B392">
        <f>A392*40/3.75</f>
        <v>68.266666666666666</v>
      </c>
      <c r="D392">
        <v>3</v>
      </c>
      <c r="E392">
        <f t="shared" ref="E392:E398" si="10">D392*30/3.75</f>
        <v>24</v>
      </c>
      <c r="F392">
        <f>60+E392</f>
        <v>84</v>
      </c>
    </row>
    <row r="393" spans="1:10" x14ac:dyDescent="0.3">
      <c r="A393">
        <v>5.8</v>
      </c>
      <c r="B393">
        <f t="shared" ref="B393:B397" si="11">A393*40/3.75</f>
        <v>61.866666666666667</v>
      </c>
      <c r="D393">
        <v>2.6</v>
      </c>
      <c r="E393">
        <f t="shared" si="10"/>
        <v>20.8</v>
      </c>
      <c r="F393">
        <f t="shared" ref="F393:F398" si="12">60+E393</f>
        <v>80.8</v>
      </c>
    </row>
    <row r="394" spans="1:10" x14ac:dyDescent="0.3">
      <c r="A394">
        <v>4.9000000000000004</v>
      </c>
      <c r="B394">
        <f t="shared" si="11"/>
        <v>52.266666666666666</v>
      </c>
      <c r="D394">
        <v>2.35</v>
      </c>
      <c r="E394">
        <f t="shared" si="10"/>
        <v>18.8</v>
      </c>
      <c r="F394">
        <f t="shared" si="12"/>
        <v>78.8</v>
      </c>
    </row>
    <row r="395" spans="1:10" x14ac:dyDescent="0.3">
      <c r="A395">
        <v>3.85</v>
      </c>
      <c r="B395">
        <f t="shared" si="11"/>
        <v>41.06666666666667</v>
      </c>
      <c r="D395">
        <v>1.75</v>
      </c>
      <c r="E395">
        <f t="shared" si="10"/>
        <v>14</v>
      </c>
      <c r="F395">
        <f t="shared" si="12"/>
        <v>74</v>
      </c>
    </row>
    <row r="396" spans="1:10" x14ac:dyDescent="0.3">
      <c r="A396">
        <v>2.5</v>
      </c>
      <c r="B396">
        <f t="shared" si="11"/>
        <v>26.666666666666668</v>
      </c>
      <c r="D396">
        <v>1.25</v>
      </c>
      <c r="E396">
        <f t="shared" si="10"/>
        <v>10</v>
      </c>
      <c r="F396">
        <f t="shared" si="12"/>
        <v>70</v>
      </c>
    </row>
    <row r="397" spans="1:10" x14ac:dyDescent="0.3">
      <c r="A397">
        <v>1.3</v>
      </c>
      <c r="B397">
        <f t="shared" si="11"/>
        <v>13.866666666666667</v>
      </c>
      <c r="D397">
        <v>0.5</v>
      </c>
      <c r="E397">
        <f t="shared" si="10"/>
        <v>4</v>
      </c>
      <c r="F397">
        <f t="shared" si="12"/>
        <v>64</v>
      </c>
    </row>
    <row r="398" spans="1:10" x14ac:dyDescent="0.3">
      <c r="E398">
        <f t="shared" si="10"/>
        <v>0</v>
      </c>
      <c r="F398">
        <f t="shared" si="12"/>
        <v>60</v>
      </c>
    </row>
    <row r="400" spans="1:10" x14ac:dyDescent="0.3">
      <c r="A400" t="s">
        <v>7</v>
      </c>
      <c r="B400">
        <v>272</v>
      </c>
    </row>
    <row r="401" spans="1:2" x14ac:dyDescent="0.3">
      <c r="A401">
        <v>232</v>
      </c>
      <c r="B401">
        <v>184</v>
      </c>
    </row>
    <row r="402" spans="1:2" x14ac:dyDescent="0.3">
      <c r="A402">
        <f>B402*232/184</f>
        <v>32.908695652173918</v>
      </c>
      <c r="B402">
        <v>26.1</v>
      </c>
    </row>
    <row r="403" spans="1:2" x14ac:dyDescent="0.3">
      <c r="A403">
        <f t="shared" ref="A403:A404" si="13">B403*232/184</f>
        <v>34.169565217391309</v>
      </c>
      <c r="B403">
        <v>27.1</v>
      </c>
    </row>
    <row r="404" spans="1:2" x14ac:dyDescent="0.3">
      <c r="A404">
        <f t="shared" si="13"/>
        <v>27.108695652173914</v>
      </c>
      <c r="B404">
        <v>21.5</v>
      </c>
    </row>
    <row r="406" spans="1:2" x14ac:dyDescent="0.3">
      <c r="A406" t="s">
        <v>7</v>
      </c>
      <c r="B406">
        <v>212</v>
      </c>
    </row>
    <row r="407" spans="1:2" x14ac:dyDescent="0.3">
      <c r="A407" t="s">
        <v>1</v>
      </c>
      <c r="B407">
        <v>1</v>
      </c>
    </row>
    <row r="408" spans="1:2" x14ac:dyDescent="0.3">
      <c r="A408" t="s">
        <v>2</v>
      </c>
      <c r="B408">
        <v>1</v>
      </c>
    </row>
    <row r="409" spans="1:2" x14ac:dyDescent="0.3">
      <c r="A409" t="s">
        <v>28</v>
      </c>
      <c r="B409">
        <f>B407*195</f>
        <v>195</v>
      </c>
    </row>
    <row r="410" spans="1:2" x14ac:dyDescent="0.3">
      <c r="A410" t="s">
        <v>29</v>
      </c>
      <c r="B410">
        <f>B408*106</f>
        <v>106</v>
      </c>
    </row>
    <row r="411" spans="1:2" x14ac:dyDescent="0.3">
      <c r="A411" t="s">
        <v>30</v>
      </c>
      <c r="B411">
        <f>B409+B410</f>
        <v>301</v>
      </c>
    </row>
    <row r="412" spans="1:2" x14ac:dyDescent="0.3">
      <c r="A412" t="s">
        <v>31</v>
      </c>
      <c r="B412">
        <v>0.4</v>
      </c>
    </row>
    <row r="413" spans="1:2" x14ac:dyDescent="0.3">
      <c r="A413" t="s">
        <v>32</v>
      </c>
      <c r="B413">
        <f>B409/B411*B412</f>
        <v>0.25913621262458475</v>
      </c>
    </row>
    <row r="414" spans="1:2" x14ac:dyDescent="0.3">
      <c r="A414" t="s">
        <v>23</v>
      </c>
      <c r="B414">
        <f>B410/B411*B412</f>
        <v>0.14086378737541527</v>
      </c>
    </row>
    <row r="416" spans="1:2" x14ac:dyDescent="0.3">
      <c r="A416" t="s">
        <v>7</v>
      </c>
      <c r="B416" t="s">
        <v>185</v>
      </c>
    </row>
    <row r="417" spans="1:3" x14ac:dyDescent="0.3">
      <c r="A417" t="s">
        <v>80</v>
      </c>
      <c r="B417">
        <f>16*0.5</f>
        <v>8</v>
      </c>
    </row>
    <row r="418" spans="1:3" x14ac:dyDescent="0.3">
      <c r="A418" t="s">
        <v>1</v>
      </c>
      <c r="B418">
        <f>1/1000*30*195</f>
        <v>5.85</v>
      </c>
    </row>
    <row r="419" spans="1:3" x14ac:dyDescent="0.3">
      <c r="A419" t="s">
        <v>15</v>
      </c>
      <c r="B419">
        <f>1/1000*10*60</f>
        <v>0.6</v>
      </c>
    </row>
    <row r="420" spans="1:3" x14ac:dyDescent="0.3">
      <c r="A420" t="s">
        <v>17</v>
      </c>
      <c r="B420">
        <f>B417+B419+B418</f>
        <v>14.45</v>
      </c>
    </row>
    <row r="421" spans="1:3" x14ac:dyDescent="0.3">
      <c r="A421" t="s">
        <v>186</v>
      </c>
      <c r="B421">
        <f>B417/B420</f>
        <v>0.55363321799307963</v>
      </c>
    </row>
    <row r="422" spans="1:3" x14ac:dyDescent="0.3">
      <c r="A422" t="s">
        <v>32</v>
      </c>
      <c r="B422">
        <f>B418/B420</f>
        <v>0.40484429065743943</v>
      </c>
    </row>
    <row r="423" spans="1:3" x14ac:dyDescent="0.3">
      <c r="A423" t="s">
        <v>14</v>
      </c>
      <c r="B423">
        <f>B419/B420</f>
        <v>4.1522491349480967E-2</v>
      </c>
      <c r="C423">
        <f>B421+B422+B423</f>
        <v>1</v>
      </c>
    </row>
    <row r="425" spans="1:3" x14ac:dyDescent="0.3">
      <c r="A425" t="s">
        <v>7</v>
      </c>
      <c r="B425" t="s">
        <v>189</v>
      </c>
    </row>
    <row r="426" spans="1:3" x14ac:dyDescent="0.3">
      <c r="A426" t="s">
        <v>80</v>
      </c>
      <c r="B426">
        <v>50</v>
      </c>
    </row>
    <row r="427" spans="1:3" x14ac:dyDescent="0.3">
      <c r="A427" t="s">
        <v>57</v>
      </c>
      <c r="B427">
        <v>500</v>
      </c>
    </row>
    <row r="428" spans="1:3" x14ac:dyDescent="0.3">
      <c r="A428" t="s">
        <v>17</v>
      </c>
      <c r="B428">
        <f>550</f>
        <v>550</v>
      </c>
    </row>
    <row r="429" spans="1:3" x14ac:dyDescent="0.3">
      <c r="A429" t="s">
        <v>186</v>
      </c>
      <c r="B429">
        <f>B426/B428</f>
        <v>9.0909090909090912E-2</v>
      </c>
    </row>
    <row r="430" spans="1:3" x14ac:dyDescent="0.3">
      <c r="A430" t="s">
        <v>164</v>
      </c>
      <c r="B430">
        <f>B427/B428</f>
        <v>0.90909090909090906</v>
      </c>
    </row>
    <row r="432" spans="1:3" x14ac:dyDescent="0.3">
      <c r="A432" t="s">
        <v>16</v>
      </c>
      <c r="B432" t="s">
        <v>195</v>
      </c>
    </row>
    <row r="433" spans="1:13" x14ac:dyDescent="0.3">
      <c r="A433" t="s">
        <v>1</v>
      </c>
      <c r="B433">
        <v>0.12</v>
      </c>
      <c r="C433">
        <v>0.14000000000000001</v>
      </c>
      <c r="D433">
        <v>14.4</v>
      </c>
    </row>
    <row r="434" spans="1:13" x14ac:dyDescent="0.3">
      <c r="A434" t="s">
        <v>68</v>
      </c>
      <c r="B434">
        <f>0.88*(H439+H440)</f>
        <v>0.82682695349572932</v>
      </c>
      <c r="C434">
        <f>0.86*(H439+H440)</f>
        <v>0.80803543182537185</v>
      </c>
      <c r="D434">
        <f>100-D433</f>
        <v>85.6</v>
      </c>
      <c r="F434" t="s">
        <v>68</v>
      </c>
      <c r="G434">
        <v>84</v>
      </c>
      <c r="H434">
        <f>G434*12</f>
        <v>1008</v>
      </c>
    </row>
    <row r="435" spans="1:13" x14ac:dyDescent="0.3">
      <c r="A435" t="s">
        <v>126</v>
      </c>
      <c r="B435">
        <f>0.88*H441</f>
        <v>4.0923758304334083E-2</v>
      </c>
      <c r="C435">
        <f>0.86*H441</f>
        <v>3.999367288832649E-2</v>
      </c>
      <c r="F435" t="s">
        <v>196</v>
      </c>
      <c r="G435">
        <v>11.25</v>
      </c>
      <c r="H435">
        <f>G435*16</f>
        <v>180</v>
      </c>
    </row>
    <row r="436" spans="1:13" x14ac:dyDescent="0.3">
      <c r="A436" t="s">
        <v>141</v>
      </c>
      <c r="B436">
        <f>0.88*H442</f>
        <v>1.2249288199936731E-2</v>
      </c>
      <c r="C436">
        <f>0.86*H442</f>
        <v>1.1970895286301806E-2</v>
      </c>
      <c r="F436" t="s">
        <v>126</v>
      </c>
      <c r="G436">
        <v>4.2</v>
      </c>
      <c r="H436">
        <f>G436*14</f>
        <v>58.800000000000004</v>
      </c>
    </row>
    <row r="437" spans="1:13" x14ac:dyDescent="0.3">
      <c r="F437" t="s">
        <v>141</v>
      </c>
      <c r="G437">
        <v>0.55000000000000004</v>
      </c>
      <c r="H437">
        <f>G437*32</f>
        <v>17.600000000000001</v>
      </c>
    </row>
    <row r="438" spans="1:13" x14ac:dyDescent="0.3">
      <c r="G438">
        <f>G434+G435+G436+G437</f>
        <v>100</v>
      </c>
      <c r="H438">
        <f>H434+H435+H436+H437</f>
        <v>1264.3999999999999</v>
      </c>
    </row>
    <row r="439" spans="1:13" x14ac:dyDescent="0.3">
      <c r="F439" t="s">
        <v>20</v>
      </c>
      <c r="H439">
        <f>H434/H$438</f>
        <v>0.79721607086365087</v>
      </c>
    </row>
    <row r="440" spans="1:13" x14ac:dyDescent="0.3">
      <c r="F440" t="s">
        <v>197</v>
      </c>
      <c r="H440">
        <f t="shared" ref="H440:H442" si="14">H435/H$438</f>
        <v>0.14236001265422335</v>
      </c>
    </row>
    <row r="441" spans="1:13" x14ac:dyDescent="0.3">
      <c r="F441" t="s">
        <v>198</v>
      </c>
      <c r="H441">
        <f t="shared" si="14"/>
        <v>4.6504270800379638E-2</v>
      </c>
    </row>
    <row r="442" spans="1:13" x14ac:dyDescent="0.3">
      <c r="F442" t="s">
        <v>199</v>
      </c>
      <c r="H442">
        <f t="shared" si="14"/>
        <v>1.3919645681746286E-2</v>
      </c>
    </row>
    <row r="445" spans="1:13" x14ac:dyDescent="0.3">
      <c r="A445" t="s">
        <v>7</v>
      </c>
      <c r="B445" t="s">
        <v>204</v>
      </c>
    </row>
    <row r="446" spans="1:13" x14ac:dyDescent="0.3">
      <c r="A446" t="s">
        <v>68</v>
      </c>
      <c r="B446">
        <v>1.4999999999999999E-2</v>
      </c>
      <c r="D446" t="s">
        <v>146</v>
      </c>
      <c r="E446">
        <v>172</v>
      </c>
      <c r="F446" t="s">
        <v>146</v>
      </c>
      <c r="G446">
        <f>0.9*172</f>
        <v>154.80000000000001</v>
      </c>
      <c r="I446" t="s">
        <v>146</v>
      </c>
      <c r="J446">
        <f>0.8*172</f>
        <v>137.6</v>
      </c>
      <c r="L446" t="s">
        <v>146</v>
      </c>
      <c r="M446">
        <f>0.7*172</f>
        <v>120.39999999999999</v>
      </c>
    </row>
    <row r="447" spans="1:13" x14ac:dyDescent="0.3">
      <c r="A447" t="s">
        <v>203</v>
      </c>
      <c r="B447">
        <f>0.005</f>
        <v>5.0000000000000001E-3</v>
      </c>
      <c r="D447" t="s">
        <v>169</v>
      </c>
      <c r="E447">
        <v>80</v>
      </c>
      <c r="F447" t="s">
        <v>116</v>
      </c>
      <c r="G447">
        <f>0.1*80</f>
        <v>8</v>
      </c>
      <c r="I447" t="s">
        <v>116</v>
      </c>
      <c r="J447">
        <f>0.2*80</f>
        <v>16</v>
      </c>
      <c r="L447" t="s">
        <v>116</v>
      </c>
      <c r="M447">
        <f>0.3*80</f>
        <v>24</v>
      </c>
    </row>
    <row r="448" spans="1:13" x14ac:dyDescent="0.3">
      <c r="A448" t="s">
        <v>1</v>
      </c>
      <c r="B448">
        <f>0.25*0.0488/1000*195</f>
        <v>2.379E-3</v>
      </c>
      <c r="F448" t="s">
        <v>206</v>
      </c>
      <c r="G448">
        <f>G446/(G$446+G$447)</f>
        <v>0.9508599508599509</v>
      </c>
      <c r="I448" t="s">
        <v>206</v>
      </c>
      <c r="J448">
        <f>J446/(J$446+J$447)</f>
        <v>0.89583333333333337</v>
      </c>
      <c r="L448" t="s">
        <v>206</v>
      </c>
      <c r="M448">
        <f>M446/(M$446+M$447)</f>
        <v>0.83379501385041555</v>
      </c>
    </row>
    <row r="449" spans="1:13" x14ac:dyDescent="0.3">
      <c r="A449" t="s">
        <v>47</v>
      </c>
      <c r="B449">
        <f>B446+B447+B448</f>
        <v>2.2379E-2</v>
      </c>
      <c r="F449" t="s">
        <v>124</v>
      </c>
      <c r="G449">
        <f>G447/(G$446+G$447)</f>
        <v>4.9140049140049137E-2</v>
      </c>
      <c r="I449" t="s">
        <v>124</v>
      </c>
      <c r="J449">
        <f>J447/(J$446+J$447)</f>
        <v>0.10416666666666667</v>
      </c>
      <c r="L449" t="s">
        <v>124</v>
      </c>
      <c r="M449">
        <f>M447/(M$446+M$447)</f>
        <v>0.16620498614958451</v>
      </c>
    </row>
    <row r="450" spans="1:13" x14ac:dyDescent="0.3">
      <c r="A450" t="s">
        <v>20</v>
      </c>
      <c r="B450">
        <f>B446/B449</f>
        <v>0.67027123642700748</v>
      </c>
    </row>
    <row r="451" spans="1:13" x14ac:dyDescent="0.3">
      <c r="A451" t="s">
        <v>205</v>
      </c>
      <c r="B451">
        <f>B447/B449</f>
        <v>0.22342374547566915</v>
      </c>
    </row>
    <row r="452" spans="1:13" x14ac:dyDescent="0.3">
      <c r="A452" t="s">
        <v>1</v>
      </c>
      <c r="B452">
        <f>B448/B449</f>
        <v>0.10630501809732339</v>
      </c>
    </row>
    <row r="453" spans="1:13" x14ac:dyDescent="0.3">
      <c r="E453">
        <f>B451*G448</f>
        <v>0.21244469164394095</v>
      </c>
    </row>
    <row r="455" spans="1:13" x14ac:dyDescent="0.3">
      <c r="A455" t="s">
        <v>7</v>
      </c>
      <c r="B455" t="s">
        <v>209</v>
      </c>
    </row>
    <row r="456" spans="1:13" x14ac:dyDescent="0.3">
      <c r="A456" t="s">
        <v>68</v>
      </c>
      <c r="B456">
        <v>35</v>
      </c>
      <c r="D456" t="s">
        <v>57</v>
      </c>
      <c r="E456">
        <v>80</v>
      </c>
      <c r="F456" t="s">
        <v>57</v>
      </c>
      <c r="G456">
        <f>0.9*80</f>
        <v>72</v>
      </c>
      <c r="I456" t="s">
        <v>57</v>
      </c>
      <c r="J456">
        <f>0.8*80</f>
        <v>64</v>
      </c>
      <c r="L456" t="s">
        <v>57</v>
      </c>
      <c r="M456">
        <f>0.7*80</f>
        <v>56</v>
      </c>
    </row>
    <row r="457" spans="1:13" x14ac:dyDescent="0.3">
      <c r="A457" t="s">
        <v>210</v>
      </c>
      <c r="B457">
        <v>15</v>
      </c>
      <c r="D457" t="s">
        <v>202</v>
      </c>
      <c r="E457">
        <v>151</v>
      </c>
      <c r="F457" t="s">
        <v>202</v>
      </c>
      <c r="G457">
        <f>0.1*151</f>
        <v>15.100000000000001</v>
      </c>
      <c r="I457" t="s">
        <v>202</v>
      </c>
      <c r="J457">
        <f>0.2*151</f>
        <v>30.200000000000003</v>
      </c>
      <c r="L457" t="s">
        <v>202</v>
      </c>
      <c r="M457">
        <f>0.3*151</f>
        <v>45.3</v>
      </c>
    </row>
    <row r="458" spans="1:13" x14ac:dyDescent="0.3">
      <c r="F458" t="s">
        <v>56</v>
      </c>
      <c r="G458">
        <f>G456/(G$456+G$457)</f>
        <v>0.82663605051664757</v>
      </c>
      <c r="I458" t="s">
        <v>56</v>
      </c>
      <c r="J458">
        <f>J456/(J$456+J$457)</f>
        <v>0.67940552016985134</v>
      </c>
      <c r="L458" t="s">
        <v>56</v>
      </c>
      <c r="M458">
        <f>M456/(M$456+M$457)</f>
        <v>0.55281342546890422</v>
      </c>
    </row>
    <row r="459" spans="1:13" x14ac:dyDescent="0.3">
      <c r="A459" t="s">
        <v>47</v>
      </c>
      <c r="B459">
        <f>B456+B457+B458</f>
        <v>50</v>
      </c>
      <c r="F459" t="s">
        <v>212</v>
      </c>
      <c r="G459">
        <f>G457/(G$456+G$457)</f>
        <v>0.17336394948335249</v>
      </c>
      <c r="I459" t="s">
        <v>212</v>
      </c>
      <c r="J459">
        <f>J457/(J$456+J$457)</f>
        <v>0.32059447983014866</v>
      </c>
      <c r="L459" t="s">
        <v>212</v>
      </c>
      <c r="M459">
        <f>M457/(M$456+M$457)</f>
        <v>0.44718657453109573</v>
      </c>
    </row>
    <row r="460" spans="1:13" x14ac:dyDescent="0.3">
      <c r="A460" t="s">
        <v>20</v>
      </c>
      <c r="B460">
        <f>B456/B459*0.8</f>
        <v>0.55999999999999994</v>
      </c>
    </row>
    <row r="461" spans="1:13" x14ac:dyDescent="0.3">
      <c r="A461" t="s">
        <v>211</v>
      </c>
      <c r="B461">
        <f>B457/B459*0.8</f>
        <v>0.24</v>
      </c>
    </row>
    <row r="462" spans="1:13" x14ac:dyDescent="0.3">
      <c r="A462" t="s">
        <v>1</v>
      </c>
      <c r="B462">
        <f>0.2</f>
        <v>0.2</v>
      </c>
    </row>
    <row r="463" spans="1:13" x14ac:dyDescent="0.3">
      <c r="E463">
        <f>B461*G458</f>
        <v>0.1983926521239954</v>
      </c>
    </row>
    <row r="464" spans="1:13" x14ac:dyDescent="0.3">
      <c r="A464" t="s">
        <v>68</v>
      </c>
      <c r="B464">
        <v>40</v>
      </c>
    </row>
    <row r="465" spans="1:2" x14ac:dyDescent="0.3">
      <c r="A465" t="s">
        <v>210</v>
      </c>
      <c r="B465">
        <v>10</v>
      </c>
    </row>
    <row r="467" spans="1:2" x14ac:dyDescent="0.3">
      <c r="A467" t="s">
        <v>47</v>
      </c>
      <c r="B467">
        <f>B464+B465+B466</f>
        <v>50</v>
      </c>
    </row>
    <row r="468" spans="1:2" x14ac:dyDescent="0.3">
      <c r="A468" t="s">
        <v>20</v>
      </c>
      <c r="B468">
        <f>B464/B467*0.8</f>
        <v>0.64000000000000012</v>
      </c>
    </row>
    <row r="469" spans="1:2" x14ac:dyDescent="0.3">
      <c r="A469" t="s">
        <v>211</v>
      </c>
      <c r="B469">
        <f>B465/B467*0.8</f>
        <v>0.16000000000000003</v>
      </c>
    </row>
    <row r="470" spans="1:2" x14ac:dyDescent="0.3">
      <c r="A470" t="s">
        <v>1</v>
      </c>
      <c r="B470">
        <f>0.2</f>
        <v>0.2</v>
      </c>
    </row>
    <row r="472" spans="1:2" x14ac:dyDescent="0.3">
      <c r="A472" t="s">
        <v>68</v>
      </c>
      <c r="B472">
        <v>30</v>
      </c>
    </row>
    <row r="473" spans="1:2" x14ac:dyDescent="0.3">
      <c r="A473" t="s">
        <v>210</v>
      </c>
      <c r="B473">
        <v>20</v>
      </c>
    </row>
    <row r="475" spans="1:2" x14ac:dyDescent="0.3">
      <c r="A475" t="s">
        <v>47</v>
      </c>
      <c r="B475">
        <f>B472+B473+B474</f>
        <v>50</v>
      </c>
    </row>
    <row r="476" spans="1:2" x14ac:dyDescent="0.3">
      <c r="A476" t="s">
        <v>20</v>
      </c>
      <c r="B476">
        <f>B472/B475*0.8</f>
        <v>0.48</v>
      </c>
    </row>
    <row r="477" spans="1:2" x14ac:dyDescent="0.3">
      <c r="A477" t="s">
        <v>211</v>
      </c>
      <c r="B477">
        <f>B473/B475*0.8</f>
        <v>0.32000000000000006</v>
      </c>
    </row>
    <row r="478" spans="1:2" x14ac:dyDescent="0.3">
      <c r="A478" t="s">
        <v>1</v>
      </c>
      <c r="B478">
        <f>0.2</f>
        <v>0.2</v>
      </c>
    </row>
    <row r="480" spans="1:2" x14ac:dyDescent="0.3">
      <c r="A480" t="s">
        <v>7</v>
      </c>
      <c r="B480" t="s">
        <v>214</v>
      </c>
    </row>
    <row r="481" spans="1:4" x14ac:dyDescent="0.3">
      <c r="A481" t="s">
        <v>146</v>
      </c>
      <c r="B481">
        <v>172</v>
      </c>
      <c r="C481" t="s">
        <v>146</v>
      </c>
      <c r="D481">
        <f>0.8*172</f>
        <v>137.6</v>
      </c>
    </row>
    <row r="482" spans="1:4" x14ac:dyDescent="0.3">
      <c r="A482" t="s">
        <v>202</v>
      </c>
      <c r="B482">
        <v>151</v>
      </c>
      <c r="C482" t="s">
        <v>202</v>
      </c>
      <c r="D482">
        <f>0.2*151</f>
        <v>30.200000000000003</v>
      </c>
    </row>
    <row r="483" spans="1:4" x14ac:dyDescent="0.3">
      <c r="C483" t="s">
        <v>56</v>
      </c>
      <c r="D483">
        <f>D481/(D$481+D$482)</f>
        <v>0.82002383790226452</v>
      </c>
    </row>
    <row r="484" spans="1:4" x14ac:dyDescent="0.3">
      <c r="C484" t="s">
        <v>212</v>
      </c>
      <c r="D484">
        <f>D482/(D$481+D$482)</f>
        <v>0.1799761620977354</v>
      </c>
    </row>
    <row r="486" spans="1:4" x14ac:dyDescent="0.3">
      <c r="A486" t="s">
        <v>7</v>
      </c>
      <c r="B486" t="s">
        <v>228</v>
      </c>
    </row>
    <row r="487" spans="1:4" x14ac:dyDescent="0.3">
      <c r="A487" t="s">
        <v>1</v>
      </c>
      <c r="B487">
        <v>51.5</v>
      </c>
    </row>
    <row r="488" spans="1:4" x14ac:dyDescent="0.3">
      <c r="A488" t="s">
        <v>116</v>
      </c>
      <c r="B488">
        <v>48</v>
      </c>
    </row>
    <row r="489" spans="1:4" x14ac:dyDescent="0.3">
      <c r="A489" t="s">
        <v>2</v>
      </c>
      <c r="B489">
        <v>0.5</v>
      </c>
    </row>
    <row r="490" spans="1:4" x14ac:dyDescent="0.3">
      <c r="A490" t="s">
        <v>28</v>
      </c>
      <c r="B490">
        <f>B487*195</f>
        <v>10042.5</v>
      </c>
    </row>
    <row r="491" spans="1:4" x14ac:dyDescent="0.3">
      <c r="A491" t="s">
        <v>123</v>
      </c>
      <c r="B491">
        <f>B488*63.5</f>
        <v>3048</v>
      </c>
    </row>
    <row r="492" spans="1:4" x14ac:dyDescent="0.3">
      <c r="A492" t="s">
        <v>29</v>
      </c>
      <c r="B492">
        <f>B489*101</f>
        <v>50.5</v>
      </c>
    </row>
    <row r="493" spans="1:4" x14ac:dyDescent="0.3">
      <c r="A493" t="s">
        <v>17</v>
      </c>
      <c r="B493">
        <f>B490+B491+B492</f>
        <v>13141</v>
      </c>
    </row>
    <row r="494" spans="1:4" x14ac:dyDescent="0.3">
      <c r="A494" t="s">
        <v>162</v>
      </c>
      <c r="B494">
        <f>0.2</f>
        <v>0.2</v>
      </c>
    </row>
    <row r="495" spans="1:4" x14ac:dyDescent="0.3">
      <c r="A495" t="s">
        <v>13</v>
      </c>
      <c r="B495">
        <f>B490/B493*0.2</f>
        <v>0.15284224944829161</v>
      </c>
    </row>
    <row r="496" spans="1:4" x14ac:dyDescent="0.3">
      <c r="A496" t="s">
        <v>124</v>
      </c>
      <c r="B496">
        <f>B491/B493*B494</f>
        <v>4.6389163686173046E-2</v>
      </c>
    </row>
    <row r="497" spans="1:4" x14ac:dyDescent="0.3">
      <c r="A497" t="s">
        <v>23</v>
      </c>
      <c r="B497">
        <f>B492/B493*B494</f>
        <v>7.6858686553534742E-4</v>
      </c>
      <c r="D497">
        <f>B495+B496+B497</f>
        <v>0.2</v>
      </c>
    </row>
    <row r="499" spans="1:4" x14ac:dyDescent="0.3">
      <c r="A499" t="s">
        <v>7</v>
      </c>
      <c r="B499" t="s">
        <v>228</v>
      </c>
    </row>
    <row r="500" spans="1:4" x14ac:dyDescent="0.3">
      <c r="A500" t="s">
        <v>1</v>
      </c>
      <c r="B500">
        <v>51.5</v>
      </c>
    </row>
    <row r="501" spans="1:4" x14ac:dyDescent="0.3">
      <c r="A501" t="s">
        <v>116</v>
      </c>
      <c r="B501">
        <v>48</v>
      </c>
    </row>
    <row r="502" spans="1:4" x14ac:dyDescent="0.3">
      <c r="A502" t="s">
        <v>2</v>
      </c>
      <c r="B502">
        <v>0.5</v>
      </c>
    </row>
    <row r="503" spans="1:4" x14ac:dyDescent="0.3">
      <c r="A503" t="s">
        <v>28</v>
      </c>
      <c r="B503">
        <f>B500*195</f>
        <v>10042.5</v>
      </c>
    </row>
    <row r="504" spans="1:4" x14ac:dyDescent="0.3">
      <c r="A504" t="s">
        <v>123</v>
      </c>
      <c r="B504">
        <f>B501*63.5</f>
        <v>3048</v>
      </c>
    </row>
    <row r="505" spans="1:4" x14ac:dyDescent="0.3">
      <c r="A505" t="s">
        <v>29</v>
      </c>
      <c r="B505">
        <f>B502*101</f>
        <v>50.5</v>
      </c>
    </row>
    <row r="506" spans="1:4" x14ac:dyDescent="0.3">
      <c r="A506" t="s">
        <v>17</v>
      </c>
      <c r="B506">
        <f>B503+B504+B505</f>
        <v>13141</v>
      </c>
    </row>
    <row r="507" spans="1:4" x14ac:dyDescent="0.3">
      <c r="A507" t="s">
        <v>162</v>
      </c>
      <c r="B507">
        <f>0.2</f>
        <v>0.2</v>
      </c>
    </row>
    <row r="508" spans="1:4" x14ac:dyDescent="0.3">
      <c r="A508" t="s">
        <v>13</v>
      </c>
      <c r="B508">
        <f>B503/B506*0.2</f>
        <v>0.15284224944829161</v>
      </c>
    </row>
    <row r="509" spans="1:4" x14ac:dyDescent="0.3">
      <c r="A509" t="s">
        <v>124</v>
      </c>
      <c r="B509">
        <f>B504/B506*B507</f>
        <v>4.6389163686173046E-2</v>
      </c>
    </row>
    <row r="510" spans="1:4" x14ac:dyDescent="0.3">
      <c r="A510" t="s">
        <v>23</v>
      </c>
      <c r="B510">
        <f>B505/B506*B507</f>
        <v>7.6858686553534742E-4</v>
      </c>
    </row>
    <row r="512" spans="1:4" x14ac:dyDescent="0.3">
      <c r="A512" t="s">
        <v>7</v>
      </c>
      <c r="B512" t="s">
        <v>231</v>
      </c>
    </row>
    <row r="513" spans="1:7" x14ac:dyDescent="0.3">
      <c r="A513" t="s">
        <v>1</v>
      </c>
      <c r="B513">
        <v>45</v>
      </c>
      <c r="F513">
        <f>3/1000</f>
        <v>3.0000000000000001E-3</v>
      </c>
      <c r="G513" t="s">
        <v>232</v>
      </c>
    </row>
    <row r="514" spans="1:7" x14ac:dyDescent="0.3">
      <c r="A514" t="s">
        <v>72</v>
      </c>
      <c r="B514">
        <v>10</v>
      </c>
      <c r="F514">
        <v>2.6</v>
      </c>
      <c r="G514" t="s">
        <v>233</v>
      </c>
    </row>
    <row r="515" spans="1:7" x14ac:dyDescent="0.3">
      <c r="A515" t="s">
        <v>2</v>
      </c>
      <c r="B515">
        <v>45</v>
      </c>
      <c r="F515">
        <f>F513/F514</f>
        <v>1.1538461538461537E-3</v>
      </c>
      <c r="G515" t="s">
        <v>234</v>
      </c>
    </row>
    <row r="516" spans="1:7" x14ac:dyDescent="0.3">
      <c r="A516" t="s">
        <v>28</v>
      </c>
      <c r="B516">
        <f>B513*195</f>
        <v>8775</v>
      </c>
      <c r="F516">
        <f>F515*1000</f>
        <v>1.1538461538461537</v>
      </c>
      <c r="G516" t="s">
        <v>235</v>
      </c>
    </row>
    <row r="517" spans="1:7" x14ac:dyDescent="0.3">
      <c r="A517" t="s">
        <v>123</v>
      </c>
      <c r="B517">
        <f>B514*59</f>
        <v>590</v>
      </c>
    </row>
    <row r="518" spans="1:7" x14ac:dyDescent="0.3">
      <c r="A518" t="s">
        <v>29</v>
      </c>
      <c r="B518">
        <f>B515*101</f>
        <v>4545</v>
      </c>
    </row>
    <row r="519" spans="1:7" x14ac:dyDescent="0.3">
      <c r="A519" t="s">
        <v>17</v>
      </c>
      <c r="B519">
        <f>B516+B517+B518</f>
        <v>13910</v>
      </c>
    </row>
    <row r="520" spans="1:7" x14ac:dyDescent="0.3">
      <c r="A520" t="s">
        <v>162</v>
      </c>
      <c r="B520">
        <f>0.6</f>
        <v>0.6</v>
      </c>
    </row>
    <row r="521" spans="1:7" x14ac:dyDescent="0.3">
      <c r="A521" t="s">
        <v>13</v>
      </c>
      <c r="B521">
        <f>B516/B519*B520</f>
        <v>0.37850467289719625</v>
      </c>
    </row>
    <row r="522" spans="1:7" x14ac:dyDescent="0.3">
      <c r="A522" t="s">
        <v>124</v>
      </c>
      <c r="B522">
        <f>B517/B519*B520</f>
        <v>2.5449317038102083E-2</v>
      </c>
    </row>
    <row r="523" spans="1:7" x14ac:dyDescent="0.3">
      <c r="A523" t="s">
        <v>23</v>
      </c>
      <c r="B523">
        <f>B518/B519*B520</f>
        <v>0.19604601006470165</v>
      </c>
    </row>
    <row r="526" spans="1:7" x14ac:dyDescent="0.3">
      <c r="A526" t="s">
        <v>7</v>
      </c>
      <c r="B526" t="s">
        <v>240</v>
      </c>
    </row>
    <row r="527" spans="1:7" x14ac:dyDescent="0.3">
      <c r="A527" t="s">
        <v>241</v>
      </c>
    </row>
    <row r="528" spans="1:7" x14ac:dyDescent="0.3">
      <c r="A528" t="s">
        <v>51</v>
      </c>
      <c r="B528">
        <v>10</v>
      </c>
      <c r="C528" t="s">
        <v>128</v>
      </c>
    </row>
    <row r="529" spans="1:10" x14ac:dyDescent="0.3">
      <c r="A529" t="s">
        <v>242</v>
      </c>
      <c r="B529">
        <v>6</v>
      </c>
      <c r="C529" t="s">
        <v>128</v>
      </c>
    </row>
    <row r="530" spans="1:10" x14ac:dyDescent="0.3">
      <c r="A530" t="s">
        <v>243</v>
      </c>
      <c r="B530">
        <f>6/324*172</f>
        <v>3.1851851851851851</v>
      </c>
    </row>
    <row r="531" spans="1:10" x14ac:dyDescent="0.3">
      <c r="A531" t="s">
        <v>244</v>
      </c>
      <c r="B531">
        <f>B528/(B$528+B$530)</f>
        <v>0.7584269662921348</v>
      </c>
    </row>
    <row r="532" spans="1:10" x14ac:dyDescent="0.3">
      <c r="A532" t="s">
        <v>245</v>
      </c>
      <c r="B532">
        <f>B530/(B$528+B$530)</f>
        <v>0.24157303370786518</v>
      </c>
    </row>
    <row r="533" spans="1:10" x14ac:dyDescent="0.3">
      <c r="C533" t="s">
        <v>1</v>
      </c>
      <c r="D533" t="s">
        <v>116</v>
      </c>
      <c r="E533" t="s">
        <v>247</v>
      </c>
      <c r="F533" t="s">
        <v>51</v>
      </c>
      <c r="G533" t="s">
        <v>87</v>
      </c>
    </row>
    <row r="534" spans="1:10" x14ac:dyDescent="0.3">
      <c r="A534" t="s">
        <v>246</v>
      </c>
      <c r="C534">
        <f>0.17</f>
        <v>0.17</v>
      </c>
      <c r="D534">
        <v>0</v>
      </c>
      <c r="E534">
        <f>0.83*B532</f>
        <v>0.20050561797752808</v>
      </c>
      <c r="F534">
        <f>0.83*B531</f>
        <v>0.62949438202247188</v>
      </c>
      <c r="G534">
        <v>600</v>
      </c>
    </row>
    <row r="535" spans="1:10" x14ac:dyDescent="0.3">
      <c r="A535" t="s">
        <v>248</v>
      </c>
      <c r="C535">
        <v>0.13</v>
      </c>
      <c r="D535">
        <v>0.04</v>
      </c>
      <c r="E535">
        <f>0.83*B532</f>
        <v>0.20050561797752808</v>
      </c>
      <c r="F535">
        <v>0.62949438202247188</v>
      </c>
      <c r="G535">
        <v>800</v>
      </c>
    </row>
    <row r="536" spans="1:10" x14ac:dyDescent="0.3">
      <c r="A536" t="s">
        <v>249</v>
      </c>
      <c r="C536">
        <v>0.08</v>
      </c>
      <c r="D536">
        <v>7.0000000000000007E-2</v>
      </c>
      <c r="E536">
        <f>0.85*B532</f>
        <v>0.20533707865168541</v>
      </c>
      <c r="F536">
        <f>0.85*B531</f>
        <v>0.6446629213483146</v>
      </c>
      <c r="G536">
        <v>1280</v>
      </c>
    </row>
    <row r="537" spans="1:10" x14ac:dyDescent="0.3">
      <c r="A537" t="s">
        <v>250</v>
      </c>
      <c r="C537">
        <v>0.04</v>
      </c>
      <c r="D537">
        <v>0.11</v>
      </c>
      <c r="E537">
        <f>0.85*B532</f>
        <v>0.20533707865168541</v>
      </c>
      <c r="F537">
        <v>0.6446629213483146</v>
      </c>
      <c r="G537">
        <v>600</v>
      </c>
    </row>
    <row r="540" spans="1:10" x14ac:dyDescent="0.3">
      <c r="A540" t="s">
        <v>7</v>
      </c>
      <c r="B540" t="s">
        <v>255</v>
      </c>
    </row>
    <row r="541" spans="1:10" x14ac:dyDescent="0.3">
      <c r="A541" t="s">
        <v>1</v>
      </c>
      <c r="B541">
        <v>1</v>
      </c>
      <c r="D541">
        <v>1</v>
      </c>
      <c r="F541">
        <v>1</v>
      </c>
      <c r="H541">
        <v>1</v>
      </c>
      <c r="J541">
        <v>1</v>
      </c>
    </row>
    <row r="542" spans="1:10" x14ac:dyDescent="0.3">
      <c r="A542" t="s">
        <v>116</v>
      </c>
      <c r="B542">
        <v>1</v>
      </c>
      <c r="D542">
        <v>0.67</v>
      </c>
      <c r="F542">
        <v>0.43</v>
      </c>
      <c r="H542">
        <v>0.25</v>
      </c>
      <c r="J542">
        <v>0.11</v>
      </c>
    </row>
    <row r="543" spans="1:10" x14ac:dyDescent="0.3">
      <c r="A543" t="s">
        <v>28</v>
      </c>
      <c r="B543">
        <f>B541*195</f>
        <v>195</v>
      </c>
      <c r="D543">
        <f>D541*195</f>
        <v>195</v>
      </c>
      <c r="F543">
        <f>F541*195</f>
        <v>195</v>
      </c>
      <c r="H543">
        <f>H541*195</f>
        <v>195</v>
      </c>
      <c r="J543">
        <f>J541*195</f>
        <v>195</v>
      </c>
    </row>
    <row r="544" spans="1:10" x14ac:dyDescent="0.3">
      <c r="A544" t="s">
        <v>123</v>
      </c>
      <c r="B544">
        <f>B542*63.5</f>
        <v>63.5</v>
      </c>
      <c r="D544">
        <f>D542*63.5</f>
        <v>42.545000000000002</v>
      </c>
      <c r="F544">
        <f>F542*63.5</f>
        <v>27.305</v>
      </c>
      <c r="H544">
        <f>H542*63.5</f>
        <v>15.875</v>
      </c>
      <c r="J544">
        <f>J542*63.5</f>
        <v>6.9850000000000003</v>
      </c>
    </row>
    <row r="545" spans="1:10" x14ac:dyDescent="0.3">
      <c r="A545" t="s">
        <v>17</v>
      </c>
      <c r="B545">
        <f>B543+B544</f>
        <v>258.5</v>
      </c>
      <c r="D545">
        <f>D543+D544</f>
        <v>237.54500000000002</v>
      </c>
      <c r="F545">
        <f>F543+F544</f>
        <v>222.30500000000001</v>
      </c>
      <c r="H545">
        <f>H543+H544</f>
        <v>210.875</v>
      </c>
      <c r="J545">
        <f>J543+J544</f>
        <v>201.98500000000001</v>
      </c>
    </row>
    <row r="546" spans="1:10" x14ac:dyDescent="0.3">
      <c r="A546" t="s">
        <v>162</v>
      </c>
      <c r="B546">
        <f>0.2</f>
        <v>0.2</v>
      </c>
      <c r="D546">
        <f>0.2</f>
        <v>0.2</v>
      </c>
      <c r="F546">
        <f>0.2</f>
        <v>0.2</v>
      </c>
      <c r="H546">
        <f>0.2</f>
        <v>0.2</v>
      </c>
      <c r="J546">
        <f>0.2</f>
        <v>0.2</v>
      </c>
    </row>
    <row r="547" spans="1:10" x14ac:dyDescent="0.3">
      <c r="A547" t="s">
        <v>13</v>
      </c>
      <c r="B547">
        <f>B543/B545*B546</f>
        <v>0.15087040618955513</v>
      </c>
      <c r="D547">
        <f>D543/D545*D546</f>
        <v>0.1641794186364689</v>
      </c>
      <c r="F547">
        <f>F543/F545*F546</f>
        <v>0.17543465059265426</v>
      </c>
      <c r="H547">
        <f>H543/H545*H546</f>
        <v>0.18494368701837582</v>
      </c>
      <c r="J547">
        <f>J543/J545*J546</f>
        <v>0.19308364482511076</v>
      </c>
    </row>
    <row r="548" spans="1:10" x14ac:dyDescent="0.3">
      <c r="A548" t="s">
        <v>118</v>
      </c>
      <c r="B548">
        <f>0.2-B547</f>
        <v>4.9129593810444877E-2</v>
      </c>
      <c r="D548">
        <f>0.2-D547</f>
        <v>3.5820581363531112E-2</v>
      </c>
      <c r="F548">
        <f>0.2-F547</f>
        <v>2.4565349407345755E-2</v>
      </c>
      <c r="H548">
        <f>0.2-H547</f>
        <v>1.5056312981624187E-2</v>
      </c>
      <c r="J548">
        <f>0.2-J547</f>
        <v>6.9163551748892549E-3</v>
      </c>
    </row>
    <row r="549" spans="1:10" x14ac:dyDescent="0.3">
      <c r="A549" t="s">
        <v>256</v>
      </c>
      <c r="B549">
        <v>200</v>
      </c>
      <c r="D549">
        <v>315</v>
      </c>
      <c r="F549">
        <v>680</v>
      </c>
      <c r="H549">
        <v>1300</v>
      </c>
      <c r="J549">
        <v>580</v>
      </c>
    </row>
    <row r="552" spans="1:10" x14ac:dyDescent="0.3">
      <c r="A552" t="s">
        <v>7</v>
      </c>
      <c r="B552" t="s">
        <v>257</v>
      </c>
    </row>
    <row r="553" spans="1:10" x14ac:dyDescent="0.3">
      <c r="A553" t="s">
        <v>51</v>
      </c>
      <c r="B553">
        <f>0.1/1000*15</f>
        <v>1.5E-3</v>
      </c>
    </row>
    <row r="554" spans="1:10" x14ac:dyDescent="0.3">
      <c r="A554" t="s">
        <v>1</v>
      </c>
      <c r="B554">
        <f>28*0.07</f>
        <v>1.9600000000000002</v>
      </c>
      <c r="C554" t="s">
        <v>33</v>
      </c>
      <c r="D554">
        <f>19/B554</f>
        <v>9.6938775510204067</v>
      </c>
      <c r="E554">
        <f>19*50/0.07/10</f>
        <v>1357.1428571428571</v>
      </c>
    </row>
    <row r="556" spans="1:10" x14ac:dyDescent="0.3">
      <c r="A556" t="s">
        <v>16</v>
      </c>
      <c r="B556" t="s">
        <v>258</v>
      </c>
    </row>
    <row r="557" spans="1:10" x14ac:dyDescent="0.3">
      <c r="A557" t="s">
        <v>259</v>
      </c>
      <c r="B557">
        <v>25.6</v>
      </c>
      <c r="D557" t="s">
        <v>259</v>
      </c>
      <c r="E557">
        <v>22.3</v>
      </c>
      <c r="G557" t="s">
        <v>259</v>
      </c>
      <c r="H557">
        <v>14.7</v>
      </c>
    </row>
    <row r="558" spans="1:10" x14ac:dyDescent="0.3">
      <c r="A558" t="s">
        <v>1</v>
      </c>
      <c r="B558">
        <v>43.3</v>
      </c>
      <c r="D558" t="s">
        <v>1</v>
      </c>
      <c r="E558">
        <v>55.8</v>
      </c>
      <c r="G558" t="s">
        <v>1</v>
      </c>
      <c r="H558">
        <v>98.8</v>
      </c>
    </row>
    <row r="559" spans="1:10" x14ac:dyDescent="0.3">
      <c r="A559" t="s">
        <v>113</v>
      </c>
      <c r="B559">
        <v>56.7</v>
      </c>
      <c r="D559" t="s">
        <v>113</v>
      </c>
      <c r="E559">
        <v>44.2</v>
      </c>
      <c r="G559" t="s">
        <v>113</v>
      </c>
      <c r="H559">
        <v>1.2</v>
      </c>
    </row>
    <row r="560" spans="1:10" x14ac:dyDescent="0.3">
      <c r="A560" t="s">
        <v>260</v>
      </c>
      <c r="B560">
        <f>B558*(195+32)</f>
        <v>9829.0999999999985</v>
      </c>
      <c r="D560" t="s">
        <v>260</v>
      </c>
      <c r="E560">
        <f>E558*(195+32)</f>
        <v>12666.599999999999</v>
      </c>
      <c r="G560" t="s">
        <v>260</v>
      </c>
      <c r="H560">
        <f>H558*(195+32)</f>
        <v>22427.599999999999</v>
      </c>
    </row>
    <row r="561" spans="1:13" x14ac:dyDescent="0.3">
      <c r="A561" t="s">
        <v>261</v>
      </c>
      <c r="B561">
        <f>B559*(55*2+3*16)/2</f>
        <v>4479.3</v>
      </c>
      <c r="D561" t="s">
        <v>261</v>
      </c>
      <c r="E561">
        <f>E559*(55*2+3*16)/2</f>
        <v>3491.8</v>
      </c>
      <c r="G561" t="s">
        <v>261</v>
      </c>
      <c r="H561">
        <f>H559*(55*2+3*16)/2</f>
        <v>94.8</v>
      </c>
    </row>
    <row r="562" spans="1:13" x14ac:dyDescent="0.3">
      <c r="A562" t="s">
        <v>12</v>
      </c>
      <c r="B562">
        <f>B560+B561</f>
        <v>14308.399999999998</v>
      </c>
      <c r="D562" t="s">
        <v>12</v>
      </c>
      <c r="E562">
        <f>E560+E561</f>
        <v>16158.399999999998</v>
      </c>
      <c r="G562" t="s">
        <v>12</v>
      </c>
      <c r="H562">
        <f>H560+H561</f>
        <v>22522.399999999998</v>
      </c>
    </row>
    <row r="563" spans="1:13" x14ac:dyDescent="0.3">
      <c r="A563" t="s">
        <v>262</v>
      </c>
      <c r="B563">
        <f>B560/B562</f>
        <v>0.68694612954628054</v>
      </c>
      <c r="D563" t="s">
        <v>262</v>
      </c>
      <c r="E563">
        <f>E560/E562</f>
        <v>0.78390187147242307</v>
      </c>
      <c r="G563" t="s">
        <v>262</v>
      </c>
      <c r="H563">
        <f>H560/H562</f>
        <v>0.99579085710226267</v>
      </c>
    </row>
    <row r="564" spans="1:13" x14ac:dyDescent="0.3">
      <c r="A564" t="s">
        <v>266</v>
      </c>
      <c r="B564">
        <f>B561/B562</f>
        <v>0.31305387045371957</v>
      </c>
      <c r="D564" t="s">
        <v>266</v>
      </c>
      <c r="E564">
        <f>E561/E562</f>
        <v>0.21609812852757704</v>
      </c>
      <c r="G564" t="s">
        <v>266</v>
      </c>
      <c r="H564">
        <f>H561/H562</f>
        <v>4.2091428977373644E-3</v>
      </c>
    </row>
    <row r="565" spans="1:13" x14ac:dyDescent="0.3">
      <c r="A565" t="s">
        <v>263</v>
      </c>
      <c r="B565">
        <f>B563*B557/(195+32)*195</f>
        <v>15.106762461211597</v>
      </c>
      <c r="D565" t="s">
        <v>263</v>
      </c>
      <c r="E565">
        <f>E563*E557/(195+32)*195</f>
        <v>15.01672814140014</v>
      </c>
      <c r="G565" t="s">
        <v>263</v>
      </c>
      <c r="H565">
        <f>H563*H557/(195+32)*195</f>
        <v>12.574601285830994</v>
      </c>
    </row>
    <row r="566" spans="1:13" x14ac:dyDescent="0.3">
      <c r="A566" t="s">
        <v>264</v>
      </c>
      <c r="B566">
        <f>B564*B557/(2*55+48)*2*55</f>
        <v>5.5794917670738888</v>
      </c>
      <c r="D566" t="s">
        <v>264</v>
      </c>
      <c r="E566">
        <f>E564*E557/(2*55+48)*2*55</f>
        <v>3.3549918308743449</v>
      </c>
      <c r="G566" t="s">
        <v>264</v>
      </c>
      <c r="H566">
        <f>H564*H557/(2*55+48)*2*55</f>
        <v>4.307711433950201E-2</v>
      </c>
    </row>
    <row r="567" spans="1:13" x14ac:dyDescent="0.3">
      <c r="A567" t="s">
        <v>51</v>
      </c>
      <c r="B567">
        <f>100-B566-B565</f>
        <v>79.313745771714508</v>
      </c>
      <c r="D567" t="s">
        <v>51</v>
      </c>
      <c r="E567">
        <f>100-E566-E565</f>
        <v>81.628280027725523</v>
      </c>
      <c r="G567" t="s">
        <v>51</v>
      </c>
      <c r="H567">
        <f>100-H566-H565</f>
        <v>87.38232159982951</v>
      </c>
    </row>
    <row r="568" spans="1:13" x14ac:dyDescent="0.3">
      <c r="A568" t="s">
        <v>12</v>
      </c>
      <c r="B568">
        <f>B565+B566+B567</f>
        <v>100</v>
      </c>
      <c r="D568" t="s">
        <v>12</v>
      </c>
      <c r="E568">
        <f>E565+E566+E567</f>
        <v>100</v>
      </c>
      <c r="G568" t="s">
        <v>12</v>
      </c>
      <c r="H568">
        <f>H565+H566+H567</f>
        <v>100</v>
      </c>
    </row>
    <row r="569" spans="1:13" x14ac:dyDescent="0.3">
      <c r="A569" t="s">
        <v>18</v>
      </c>
      <c r="B569">
        <f>B565/B568</f>
        <v>0.15106762461211598</v>
      </c>
      <c r="D569" t="s">
        <v>18</v>
      </c>
      <c r="E569">
        <f>E565/E568</f>
        <v>0.1501672814140014</v>
      </c>
      <c r="G569" t="s">
        <v>18</v>
      </c>
      <c r="H569">
        <f>H565/H568</f>
        <v>0.12574601285830994</v>
      </c>
    </row>
    <row r="570" spans="1:13" x14ac:dyDescent="0.3">
      <c r="A570" t="s">
        <v>265</v>
      </c>
      <c r="B570">
        <f>B566/B568</f>
        <v>5.5794917670738887E-2</v>
      </c>
      <c r="D570" t="s">
        <v>265</v>
      </c>
      <c r="E570">
        <f>E566/E568</f>
        <v>3.3549918308743452E-2</v>
      </c>
      <c r="G570" t="s">
        <v>265</v>
      </c>
      <c r="H570">
        <f>H566/H568</f>
        <v>4.3077114339502007E-4</v>
      </c>
    </row>
    <row r="571" spans="1:13" x14ac:dyDescent="0.3">
      <c r="A571" t="s">
        <v>244</v>
      </c>
      <c r="B571">
        <f>B567/B568</f>
        <v>0.79313745771714506</v>
      </c>
      <c r="D571" t="s">
        <v>244</v>
      </c>
      <c r="E571">
        <f>E567/E568</f>
        <v>0.81628280027725519</v>
      </c>
      <c r="G571" t="s">
        <v>244</v>
      </c>
      <c r="H571">
        <f>H567/H568</f>
        <v>0.87382321599829504</v>
      </c>
    </row>
    <row r="573" spans="1:13" x14ac:dyDescent="0.3">
      <c r="A573" t="s">
        <v>7</v>
      </c>
      <c r="B573" t="s">
        <v>268</v>
      </c>
    </row>
    <row r="574" spans="1:13" x14ac:dyDescent="0.3">
      <c r="A574" t="s">
        <v>269</v>
      </c>
      <c r="B574">
        <f>0.05/(207+36)*151</f>
        <v>3.1069958847736629E-2</v>
      </c>
      <c r="D574" t="s">
        <v>269</v>
      </c>
      <c r="E574">
        <f>0.05/(207+36)*151</f>
        <v>3.1069958847736629E-2</v>
      </c>
      <c r="L574" t="s">
        <v>269</v>
      </c>
      <c r="M574">
        <v>0</v>
      </c>
    </row>
    <row r="575" spans="1:13" x14ac:dyDescent="0.3">
      <c r="A575" t="s">
        <v>270</v>
      </c>
      <c r="B575">
        <v>0.1</v>
      </c>
      <c r="D575" t="s">
        <v>270</v>
      </c>
      <c r="E575">
        <v>0.1</v>
      </c>
      <c r="L575" t="s">
        <v>270</v>
      </c>
      <c r="M575">
        <v>0.1</v>
      </c>
    </row>
    <row r="576" spans="1:13" x14ac:dyDescent="0.3">
      <c r="A576" t="s">
        <v>12</v>
      </c>
      <c r="B576">
        <f>B574+B575</f>
        <v>0.13106995884773665</v>
      </c>
      <c r="D576" t="s">
        <v>12</v>
      </c>
      <c r="E576">
        <f>E574+E575</f>
        <v>0.13106995884773665</v>
      </c>
      <c r="L576" t="s">
        <v>12</v>
      </c>
      <c r="M576">
        <f>M574+M575</f>
        <v>0.1</v>
      </c>
    </row>
    <row r="577" spans="1:19" x14ac:dyDescent="0.3">
      <c r="A577" t="s">
        <v>271</v>
      </c>
      <c r="B577">
        <f>B574/B576</f>
        <v>0.23704866562009419</v>
      </c>
      <c r="D577" t="s">
        <v>271</v>
      </c>
      <c r="E577">
        <f>E574/E576</f>
        <v>0.23704866562009419</v>
      </c>
      <c r="L577" t="s">
        <v>271</v>
      </c>
      <c r="M577">
        <f>M574/M576</f>
        <v>0</v>
      </c>
    </row>
    <row r="578" spans="1:19" x14ac:dyDescent="0.3">
      <c r="A578" t="s">
        <v>272</v>
      </c>
      <c r="B578">
        <f>B575/B576</f>
        <v>0.7629513343799057</v>
      </c>
      <c r="D578" t="s">
        <v>272</v>
      </c>
      <c r="E578">
        <f>E575/E576</f>
        <v>0.7629513343799057</v>
      </c>
      <c r="L578" t="s">
        <v>272</v>
      </c>
      <c r="M578">
        <f>M575/M576</f>
        <v>1</v>
      </c>
    </row>
    <row r="580" spans="1:19" x14ac:dyDescent="0.3">
      <c r="A580" t="s">
        <v>273</v>
      </c>
      <c r="B580">
        <f>70*B577</f>
        <v>16.593406593406595</v>
      </c>
      <c r="D580" t="s">
        <v>273</v>
      </c>
      <c r="E580">
        <f>70*E577</f>
        <v>16.593406593406595</v>
      </c>
      <c r="L580" t="s">
        <v>273</v>
      </c>
      <c r="M580">
        <f>70*M577</f>
        <v>0</v>
      </c>
    </row>
    <row r="581" spans="1:19" x14ac:dyDescent="0.3">
      <c r="A581" t="s">
        <v>274</v>
      </c>
      <c r="B581">
        <f>70*B578</f>
        <v>53.406593406593402</v>
      </c>
      <c r="D581" t="s">
        <v>274</v>
      </c>
      <c r="E581">
        <f>70*E578</f>
        <v>53.406593406593402</v>
      </c>
      <c r="L581" t="s">
        <v>274</v>
      </c>
      <c r="M581">
        <f>70*M578</f>
        <v>70</v>
      </c>
    </row>
    <row r="582" spans="1:19" x14ac:dyDescent="0.3">
      <c r="A582" t="s">
        <v>28</v>
      </c>
      <c r="B582">
        <f>2*0.05*195</f>
        <v>19.5</v>
      </c>
      <c r="D582" t="s">
        <v>28</v>
      </c>
      <c r="E582">
        <f>2*0.05*195</f>
        <v>19.5</v>
      </c>
      <c r="L582" t="s">
        <v>28</v>
      </c>
      <c r="M582">
        <f>2*0.05*195</f>
        <v>19.5</v>
      </c>
    </row>
    <row r="583" spans="1:19" x14ac:dyDescent="0.3">
      <c r="A583" t="s">
        <v>29</v>
      </c>
      <c r="B583">
        <f>2*0.05*101</f>
        <v>10.100000000000001</v>
      </c>
      <c r="D583" t="s">
        <v>29</v>
      </c>
      <c r="E583">
        <v>0</v>
      </c>
      <c r="G583">
        <f>5/2000*5</f>
        <v>1.2500000000000001E-2</v>
      </c>
      <c r="H583">
        <f>G583/0.07</f>
        <v>0.17857142857142858</v>
      </c>
      <c r="L583" t="s">
        <v>29</v>
      </c>
      <c r="M583">
        <f>2*0.05*101</f>
        <v>10.100000000000001</v>
      </c>
    </row>
    <row r="584" spans="1:19" x14ac:dyDescent="0.3">
      <c r="A584" t="s">
        <v>17</v>
      </c>
      <c r="B584">
        <f>B580+B581+B582+B583</f>
        <v>99.6</v>
      </c>
      <c r="D584" t="s">
        <v>17</v>
      </c>
      <c r="E584">
        <f>E580+E581+E582+E583</f>
        <v>89.5</v>
      </c>
      <c r="G584">
        <f>G583*B587</f>
        <v>2.4472891566265065E-3</v>
      </c>
      <c r="I584">
        <f>57*0.07/890</f>
        <v>4.4831460674157305E-3</v>
      </c>
      <c r="L584" t="s">
        <v>17</v>
      </c>
      <c r="M584">
        <f>M580+M581+M582+M583</f>
        <v>99.6</v>
      </c>
    </row>
    <row r="585" spans="1:19" x14ac:dyDescent="0.3">
      <c r="A585" t="s">
        <v>271</v>
      </c>
      <c r="B585">
        <f>B580/B584</f>
        <v>0.16660046780528712</v>
      </c>
      <c r="D585" t="s">
        <v>271</v>
      </c>
      <c r="E585">
        <f>E580/E584</f>
        <v>0.18540119098778318</v>
      </c>
      <c r="G585">
        <f>57/G584*0.07</f>
        <v>1630.3753846153845</v>
      </c>
      <c r="H585">
        <f>49*0.07/(G583*E587)</f>
        <v>1259.425641025641</v>
      </c>
      <c r="L585" t="s">
        <v>271</v>
      </c>
      <c r="M585">
        <f>M580/M584</f>
        <v>0</v>
      </c>
    </row>
    <row r="586" spans="1:19" x14ac:dyDescent="0.3">
      <c r="A586" t="s">
        <v>244</v>
      </c>
      <c r="B586">
        <f>B581/B584</f>
        <v>0.53621077717463261</v>
      </c>
      <c r="D586" t="s">
        <v>244</v>
      </c>
      <c r="E586">
        <f>E581/E584</f>
        <v>0.59672171404014973</v>
      </c>
      <c r="H586">
        <f>H585/2</f>
        <v>629.71282051282049</v>
      </c>
      <c r="L586" t="s">
        <v>244</v>
      </c>
      <c r="M586">
        <f>M581/M584</f>
        <v>0.70281124497991976</v>
      </c>
    </row>
    <row r="587" spans="1:19" x14ac:dyDescent="0.3">
      <c r="A587" t="s">
        <v>18</v>
      </c>
      <c r="B587">
        <f>B582/B584</f>
        <v>0.1957831325301205</v>
      </c>
      <c r="D587" t="s">
        <v>18</v>
      </c>
      <c r="E587">
        <f>E582/E584</f>
        <v>0.21787709497206703</v>
      </c>
      <c r="L587" t="s">
        <v>18</v>
      </c>
      <c r="M587">
        <f>M582/M584</f>
        <v>0.1957831325301205</v>
      </c>
      <c r="P587">
        <f>10*0.07/(M587*G583)</f>
        <v>286.03076923076918</v>
      </c>
    </row>
    <row r="588" spans="1:19" x14ac:dyDescent="0.3">
      <c r="A588" t="s">
        <v>23</v>
      </c>
      <c r="B588">
        <f>B583/B584</f>
        <v>0.10140562248995987</v>
      </c>
      <c r="D588" t="s">
        <v>23</v>
      </c>
      <c r="E588">
        <f>E583/E584</f>
        <v>0</v>
      </c>
      <c r="L588" t="s">
        <v>23</v>
      </c>
      <c r="M588">
        <f>M583/M584</f>
        <v>0.10140562248995987</v>
      </c>
    </row>
    <row r="590" spans="1:19" x14ac:dyDescent="0.3">
      <c r="A590" t="s">
        <v>7</v>
      </c>
      <c r="B590" t="s">
        <v>276</v>
      </c>
      <c r="E590">
        <v>0.1</v>
      </c>
      <c r="G590">
        <v>0.3</v>
      </c>
      <c r="I590">
        <v>0.4</v>
      </c>
      <c r="K590">
        <v>0.6</v>
      </c>
      <c r="M590">
        <v>0.8</v>
      </c>
      <c r="O590">
        <v>1.4</v>
      </c>
      <c r="Q590">
        <v>3</v>
      </c>
      <c r="R590">
        <v>20</v>
      </c>
    </row>
    <row r="591" spans="1:19" x14ac:dyDescent="0.3">
      <c r="A591" t="s">
        <v>1</v>
      </c>
      <c r="B591">
        <v>0.09</v>
      </c>
      <c r="D591" t="s">
        <v>1</v>
      </c>
      <c r="E591">
        <v>7.0000000000000007E-2</v>
      </c>
      <c r="G591">
        <v>0.11</v>
      </c>
      <c r="I591">
        <v>0.11</v>
      </c>
      <c r="K591">
        <v>0.09</v>
      </c>
      <c r="M591">
        <v>0.1</v>
      </c>
      <c r="O591">
        <v>0.12</v>
      </c>
      <c r="Q591">
        <v>15</v>
      </c>
      <c r="R591">
        <f>Q591*20/3</f>
        <v>100</v>
      </c>
      <c r="S591">
        <f>R591+20</f>
        <v>120</v>
      </c>
    </row>
    <row r="592" spans="1:19" x14ac:dyDescent="0.3">
      <c r="A592" t="s">
        <v>2</v>
      </c>
      <c r="B592">
        <v>0.04</v>
      </c>
      <c r="D592" t="s">
        <v>2</v>
      </c>
      <c r="E592">
        <v>0.03</v>
      </c>
      <c r="G592">
        <v>0.04</v>
      </c>
      <c r="I592">
        <v>0.04</v>
      </c>
      <c r="K592">
        <v>0.03</v>
      </c>
      <c r="M592">
        <v>0.04</v>
      </c>
      <c r="O592">
        <v>0.04</v>
      </c>
      <c r="Q592">
        <v>6.35</v>
      </c>
      <c r="R592">
        <f t="shared" ref="R592:R598" si="15">Q592*20/3</f>
        <v>42.333333333333336</v>
      </c>
      <c r="S592">
        <f t="shared" ref="S592:S598" si="16">R592+20</f>
        <v>62.333333333333336</v>
      </c>
    </row>
    <row r="593" spans="1:19" x14ac:dyDescent="0.3">
      <c r="A593" t="s">
        <v>146</v>
      </c>
      <c r="B593">
        <f>0/140*172</f>
        <v>0</v>
      </c>
      <c r="D593" t="s">
        <v>146</v>
      </c>
      <c r="E593">
        <f>5.1/140*172/100</f>
        <v>6.2657142857142856E-2</v>
      </c>
      <c r="G593">
        <f>17.7/140*172/100</f>
        <v>0.21745714285714285</v>
      </c>
      <c r="I593">
        <f>23.1/140*172/100</f>
        <v>0.28380000000000005</v>
      </c>
      <c r="K593">
        <f>27.6/140*172/100</f>
        <v>0.33908571428571427</v>
      </c>
      <c r="M593">
        <f>32.8/140*172/100</f>
        <v>0.40297142857142854</v>
      </c>
      <c r="O593">
        <f>42.7/140*172/100</f>
        <v>0.52459999999999996</v>
      </c>
      <c r="Q593">
        <v>7.6</v>
      </c>
      <c r="R593">
        <f t="shared" si="15"/>
        <v>50.666666666666664</v>
      </c>
      <c r="S593">
        <f t="shared" si="16"/>
        <v>70.666666666666657</v>
      </c>
    </row>
    <row r="594" spans="1:19" x14ac:dyDescent="0.3">
      <c r="A594" t="s">
        <v>22</v>
      </c>
      <c r="B594">
        <v>0.87</v>
      </c>
      <c r="D594" t="s">
        <v>22</v>
      </c>
      <c r="E594">
        <f>0.73+0.123-0.011</f>
        <v>0.84199999999999997</v>
      </c>
      <c r="G594">
        <f>0.57+0.1-0.04</f>
        <v>0.62999999999999989</v>
      </c>
      <c r="I594">
        <f>0.54+0.08-0.05</f>
        <v>0.56999999999999995</v>
      </c>
      <c r="K594">
        <f>0.48+0.12-0.06</f>
        <v>0.54</v>
      </c>
      <c r="M594">
        <f>0.43+0.11-0.08</f>
        <v>0.46</v>
      </c>
      <c r="O594">
        <f>0.3+0.12-0.1</f>
        <v>0.31999999999999995</v>
      </c>
      <c r="Q594">
        <v>12.1</v>
      </c>
      <c r="R594">
        <f t="shared" si="15"/>
        <v>80.666666666666671</v>
      </c>
      <c r="S594">
        <f t="shared" si="16"/>
        <v>100.66666666666667</v>
      </c>
    </row>
    <row r="595" spans="1:19" x14ac:dyDescent="0.3">
      <c r="B595">
        <f>SUM(B591:B594)</f>
        <v>1</v>
      </c>
      <c r="E595">
        <f>SUM(E591:E594)</f>
        <v>1.0046571428571429</v>
      </c>
      <c r="G595">
        <f>SUM(G591:G594)</f>
        <v>0.99745714285714271</v>
      </c>
      <c r="I595">
        <f>SUM(I591:I594)</f>
        <v>1.0038</v>
      </c>
      <c r="K595">
        <f>SUM(K591:K594)</f>
        <v>0.99908571428571435</v>
      </c>
      <c r="M595">
        <f>SUM(M591:M594)</f>
        <v>1.0029714285714286</v>
      </c>
      <c r="O595">
        <f>SUM(O591:O594)</f>
        <v>1.0045999999999999</v>
      </c>
      <c r="Q595">
        <v>13.9</v>
      </c>
      <c r="R595">
        <f t="shared" si="15"/>
        <v>92.666666666666671</v>
      </c>
      <c r="S595">
        <f t="shared" si="16"/>
        <v>112.66666666666667</v>
      </c>
    </row>
    <row r="596" spans="1:19" x14ac:dyDescent="0.3">
      <c r="Q596">
        <v>10.6</v>
      </c>
      <c r="R596">
        <f t="shared" si="15"/>
        <v>70.666666666666671</v>
      </c>
      <c r="S596">
        <f t="shared" si="16"/>
        <v>90.666666666666671</v>
      </c>
    </row>
    <row r="597" spans="1:19" x14ac:dyDescent="0.3">
      <c r="A597" t="s">
        <v>7</v>
      </c>
      <c r="B597" t="s">
        <v>278</v>
      </c>
      <c r="Q597">
        <v>7.05</v>
      </c>
      <c r="R597">
        <f t="shared" si="15"/>
        <v>47</v>
      </c>
      <c r="S597">
        <f t="shared" si="16"/>
        <v>67</v>
      </c>
    </row>
    <row r="598" spans="1:19" x14ac:dyDescent="0.3">
      <c r="A598" t="s">
        <v>1</v>
      </c>
      <c r="B598">
        <v>1</v>
      </c>
      <c r="Q598">
        <v>2.2000000000000002</v>
      </c>
      <c r="R598">
        <f t="shared" si="15"/>
        <v>14.666666666666666</v>
      </c>
      <c r="S598">
        <f t="shared" si="16"/>
        <v>34.666666666666664</v>
      </c>
    </row>
    <row r="599" spans="1:19" x14ac:dyDescent="0.3">
      <c r="A599" t="s">
        <v>72</v>
      </c>
      <c r="B599">
        <v>1</v>
      </c>
    </row>
    <row r="600" spans="1:19" x14ac:dyDescent="0.3">
      <c r="A600" t="s">
        <v>279</v>
      </c>
      <c r="B600">
        <f>B598*195</f>
        <v>195</v>
      </c>
    </row>
    <row r="601" spans="1:19" x14ac:dyDescent="0.3">
      <c r="A601" t="s">
        <v>280</v>
      </c>
      <c r="B601">
        <f>B599*59</f>
        <v>59</v>
      </c>
    </row>
    <row r="602" spans="1:19" x14ac:dyDescent="0.3">
      <c r="A602" t="s">
        <v>17</v>
      </c>
      <c r="B602">
        <f>B600+B601</f>
        <v>254</v>
      </c>
    </row>
    <row r="603" spans="1:19" x14ac:dyDescent="0.3">
      <c r="A603" t="s">
        <v>162</v>
      </c>
      <c r="B603">
        <v>0.2</v>
      </c>
    </row>
    <row r="604" spans="1:19" x14ac:dyDescent="0.3">
      <c r="A604" t="s">
        <v>13</v>
      </c>
      <c r="B604">
        <f>B600/B602*0.2</f>
        <v>0.15354330708661418</v>
      </c>
    </row>
    <row r="605" spans="1:19" x14ac:dyDescent="0.3">
      <c r="A605" t="s">
        <v>74</v>
      </c>
      <c r="B605">
        <f>B601/B602*0.2</f>
        <v>4.6456692913385833E-2</v>
      </c>
    </row>
    <row r="607" spans="1:19" x14ac:dyDescent="0.3">
      <c r="A607" t="s">
        <v>7</v>
      </c>
      <c r="B607" t="s">
        <v>282</v>
      </c>
    </row>
    <row r="608" spans="1:19" x14ac:dyDescent="0.3">
      <c r="A608" t="s">
        <v>1</v>
      </c>
      <c r="B608">
        <v>3</v>
      </c>
      <c r="D608">
        <v>2</v>
      </c>
      <c r="F608">
        <v>1</v>
      </c>
      <c r="J608">
        <f>0.25*0.25*3.14</f>
        <v>0.19625000000000001</v>
      </c>
    </row>
    <row r="609" spans="1:9" x14ac:dyDescent="0.3">
      <c r="A609" t="s">
        <v>77</v>
      </c>
      <c r="B609">
        <v>1</v>
      </c>
      <c r="D609">
        <v>1</v>
      </c>
      <c r="F609">
        <v>1</v>
      </c>
      <c r="I609">
        <f>2/1010*8*B614</f>
        <v>2.3854122864023861E-3</v>
      </c>
    </row>
    <row r="610" spans="1:9" x14ac:dyDescent="0.3">
      <c r="A610" t="s">
        <v>279</v>
      </c>
      <c r="B610">
        <f>B608*195</f>
        <v>585</v>
      </c>
      <c r="D610">
        <f>D608*195</f>
        <v>390</v>
      </c>
      <c r="F610">
        <f>F608*195</f>
        <v>195</v>
      </c>
      <c r="I610">
        <f>8*0.2/I609</f>
        <v>670.74358974358961</v>
      </c>
    </row>
    <row r="611" spans="1:9" x14ac:dyDescent="0.3">
      <c r="A611" t="s">
        <v>283</v>
      </c>
      <c r="B611">
        <f>B609*192</f>
        <v>192</v>
      </c>
      <c r="D611">
        <f>D609*192</f>
        <v>192</v>
      </c>
      <c r="F611">
        <f>F609*192</f>
        <v>192</v>
      </c>
    </row>
    <row r="612" spans="1:9" x14ac:dyDescent="0.3">
      <c r="A612" t="s">
        <v>17</v>
      </c>
      <c r="B612">
        <f>B610+B611</f>
        <v>777</v>
      </c>
      <c r="D612">
        <f>D610+D611</f>
        <v>582</v>
      </c>
      <c r="F612">
        <f>F610+F611</f>
        <v>387</v>
      </c>
    </row>
    <row r="613" spans="1:9" x14ac:dyDescent="0.3">
      <c r="A613" t="s">
        <v>162</v>
      </c>
      <c r="B613">
        <v>0.2</v>
      </c>
      <c r="D613">
        <v>0.2</v>
      </c>
      <c r="F613">
        <v>0.2</v>
      </c>
    </row>
    <row r="614" spans="1:9" x14ac:dyDescent="0.3">
      <c r="A614" t="s">
        <v>13</v>
      </c>
      <c r="B614">
        <f>B610/B612*0.2</f>
        <v>0.15057915057915061</v>
      </c>
      <c r="D614">
        <f>D610/D612*0.2</f>
        <v>0.13402061855670103</v>
      </c>
      <c r="F614">
        <f>F610/F612*0.2</f>
        <v>0.10077519379844962</v>
      </c>
    </row>
    <row r="615" spans="1:9" x14ac:dyDescent="0.3">
      <c r="A615" t="s">
        <v>284</v>
      </c>
      <c r="B615">
        <f>B611/B612*0.2</f>
        <v>4.9420849420849428E-2</v>
      </c>
      <c r="D615">
        <f>D611/D612*0.2</f>
        <v>6.5979381443298971E-2</v>
      </c>
      <c r="F615">
        <f>F611/F612*0.2</f>
        <v>9.9224806201550386E-2</v>
      </c>
    </row>
    <row r="617" spans="1:9" x14ac:dyDescent="0.3">
      <c r="A617" t="s">
        <v>7</v>
      </c>
      <c r="B617" t="s">
        <v>286</v>
      </c>
    </row>
    <row r="618" spans="1:9" x14ac:dyDescent="0.3">
      <c r="A618" t="s">
        <v>1</v>
      </c>
      <c r="B618">
        <v>1</v>
      </c>
      <c r="D618">
        <v>2</v>
      </c>
      <c r="F618">
        <v>1</v>
      </c>
    </row>
    <row r="619" spans="1:9" x14ac:dyDescent="0.3">
      <c r="A619" t="s">
        <v>101</v>
      </c>
      <c r="B619">
        <v>1</v>
      </c>
      <c r="D619">
        <v>1</v>
      </c>
      <c r="F619">
        <v>2</v>
      </c>
    </row>
    <row r="620" spans="1:9" x14ac:dyDescent="0.3">
      <c r="A620" t="s">
        <v>279</v>
      </c>
      <c r="B620">
        <f>B618*195</f>
        <v>195</v>
      </c>
      <c r="D620">
        <f>D618*195</f>
        <v>390</v>
      </c>
      <c r="F620">
        <f>F618*195</f>
        <v>195</v>
      </c>
    </row>
    <row r="621" spans="1:9" x14ac:dyDescent="0.3">
      <c r="A621" t="s">
        <v>287</v>
      </c>
      <c r="B621">
        <f>B619*106</f>
        <v>106</v>
      </c>
      <c r="D621">
        <f>D619*106</f>
        <v>106</v>
      </c>
      <c r="F621">
        <f>F619*106</f>
        <v>212</v>
      </c>
    </row>
    <row r="622" spans="1:9" x14ac:dyDescent="0.3">
      <c r="A622" t="s">
        <v>17</v>
      </c>
      <c r="B622">
        <f>B620+B621</f>
        <v>301</v>
      </c>
      <c r="D622">
        <f>D620+D621</f>
        <v>496</v>
      </c>
      <c r="F622">
        <f>F620+F621</f>
        <v>407</v>
      </c>
    </row>
    <row r="623" spans="1:9" x14ac:dyDescent="0.3">
      <c r="A623" t="s">
        <v>162</v>
      </c>
      <c r="B623">
        <v>0.78</v>
      </c>
      <c r="D623">
        <v>0.78</v>
      </c>
      <c r="F623">
        <v>0.78</v>
      </c>
    </row>
    <row r="624" spans="1:9" x14ac:dyDescent="0.3">
      <c r="A624" t="s">
        <v>13</v>
      </c>
      <c r="B624">
        <f>B620/B622*B623</f>
        <v>0.50531561461794028</v>
      </c>
      <c r="D624">
        <f>D620/D622*D623</f>
        <v>0.6133064516129032</v>
      </c>
      <c r="F624">
        <f>F620/F622*F623</f>
        <v>0.37371007371007375</v>
      </c>
    </row>
    <row r="625" spans="1:14" x14ac:dyDescent="0.3">
      <c r="A625" t="s">
        <v>288</v>
      </c>
      <c r="B625">
        <f>B621/B622*B623</f>
        <v>0.2746843853820598</v>
      </c>
      <c r="D625">
        <f>D621/D622*D623</f>
        <v>0.1666935483870968</v>
      </c>
      <c r="F625">
        <f>F621/F622*F623</f>
        <v>0.40628992628992627</v>
      </c>
    </row>
    <row r="628" spans="1:14" x14ac:dyDescent="0.3">
      <c r="A628" t="s">
        <v>7</v>
      </c>
      <c r="B628" t="s">
        <v>292</v>
      </c>
    </row>
    <row r="629" spans="1:14" x14ac:dyDescent="0.3">
      <c r="A629" t="s">
        <v>1</v>
      </c>
      <c r="B629">
        <v>3.32</v>
      </c>
      <c r="D629">
        <v>2.25</v>
      </c>
      <c r="F629">
        <v>1.17</v>
      </c>
      <c r="H629">
        <v>0.73</v>
      </c>
      <c r="J629">
        <v>0.47</v>
      </c>
      <c r="L629">
        <v>0.3</v>
      </c>
      <c r="N629">
        <v>0.24</v>
      </c>
    </row>
    <row r="630" spans="1:14" x14ac:dyDescent="0.3">
      <c r="A630" t="s">
        <v>101</v>
      </c>
      <c r="B630">
        <v>1</v>
      </c>
      <c r="D630">
        <v>1</v>
      </c>
      <c r="F630">
        <v>1</v>
      </c>
      <c r="H630">
        <v>1</v>
      </c>
      <c r="J630">
        <v>1</v>
      </c>
      <c r="L630">
        <v>1</v>
      </c>
      <c r="N630">
        <v>1</v>
      </c>
    </row>
    <row r="631" spans="1:14" x14ac:dyDescent="0.3">
      <c r="A631" t="s">
        <v>279</v>
      </c>
      <c r="B631">
        <f>B629*195</f>
        <v>647.4</v>
      </c>
      <c r="D631">
        <f>D629*195</f>
        <v>438.75</v>
      </c>
      <c r="F631">
        <f>F629*195</f>
        <v>228.14999999999998</v>
      </c>
      <c r="H631">
        <f>H629*195</f>
        <v>142.35</v>
      </c>
      <c r="J631">
        <f>J629*195</f>
        <v>91.649999999999991</v>
      </c>
      <c r="L631">
        <f>L629*195</f>
        <v>58.5</v>
      </c>
      <c r="N631">
        <f>N629*195</f>
        <v>46.8</v>
      </c>
    </row>
    <row r="632" spans="1:14" x14ac:dyDescent="0.3">
      <c r="A632" t="s">
        <v>287</v>
      </c>
      <c r="B632">
        <f>B630*106</f>
        <v>106</v>
      </c>
      <c r="D632">
        <f>D630*106</f>
        <v>106</v>
      </c>
      <c r="F632">
        <f>F630*106</f>
        <v>106</v>
      </c>
      <c r="H632">
        <f>H630*106</f>
        <v>106</v>
      </c>
      <c r="J632">
        <f>J630*106</f>
        <v>106</v>
      </c>
      <c r="L632">
        <f>L630*106</f>
        <v>106</v>
      </c>
      <c r="N632">
        <f>N630*106</f>
        <v>106</v>
      </c>
    </row>
    <row r="633" spans="1:14" x14ac:dyDescent="0.3">
      <c r="A633" t="s">
        <v>17</v>
      </c>
      <c r="B633">
        <f>B631+B632</f>
        <v>753.4</v>
      </c>
      <c r="D633">
        <f>D631+D632</f>
        <v>544.75</v>
      </c>
      <c r="F633">
        <f>F631+F632</f>
        <v>334.15</v>
      </c>
      <c r="H633">
        <f>H631+H632</f>
        <v>248.35</v>
      </c>
      <c r="J633">
        <f>J631+J632</f>
        <v>197.64999999999998</v>
      </c>
      <c r="L633">
        <f>L631+L632</f>
        <v>164.5</v>
      </c>
      <c r="N633">
        <f>N631+N632</f>
        <v>152.80000000000001</v>
      </c>
    </row>
    <row r="634" spans="1:14" x14ac:dyDescent="0.3">
      <c r="A634" t="s">
        <v>162</v>
      </c>
      <c r="B634">
        <v>0.65</v>
      </c>
      <c r="D634">
        <v>0.62</v>
      </c>
      <c r="F634">
        <v>0.69</v>
      </c>
      <c r="H634">
        <v>0.67</v>
      </c>
      <c r="J634">
        <v>0.67</v>
      </c>
      <c r="L634">
        <v>0.66</v>
      </c>
      <c r="N634">
        <v>0.69</v>
      </c>
    </row>
    <row r="635" spans="1:14" x14ac:dyDescent="0.3">
      <c r="A635" t="s">
        <v>13</v>
      </c>
      <c r="B635">
        <f>B631/B633*B634</f>
        <v>0.5585479161136182</v>
      </c>
      <c r="D635">
        <f>D631/D633*D634</f>
        <v>0.49935750344194585</v>
      </c>
      <c r="F635">
        <f>F631/F633*F634</f>
        <v>0.47111626515038152</v>
      </c>
      <c r="H635">
        <f>H631/H633*H634</f>
        <v>0.38403261526072074</v>
      </c>
      <c r="J635">
        <f>J631/J633*J634</f>
        <v>0.31067796610169496</v>
      </c>
      <c r="L635">
        <f>L631/L633*L634</f>
        <v>0.23471124620060793</v>
      </c>
      <c r="N635">
        <f>N631/N633*N634</f>
        <v>0.21133507853403138</v>
      </c>
    </row>
    <row r="636" spans="1:14" x14ac:dyDescent="0.3">
      <c r="A636" t="s">
        <v>288</v>
      </c>
      <c r="B636">
        <f>B632/B633*B634</f>
        <v>9.1452083886381735E-2</v>
      </c>
      <c r="D636">
        <f>D632/D633*D634</f>
        <v>0.12064249655805415</v>
      </c>
      <c r="F636">
        <f>F632/F633*F634</f>
        <v>0.21888373484961843</v>
      </c>
      <c r="H636">
        <f>H632/H633*H634</f>
        <v>0.28596738473927924</v>
      </c>
      <c r="J636">
        <f>J632/J633*J634</f>
        <v>0.35932203389830514</v>
      </c>
      <c r="L636">
        <f>L632/L633*L634</f>
        <v>0.42528875379939213</v>
      </c>
      <c r="N636">
        <f>N632/N633*N634</f>
        <v>0.47866492146596851</v>
      </c>
    </row>
    <row r="637" spans="1:14" x14ac:dyDescent="0.3">
      <c r="A637" t="s">
        <v>20</v>
      </c>
      <c r="B637">
        <f>1-B634</f>
        <v>0.35</v>
      </c>
      <c r="D637">
        <f t="shared" ref="D637:N637" si="17">1-D634</f>
        <v>0.38</v>
      </c>
      <c r="F637">
        <f t="shared" si="17"/>
        <v>0.31000000000000005</v>
      </c>
      <c r="H637">
        <f t="shared" si="17"/>
        <v>0.32999999999999996</v>
      </c>
      <c r="J637">
        <f t="shared" si="17"/>
        <v>0.32999999999999996</v>
      </c>
      <c r="L637">
        <f t="shared" si="17"/>
        <v>0.33999999999999997</v>
      </c>
      <c r="N637">
        <f t="shared" si="17"/>
        <v>0.31000000000000005</v>
      </c>
    </row>
    <row r="639" spans="1:14" x14ac:dyDescent="0.3">
      <c r="B639">
        <v>1.66</v>
      </c>
      <c r="D639">
        <v>1.8</v>
      </c>
      <c r="F639">
        <v>2.09</v>
      </c>
      <c r="H639">
        <v>2.42</v>
      </c>
      <c r="J639">
        <v>2.72</v>
      </c>
      <c r="L639">
        <v>2.2999999999999998</v>
      </c>
      <c r="N639">
        <v>2.12</v>
      </c>
    </row>
    <row r="641" spans="1:11" x14ac:dyDescent="0.3">
      <c r="D641">
        <v>2.5</v>
      </c>
      <c r="E641">
        <v>0.5</v>
      </c>
    </row>
    <row r="642" spans="1:11" x14ac:dyDescent="0.3">
      <c r="D642">
        <v>15</v>
      </c>
      <c r="E642">
        <f>D642*0.5/2.5</f>
        <v>3</v>
      </c>
    </row>
    <row r="643" spans="1:11" x14ac:dyDescent="0.3">
      <c r="D643">
        <v>13.6</v>
      </c>
      <c r="E643">
        <f t="shared" ref="E643:E649" si="18">D643*0.5/2.5</f>
        <v>2.7199999999999998</v>
      </c>
      <c r="F643">
        <v>0.47</v>
      </c>
      <c r="G643">
        <f>6/1000*5*J635</f>
        <v>9.3203389830508482E-3</v>
      </c>
      <c r="H643">
        <f>E643*0.07/G643</f>
        <v>20.428441534824515</v>
      </c>
      <c r="I643">
        <v>0.31</v>
      </c>
    </row>
    <row r="644" spans="1:11" x14ac:dyDescent="0.3">
      <c r="D644">
        <v>12.1</v>
      </c>
      <c r="E644">
        <f t="shared" si="18"/>
        <v>2.42</v>
      </c>
      <c r="F644">
        <v>0.73</v>
      </c>
      <c r="G644">
        <f>6/1000*5*H635</f>
        <v>1.1520978457821622E-2</v>
      </c>
      <c r="H644">
        <f>E644*0.07/G644</f>
        <v>14.703612251353002</v>
      </c>
      <c r="I644">
        <v>0.38</v>
      </c>
    </row>
    <row r="645" spans="1:11" x14ac:dyDescent="0.3">
      <c r="D645">
        <v>11.5</v>
      </c>
      <c r="E645">
        <f t="shared" si="18"/>
        <v>2.2999999999999998</v>
      </c>
      <c r="F645">
        <v>0.3</v>
      </c>
      <c r="G645">
        <f>6/1000*5*L635</f>
        <v>7.0413373860182373E-3</v>
      </c>
      <c r="H645">
        <f t="shared" ref="H645:H649" si="19">E645*0.07/G645</f>
        <v>22.864974531641199</v>
      </c>
      <c r="I645">
        <v>0.23</v>
      </c>
    </row>
    <row r="646" spans="1:11" x14ac:dyDescent="0.3">
      <c r="D646">
        <v>10.6</v>
      </c>
      <c r="E646">
        <f t="shared" si="18"/>
        <v>2.12</v>
      </c>
      <c r="F646">
        <v>0.24</v>
      </c>
      <c r="G646">
        <f>6/1000*5*N635</f>
        <v>6.3400523560209416E-3</v>
      </c>
      <c r="H646">
        <f t="shared" si="19"/>
        <v>23.406746769065617</v>
      </c>
      <c r="I646">
        <v>0.21</v>
      </c>
    </row>
    <row r="647" spans="1:11" x14ac:dyDescent="0.3">
      <c r="D647">
        <v>10.45</v>
      </c>
      <c r="E647">
        <f t="shared" si="18"/>
        <v>2.09</v>
      </c>
      <c r="F647">
        <v>1.17</v>
      </c>
      <c r="G647">
        <f>6/1000*5*F635</f>
        <v>1.4133487954511446E-2</v>
      </c>
      <c r="H647">
        <f t="shared" si="19"/>
        <v>10.351301849258002</v>
      </c>
      <c r="I647">
        <v>0.47</v>
      </c>
    </row>
    <row r="648" spans="1:11" x14ac:dyDescent="0.3">
      <c r="D648">
        <v>9</v>
      </c>
      <c r="E648">
        <f t="shared" si="18"/>
        <v>1.8</v>
      </c>
      <c r="F648">
        <v>2.25</v>
      </c>
      <c r="G648">
        <f>6/1000*5*D635</f>
        <v>1.4980725103258374E-2</v>
      </c>
      <c r="H648">
        <f t="shared" si="19"/>
        <v>8.4108078301626712</v>
      </c>
      <c r="I648">
        <v>0.5</v>
      </c>
    </row>
    <row r="649" spans="1:11" x14ac:dyDescent="0.3">
      <c r="D649">
        <v>8.3000000000000007</v>
      </c>
      <c r="E649">
        <f t="shared" si="18"/>
        <v>1.6600000000000001</v>
      </c>
      <c r="F649">
        <v>3.32</v>
      </c>
      <c r="G649">
        <f>6/1000*5*B635</f>
        <v>1.6756437483408545E-2</v>
      </c>
      <c r="H649">
        <f t="shared" si="19"/>
        <v>6.9346482577251836</v>
      </c>
      <c r="I649">
        <v>0.56000000000000005</v>
      </c>
    </row>
    <row r="651" spans="1:11" x14ac:dyDescent="0.3">
      <c r="A651" t="s">
        <v>7</v>
      </c>
      <c r="B651" t="s">
        <v>301</v>
      </c>
    </row>
    <row r="652" spans="1:11" x14ac:dyDescent="0.3">
      <c r="A652" t="s">
        <v>1</v>
      </c>
      <c r="B652">
        <v>1</v>
      </c>
      <c r="D652" t="s">
        <v>1</v>
      </c>
      <c r="E652">
        <v>1</v>
      </c>
      <c r="G652" t="s">
        <v>1</v>
      </c>
      <c r="H652">
        <v>1</v>
      </c>
      <c r="J652" t="s">
        <v>1</v>
      </c>
      <c r="K652">
        <v>1</v>
      </c>
    </row>
    <row r="653" spans="1:11" x14ac:dyDescent="0.3">
      <c r="A653" t="s">
        <v>72</v>
      </c>
      <c r="B653">
        <v>1</v>
      </c>
      <c r="D653" t="s">
        <v>72</v>
      </c>
      <c r="E653">
        <v>5</v>
      </c>
      <c r="G653" t="s">
        <v>72</v>
      </c>
      <c r="H653">
        <v>9</v>
      </c>
      <c r="J653" t="s">
        <v>72</v>
      </c>
      <c r="K653">
        <v>11</v>
      </c>
    </row>
    <row r="654" spans="1:11" x14ac:dyDescent="0.3">
      <c r="A654" t="s">
        <v>279</v>
      </c>
      <c r="B654">
        <f>B652*195</f>
        <v>195</v>
      </c>
      <c r="D654" t="s">
        <v>279</v>
      </c>
      <c r="E654">
        <f>E652*195</f>
        <v>195</v>
      </c>
      <c r="G654" t="s">
        <v>279</v>
      </c>
      <c r="H654">
        <f>H652*195</f>
        <v>195</v>
      </c>
      <c r="J654" t="s">
        <v>279</v>
      </c>
      <c r="K654">
        <f>K652*195</f>
        <v>195</v>
      </c>
    </row>
    <row r="655" spans="1:11" x14ac:dyDescent="0.3">
      <c r="A655" t="s">
        <v>280</v>
      </c>
      <c r="B655">
        <f>B653*59</f>
        <v>59</v>
      </c>
      <c r="D655" t="s">
        <v>280</v>
      </c>
      <c r="E655">
        <f>E653*59</f>
        <v>295</v>
      </c>
      <c r="G655" t="s">
        <v>280</v>
      </c>
      <c r="H655">
        <f>H653*59</f>
        <v>531</v>
      </c>
      <c r="J655" t="s">
        <v>280</v>
      </c>
      <c r="K655">
        <f>K653*59</f>
        <v>649</v>
      </c>
    </row>
    <row r="656" spans="1:11" x14ac:dyDescent="0.3">
      <c r="A656" t="s">
        <v>17</v>
      </c>
      <c r="B656">
        <f>B654+B655</f>
        <v>254</v>
      </c>
      <c r="D656" t="s">
        <v>17</v>
      </c>
      <c r="E656">
        <f>E654+E655</f>
        <v>490</v>
      </c>
      <c r="G656" t="s">
        <v>17</v>
      </c>
      <c r="H656">
        <f>H654+H655</f>
        <v>726</v>
      </c>
      <c r="J656" t="s">
        <v>17</v>
      </c>
      <c r="K656">
        <f>K654+K655</f>
        <v>844</v>
      </c>
    </row>
    <row r="657" spans="1:11" x14ac:dyDescent="0.3">
      <c r="A657" t="s">
        <v>162</v>
      </c>
      <c r="B657">
        <v>0.2</v>
      </c>
      <c r="D657" t="s">
        <v>162</v>
      </c>
      <c r="E657">
        <v>0.2</v>
      </c>
      <c r="G657" t="s">
        <v>162</v>
      </c>
      <c r="H657">
        <v>0.2</v>
      </c>
      <c r="J657" t="s">
        <v>162</v>
      </c>
      <c r="K657">
        <v>0.2</v>
      </c>
    </row>
    <row r="658" spans="1:11" x14ac:dyDescent="0.3">
      <c r="A658" t="s">
        <v>13</v>
      </c>
      <c r="B658">
        <f>B654/B656*0.2</f>
        <v>0.15354330708661418</v>
      </c>
      <c r="D658" t="s">
        <v>13</v>
      </c>
      <c r="E658">
        <f>E654/E656*0.2</f>
        <v>7.9591836734693888E-2</v>
      </c>
      <c r="G658" t="s">
        <v>13</v>
      </c>
      <c r="H658">
        <f>H654/H656*0.2</f>
        <v>5.3719008264462811E-2</v>
      </c>
      <c r="J658" t="s">
        <v>13</v>
      </c>
      <c r="K658">
        <f>K654/K656*0.2</f>
        <v>4.6208530805687209E-2</v>
      </c>
    </row>
    <row r="659" spans="1:11" x14ac:dyDescent="0.3">
      <c r="A659" t="s">
        <v>74</v>
      </c>
      <c r="B659">
        <f>B655/B656*0.2</f>
        <v>4.6456692913385833E-2</v>
      </c>
      <c r="D659" t="s">
        <v>74</v>
      </c>
      <c r="E659">
        <f>E655/E656*0.2</f>
        <v>0.12040816326530612</v>
      </c>
      <c r="G659" t="s">
        <v>74</v>
      </c>
      <c r="H659">
        <f>H655/H656*0.2</f>
        <v>0.14628099173553719</v>
      </c>
      <c r="J659" t="s">
        <v>74</v>
      </c>
      <c r="K659">
        <f>K655/K656*0.2</f>
        <v>0.1537914691943128</v>
      </c>
    </row>
    <row r="663" spans="1:11" x14ac:dyDescent="0.3">
      <c r="C663">
        <v>3.75</v>
      </c>
      <c r="D663">
        <v>10</v>
      </c>
      <c r="E663" t="s">
        <v>302</v>
      </c>
      <c r="F663" t="s">
        <v>303</v>
      </c>
    </row>
    <row r="664" spans="1:11" x14ac:dyDescent="0.3">
      <c r="C664">
        <v>15</v>
      </c>
      <c r="D664">
        <f>C664*10/3.75</f>
        <v>40</v>
      </c>
      <c r="E664">
        <f>D664+50</f>
        <v>90</v>
      </c>
    </row>
    <row r="665" spans="1:11" x14ac:dyDescent="0.3">
      <c r="B665">
        <v>10</v>
      </c>
      <c r="C665">
        <v>0.4</v>
      </c>
      <c r="D665">
        <f t="shared" ref="D665:D669" si="20">C665*10/3.75</f>
        <v>1.0666666666666667</v>
      </c>
      <c r="E665">
        <f t="shared" ref="E665:E674" si="21">D665+50</f>
        <v>51.06666666666667</v>
      </c>
      <c r="F665">
        <f>2.5/500*5*H$658</f>
        <v>1.3429752066115705E-3</v>
      </c>
      <c r="G665">
        <f>E665*0.07/F665</f>
        <v>2661.751794871795</v>
      </c>
    </row>
    <row r="666" spans="1:11" x14ac:dyDescent="0.3">
      <c r="B666">
        <v>20</v>
      </c>
      <c r="C666">
        <v>3.5</v>
      </c>
      <c r="D666">
        <f t="shared" si="20"/>
        <v>9.3333333333333339</v>
      </c>
      <c r="E666">
        <f t="shared" si="21"/>
        <v>59.333333333333336</v>
      </c>
      <c r="F666">
        <f t="shared" ref="F666:F674" si="22">2.5/500*5*H$658</f>
        <v>1.3429752066115705E-3</v>
      </c>
      <c r="G666">
        <f t="shared" ref="G666:G673" si="23">E666*0.07/F666</f>
        <v>3092.6358974358977</v>
      </c>
    </row>
    <row r="667" spans="1:11" x14ac:dyDescent="0.3">
      <c r="B667">
        <v>30</v>
      </c>
      <c r="C667">
        <v>5.9</v>
      </c>
      <c r="D667">
        <f t="shared" si="20"/>
        <v>15.733333333333333</v>
      </c>
      <c r="E667">
        <f t="shared" si="21"/>
        <v>65.733333333333334</v>
      </c>
      <c r="F667">
        <f t="shared" si="22"/>
        <v>1.3429752066115705E-3</v>
      </c>
      <c r="G667">
        <f t="shared" si="23"/>
        <v>3426.2235897435894</v>
      </c>
    </row>
    <row r="668" spans="1:11" x14ac:dyDescent="0.3">
      <c r="B668">
        <v>40</v>
      </c>
      <c r="C668">
        <v>8.75</v>
      </c>
      <c r="D668">
        <f t="shared" si="20"/>
        <v>23.333333333333332</v>
      </c>
      <c r="E668">
        <f t="shared" si="21"/>
        <v>73.333333333333329</v>
      </c>
      <c r="F668">
        <f t="shared" si="22"/>
        <v>1.3429752066115705E-3</v>
      </c>
      <c r="G668">
        <f t="shared" si="23"/>
        <v>3822.3589743589741</v>
      </c>
    </row>
    <row r="669" spans="1:11" x14ac:dyDescent="0.3">
      <c r="B669">
        <v>50</v>
      </c>
      <c r="C669">
        <v>9.5</v>
      </c>
      <c r="D669">
        <f t="shared" si="20"/>
        <v>25.333333333333332</v>
      </c>
      <c r="E669">
        <f t="shared" si="21"/>
        <v>75.333333333333329</v>
      </c>
      <c r="F669">
        <f t="shared" si="22"/>
        <v>1.3429752066115705E-3</v>
      </c>
      <c r="G669">
        <f t="shared" si="23"/>
        <v>3926.6051282051276</v>
      </c>
    </row>
    <row r="670" spans="1:11" x14ac:dyDescent="0.3">
      <c r="B670">
        <v>60</v>
      </c>
      <c r="C670">
        <v>10.5</v>
      </c>
      <c r="D670">
        <f>C670*10/3.75</f>
        <v>28</v>
      </c>
      <c r="E670">
        <f t="shared" si="21"/>
        <v>78</v>
      </c>
      <c r="F670">
        <f t="shared" si="22"/>
        <v>1.3429752066115705E-3</v>
      </c>
      <c r="G670">
        <f t="shared" si="23"/>
        <v>4065.6</v>
      </c>
    </row>
    <row r="671" spans="1:11" x14ac:dyDescent="0.3">
      <c r="B671">
        <v>70</v>
      </c>
      <c r="C671">
        <v>11.15</v>
      </c>
      <c r="D671">
        <f>C671*10/3.75</f>
        <v>29.733333333333334</v>
      </c>
      <c r="E671">
        <f t="shared" si="21"/>
        <v>79.733333333333334</v>
      </c>
      <c r="F671">
        <f t="shared" si="22"/>
        <v>1.3429752066115705E-3</v>
      </c>
      <c r="G671">
        <f t="shared" si="23"/>
        <v>4155.9466666666667</v>
      </c>
    </row>
    <row r="672" spans="1:11" x14ac:dyDescent="0.3">
      <c r="B672">
        <v>80</v>
      </c>
      <c r="C672">
        <v>12.05</v>
      </c>
      <c r="D672">
        <f>C672*10/3.75</f>
        <v>32.133333333333333</v>
      </c>
      <c r="E672">
        <f t="shared" si="21"/>
        <v>82.133333333333326</v>
      </c>
      <c r="F672">
        <f t="shared" si="22"/>
        <v>1.3429752066115705E-3</v>
      </c>
      <c r="G672">
        <f t="shared" si="23"/>
        <v>4281.042051282051</v>
      </c>
    </row>
    <row r="673" spans="1:7" x14ac:dyDescent="0.3">
      <c r="B673">
        <v>90</v>
      </c>
      <c r="C673">
        <v>12.8</v>
      </c>
      <c r="D673">
        <f>C673*10/3.75</f>
        <v>34.133333333333333</v>
      </c>
      <c r="E673">
        <f t="shared" si="21"/>
        <v>84.133333333333326</v>
      </c>
      <c r="F673">
        <f t="shared" si="22"/>
        <v>1.3429752066115705E-3</v>
      </c>
      <c r="G673">
        <f t="shared" si="23"/>
        <v>4385.288205128204</v>
      </c>
    </row>
    <row r="674" spans="1:7" x14ac:dyDescent="0.3">
      <c r="B674">
        <v>100</v>
      </c>
      <c r="C674">
        <v>14</v>
      </c>
      <c r="D674">
        <f>C674*10/3.75</f>
        <v>37.333333333333336</v>
      </c>
      <c r="E674">
        <f t="shared" si="21"/>
        <v>87.333333333333343</v>
      </c>
      <c r="F674">
        <f t="shared" si="22"/>
        <v>1.3429752066115705E-3</v>
      </c>
      <c r="G674">
        <f>E674*0.07/F674</f>
        <v>4552.082051282051</v>
      </c>
    </row>
    <row r="677" spans="1:7" x14ac:dyDescent="0.3">
      <c r="A677" t="s">
        <v>7</v>
      </c>
      <c r="B677" t="s">
        <v>307</v>
      </c>
    </row>
    <row r="678" spans="1:7" x14ac:dyDescent="0.3">
      <c r="A678">
        <v>3.75</v>
      </c>
      <c r="B678">
        <v>0.3</v>
      </c>
    </row>
    <row r="679" spans="1:7" x14ac:dyDescent="0.3">
      <c r="A679">
        <v>15</v>
      </c>
      <c r="B679">
        <f>A679*0.3/3.75</f>
        <v>1.2</v>
      </c>
    </row>
    <row r="680" spans="1:7" x14ac:dyDescent="0.3">
      <c r="A680">
        <v>5.6</v>
      </c>
      <c r="B680">
        <f>A680*0.3/3.75</f>
        <v>0.44800000000000001</v>
      </c>
      <c r="C680">
        <v>10</v>
      </c>
      <c r="D680">
        <f>B680*1000</f>
        <v>448</v>
      </c>
    </row>
    <row r="681" spans="1:7" x14ac:dyDescent="0.3">
      <c r="A681">
        <v>7.7</v>
      </c>
      <c r="B681">
        <f t="shared" ref="B681:B689" si="24">A681*0.3/3.75</f>
        <v>0.61599999999999999</v>
      </c>
      <c r="C681">
        <v>20</v>
      </c>
      <c r="D681">
        <f t="shared" ref="D681:D689" si="25">B681*1000</f>
        <v>616</v>
      </c>
    </row>
    <row r="682" spans="1:7" x14ac:dyDescent="0.3">
      <c r="A682">
        <v>9.5</v>
      </c>
      <c r="B682">
        <f t="shared" si="24"/>
        <v>0.76</v>
      </c>
      <c r="C682">
        <v>30</v>
      </c>
      <c r="D682">
        <f t="shared" si="25"/>
        <v>760</v>
      </c>
    </row>
    <row r="683" spans="1:7" x14ac:dyDescent="0.3">
      <c r="A683">
        <v>10.5</v>
      </c>
      <c r="B683">
        <f t="shared" si="24"/>
        <v>0.84</v>
      </c>
      <c r="C683">
        <v>40</v>
      </c>
      <c r="D683">
        <f t="shared" si="25"/>
        <v>840</v>
      </c>
    </row>
    <row r="684" spans="1:7" x14ac:dyDescent="0.3">
      <c r="A684">
        <v>11.5</v>
      </c>
      <c r="B684">
        <f t="shared" si="24"/>
        <v>0.91999999999999993</v>
      </c>
      <c r="C684">
        <v>50</v>
      </c>
      <c r="D684">
        <f t="shared" si="25"/>
        <v>919.99999999999989</v>
      </c>
    </row>
    <row r="685" spans="1:7" x14ac:dyDescent="0.3">
      <c r="A685">
        <v>12.5</v>
      </c>
      <c r="B685">
        <f t="shared" si="24"/>
        <v>1</v>
      </c>
      <c r="C685">
        <v>60</v>
      </c>
      <c r="D685">
        <f t="shared" si="25"/>
        <v>1000</v>
      </c>
    </row>
    <row r="686" spans="1:7" x14ac:dyDescent="0.3">
      <c r="A686">
        <v>13.25</v>
      </c>
      <c r="B686">
        <f t="shared" si="24"/>
        <v>1.0599999999999998</v>
      </c>
      <c r="C686">
        <v>70</v>
      </c>
      <c r="D686">
        <f t="shared" si="25"/>
        <v>1059.9999999999998</v>
      </c>
    </row>
    <row r="687" spans="1:7" x14ac:dyDescent="0.3">
      <c r="A687">
        <v>13.9</v>
      </c>
      <c r="B687">
        <f t="shared" si="24"/>
        <v>1.1119999999999999</v>
      </c>
      <c r="C687">
        <v>80</v>
      </c>
      <c r="D687">
        <f t="shared" si="25"/>
        <v>1111.9999999999998</v>
      </c>
    </row>
    <row r="688" spans="1:7" x14ac:dyDescent="0.3">
      <c r="A688">
        <v>14.5</v>
      </c>
      <c r="B688">
        <f t="shared" si="24"/>
        <v>1.1599999999999999</v>
      </c>
      <c r="C688">
        <v>90</v>
      </c>
      <c r="D688">
        <f t="shared" si="25"/>
        <v>1160</v>
      </c>
    </row>
    <row r="689" spans="1:7" x14ac:dyDescent="0.3">
      <c r="A689">
        <v>15</v>
      </c>
      <c r="B689">
        <f t="shared" si="24"/>
        <v>1.2</v>
      </c>
      <c r="C689">
        <v>100</v>
      </c>
      <c r="D689">
        <f t="shared" si="25"/>
        <v>1200</v>
      </c>
    </row>
    <row r="691" spans="1:7" x14ac:dyDescent="0.3">
      <c r="A691" t="s">
        <v>16</v>
      </c>
      <c r="B691">
        <v>179</v>
      </c>
    </row>
    <row r="692" spans="1:7" x14ac:dyDescent="0.3">
      <c r="A692">
        <v>1</v>
      </c>
      <c r="B692" t="s">
        <v>88</v>
      </c>
      <c r="C692">
        <v>7.4</v>
      </c>
      <c r="D692" t="s">
        <v>89</v>
      </c>
    </row>
    <row r="693" spans="1:7" x14ac:dyDescent="0.3">
      <c r="A693">
        <v>1.5</v>
      </c>
      <c r="B693" t="s">
        <v>88</v>
      </c>
      <c r="C693">
        <f>A693*C692/A692</f>
        <v>11.100000000000001</v>
      </c>
      <c r="D693" t="s">
        <v>89</v>
      </c>
    </row>
    <row r="694" spans="1:7" x14ac:dyDescent="0.3">
      <c r="C694">
        <f>C693/407*195</f>
        <v>5.3181818181818183</v>
      </c>
      <c r="D694" t="s">
        <v>90</v>
      </c>
    </row>
    <row r="695" spans="1:7" x14ac:dyDescent="0.3">
      <c r="A695" t="s">
        <v>80</v>
      </c>
      <c r="C695">
        <v>100</v>
      </c>
      <c r="D695" t="s">
        <v>33</v>
      </c>
    </row>
    <row r="696" spans="1:7" x14ac:dyDescent="0.3">
      <c r="A696" t="s">
        <v>91</v>
      </c>
      <c r="C696">
        <f>C694/(C694+C695)</f>
        <v>5.0496331463098836E-2</v>
      </c>
    </row>
    <row r="698" spans="1:7" x14ac:dyDescent="0.3">
      <c r="A698" t="s">
        <v>92</v>
      </c>
    </row>
    <row r="699" spans="1:7" x14ac:dyDescent="0.3">
      <c r="A699">
        <v>7.6</v>
      </c>
      <c r="B699" t="s">
        <v>33</v>
      </c>
      <c r="C699">
        <v>2000</v>
      </c>
      <c r="D699" t="s">
        <v>93</v>
      </c>
    </row>
    <row r="700" spans="1:7" x14ac:dyDescent="0.3">
      <c r="A700">
        <f>A699*C700/C699</f>
        <v>0.114</v>
      </c>
      <c r="B700" t="s">
        <v>33</v>
      </c>
      <c r="C700">
        <v>30</v>
      </c>
      <c r="D700" t="s">
        <v>93</v>
      </c>
      <c r="E700" t="s">
        <v>322</v>
      </c>
      <c r="G700">
        <f>A700*C696</f>
        <v>5.7565817867932679E-3</v>
      </c>
    </row>
    <row r="701" spans="1:7" x14ac:dyDescent="0.3">
      <c r="A701">
        <f>A700*C696</f>
        <v>5.7565817867932679E-3</v>
      </c>
      <c r="B701" t="s">
        <v>94</v>
      </c>
      <c r="E701" t="s">
        <v>323</v>
      </c>
      <c r="G701">
        <f>A700*C707</f>
        <v>5.4750306970369035E-3</v>
      </c>
    </row>
    <row r="704" spans="1:7" x14ac:dyDescent="0.3">
      <c r="A704">
        <v>1</v>
      </c>
      <c r="B704" t="s">
        <v>88</v>
      </c>
      <c r="C704">
        <v>7.4</v>
      </c>
      <c r="D704" t="s">
        <v>96</v>
      </c>
    </row>
    <row r="705" spans="1:4" x14ac:dyDescent="0.3">
      <c r="A705">
        <v>1.5</v>
      </c>
      <c r="B705" t="s">
        <v>88</v>
      </c>
      <c r="C705">
        <f>A705*C704/A704</f>
        <v>11.100000000000001</v>
      </c>
      <c r="D705" t="s">
        <v>96</v>
      </c>
    </row>
    <row r="706" spans="1:4" x14ac:dyDescent="0.3">
      <c r="C706">
        <f>C705/207*101</f>
        <v>5.4159420289855076</v>
      </c>
      <c r="D706" t="s">
        <v>97</v>
      </c>
    </row>
    <row r="707" spans="1:4" x14ac:dyDescent="0.3">
      <c r="A707" t="s">
        <v>13</v>
      </c>
      <c r="C707">
        <f>C694/(C695+C694+C706)</f>
        <v>4.8026585061727224E-2</v>
      </c>
    </row>
    <row r="708" spans="1:4" x14ac:dyDescent="0.3">
      <c r="A708" t="s">
        <v>19</v>
      </c>
      <c r="C708">
        <f>C706/(C706+C695+C694)</f>
        <v>4.8909422324598564E-2</v>
      </c>
    </row>
    <row r="711" spans="1:4" x14ac:dyDescent="0.3">
      <c r="A711" t="s">
        <v>80</v>
      </c>
      <c r="C711">
        <v>100</v>
      </c>
      <c r="D711" t="s">
        <v>33</v>
      </c>
    </row>
    <row r="712" spans="1:4" x14ac:dyDescent="0.3">
      <c r="A712" t="s">
        <v>91</v>
      </c>
      <c r="C712">
        <f>C706/(C706+C711)</f>
        <v>5.1376878342521685E-2</v>
      </c>
    </row>
    <row r="714" spans="1:4" x14ac:dyDescent="0.3">
      <c r="A714">
        <v>7.6</v>
      </c>
      <c r="B714" t="s">
        <v>33</v>
      </c>
      <c r="C714">
        <v>2000</v>
      </c>
      <c r="D714" t="s">
        <v>93</v>
      </c>
    </row>
    <row r="715" spans="1:4" x14ac:dyDescent="0.3">
      <c r="A715">
        <f>A714*C715/C714</f>
        <v>0.114</v>
      </c>
      <c r="B715" t="s">
        <v>33</v>
      </c>
      <c r="C715">
        <v>30</v>
      </c>
      <c r="D715" t="s">
        <v>93</v>
      </c>
    </row>
    <row r="716" spans="1:4" x14ac:dyDescent="0.3">
      <c r="A716">
        <f>A715*C711</f>
        <v>11.4</v>
      </c>
      <c r="B716" t="s">
        <v>94</v>
      </c>
    </row>
    <row r="719" spans="1:4" x14ac:dyDescent="0.3">
      <c r="A719">
        <v>1</v>
      </c>
      <c r="B719" t="s">
        <v>88</v>
      </c>
      <c r="C719">
        <v>7.4</v>
      </c>
      <c r="D719" t="s">
        <v>89</v>
      </c>
    </row>
    <row r="720" spans="1:4" x14ac:dyDescent="0.3">
      <c r="A720">
        <v>1.5</v>
      </c>
      <c r="B720" t="s">
        <v>88</v>
      </c>
      <c r="C720">
        <f>A720*C719/A719</f>
        <v>11.100000000000001</v>
      </c>
      <c r="D720" t="s">
        <v>89</v>
      </c>
    </row>
    <row r="721" spans="1:7" x14ac:dyDescent="0.3">
      <c r="C721">
        <f>C720/407*195</f>
        <v>5.3181818181818183</v>
      </c>
      <c r="D721" t="s">
        <v>90</v>
      </c>
    </row>
    <row r="722" spans="1:7" x14ac:dyDescent="0.3">
      <c r="A722" t="s">
        <v>80</v>
      </c>
      <c r="C722">
        <v>100</v>
      </c>
      <c r="D722" t="s">
        <v>33</v>
      </c>
    </row>
    <row r="723" spans="1:7" x14ac:dyDescent="0.3">
      <c r="A723" t="s">
        <v>91</v>
      </c>
      <c r="C723">
        <f>C721/(C721+C722)</f>
        <v>5.0496331463098836E-2</v>
      </c>
    </row>
    <row r="727" spans="1:7" x14ac:dyDescent="0.3">
      <c r="A727" t="s">
        <v>92</v>
      </c>
    </row>
    <row r="728" spans="1:7" x14ac:dyDescent="0.3">
      <c r="A728">
        <v>7.6</v>
      </c>
      <c r="B728" t="s">
        <v>33</v>
      </c>
      <c r="C728">
        <v>2000</v>
      </c>
      <c r="D728" t="s">
        <v>93</v>
      </c>
    </row>
    <row r="729" spans="1:7" x14ac:dyDescent="0.3">
      <c r="A729">
        <f>A728*C729/C728</f>
        <v>0.114</v>
      </c>
      <c r="B729" t="s">
        <v>33</v>
      </c>
      <c r="C729">
        <v>30</v>
      </c>
      <c r="D729" t="s">
        <v>93</v>
      </c>
    </row>
    <row r="730" spans="1:7" x14ac:dyDescent="0.3">
      <c r="A730">
        <f>A729*C712</f>
        <v>5.8569641310474724E-3</v>
      </c>
      <c r="B730" t="s">
        <v>94</v>
      </c>
    </row>
    <row r="732" spans="1:7" x14ac:dyDescent="0.3">
      <c r="A732" t="s">
        <v>86</v>
      </c>
      <c r="B732" t="s">
        <v>87</v>
      </c>
      <c r="D732" t="s">
        <v>324</v>
      </c>
    </row>
    <row r="733" spans="1:7" x14ac:dyDescent="0.3">
      <c r="A733" t="s">
        <v>319</v>
      </c>
      <c r="D733">
        <v>7.5</v>
      </c>
      <c r="F733">
        <v>5</v>
      </c>
    </row>
    <row r="734" spans="1:7" x14ac:dyDescent="0.3">
      <c r="A734">
        <v>11</v>
      </c>
      <c r="B734">
        <f t="shared" ref="B734:B740" si="26">A734*0.07/0.0058</f>
        <v>132.75862068965517</v>
      </c>
      <c r="D734">
        <v>15</v>
      </c>
      <c r="F734">
        <f>D734*5/7.5</f>
        <v>10</v>
      </c>
    </row>
    <row r="735" spans="1:7" x14ac:dyDescent="0.3">
      <c r="A735">
        <v>14</v>
      </c>
      <c r="B735">
        <f t="shared" si="26"/>
        <v>168.96551724137933</v>
      </c>
      <c r="D735">
        <v>4.8</v>
      </c>
      <c r="F735">
        <f>D735*5/7.5</f>
        <v>3.2</v>
      </c>
      <c r="G735">
        <f>F735*F735</f>
        <v>10.240000000000002</v>
      </c>
    </row>
    <row r="736" spans="1:7" x14ac:dyDescent="0.3">
      <c r="A736">
        <v>18</v>
      </c>
      <c r="B736">
        <f t="shared" si="26"/>
        <v>217.24137931034488</v>
      </c>
      <c r="D736">
        <v>6.7</v>
      </c>
      <c r="F736">
        <f t="shared" ref="F736:F741" si="27">D736*5/7.5</f>
        <v>4.4666666666666668</v>
      </c>
      <c r="G736">
        <f t="shared" ref="G736:G741" si="28">F736*F736</f>
        <v>19.951111111111111</v>
      </c>
    </row>
    <row r="737" spans="1:7" x14ac:dyDescent="0.3">
      <c r="A737">
        <v>19</v>
      </c>
      <c r="B737">
        <f t="shared" si="26"/>
        <v>229.31034482758625</v>
      </c>
      <c r="D737">
        <v>9.5</v>
      </c>
      <c r="F737">
        <f t="shared" si="27"/>
        <v>6.333333333333333</v>
      </c>
      <c r="G737">
        <f t="shared" si="28"/>
        <v>40.111111111111107</v>
      </c>
    </row>
    <row r="738" spans="1:7" x14ac:dyDescent="0.3">
      <c r="A738">
        <v>21</v>
      </c>
      <c r="B738">
        <f t="shared" si="26"/>
        <v>253.44827586206901</v>
      </c>
      <c r="D738">
        <v>10.6</v>
      </c>
      <c r="F738">
        <f t="shared" si="27"/>
        <v>7.0666666666666664</v>
      </c>
      <c r="G738">
        <f t="shared" si="28"/>
        <v>49.937777777777775</v>
      </c>
    </row>
    <row r="739" spans="1:7" x14ac:dyDescent="0.3">
      <c r="A739">
        <v>24</v>
      </c>
      <c r="B739">
        <f t="shared" si="26"/>
        <v>289.65517241379314</v>
      </c>
      <c r="D739">
        <v>11.6</v>
      </c>
      <c r="F739">
        <f t="shared" si="27"/>
        <v>7.7333333333333334</v>
      </c>
      <c r="G739">
        <f t="shared" si="28"/>
        <v>59.804444444444442</v>
      </c>
    </row>
    <row r="740" spans="1:7" x14ac:dyDescent="0.3">
      <c r="A740">
        <v>27</v>
      </c>
      <c r="B740">
        <f t="shared" si="26"/>
        <v>325.86206896551727</v>
      </c>
      <c r="D740">
        <v>13.45</v>
      </c>
      <c r="F740">
        <f t="shared" si="27"/>
        <v>8.9666666666666668</v>
      </c>
      <c r="G740">
        <f t="shared" si="28"/>
        <v>80.401111111111106</v>
      </c>
    </row>
    <row r="741" spans="1:7" x14ac:dyDescent="0.3">
      <c r="D741">
        <v>15</v>
      </c>
      <c r="F741">
        <f t="shared" si="27"/>
        <v>10</v>
      </c>
      <c r="G741">
        <f t="shared" si="28"/>
        <v>100</v>
      </c>
    </row>
    <row r="742" spans="1:7" x14ac:dyDescent="0.3">
      <c r="A742" t="s">
        <v>86</v>
      </c>
      <c r="B742" t="s">
        <v>87</v>
      </c>
    </row>
    <row r="743" spans="1:7" x14ac:dyDescent="0.3">
      <c r="A743" t="s">
        <v>318</v>
      </c>
    </row>
    <row r="744" spans="1:7" x14ac:dyDescent="0.3">
      <c r="A744">
        <v>6.5</v>
      </c>
      <c r="B744">
        <f t="shared" ref="B744:B750" si="29">A744*0.07/0.0058</f>
        <v>78.448275862068982</v>
      </c>
    </row>
    <row r="745" spans="1:7" x14ac:dyDescent="0.3">
      <c r="A745">
        <v>8.5</v>
      </c>
      <c r="B745">
        <f t="shared" si="29"/>
        <v>102.58620689655174</v>
      </c>
    </row>
    <row r="746" spans="1:7" x14ac:dyDescent="0.3">
      <c r="A746">
        <v>11</v>
      </c>
      <c r="B746">
        <f t="shared" si="29"/>
        <v>132.75862068965517</v>
      </c>
    </row>
    <row r="747" spans="1:7" x14ac:dyDescent="0.3">
      <c r="A747">
        <v>10</v>
      </c>
      <c r="B747">
        <f t="shared" si="29"/>
        <v>120.68965517241381</v>
      </c>
    </row>
    <row r="748" spans="1:7" x14ac:dyDescent="0.3">
      <c r="A748">
        <v>12</v>
      </c>
      <c r="B748">
        <f t="shared" si="29"/>
        <v>144.82758620689657</v>
      </c>
    </row>
    <row r="749" spans="1:7" x14ac:dyDescent="0.3">
      <c r="A749">
        <v>13</v>
      </c>
      <c r="B749">
        <f t="shared" si="29"/>
        <v>156.89655172413796</v>
      </c>
    </row>
    <row r="750" spans="1:7" x14ac:dyDescent="0.3">
      <c r="A750">
        <v>14.5</v>
      </c>
      <c r="B750">
        <f t="shared" si="29"/>
        <v>175.00000000000003</v>
      </c>
    </row>
    <row r="752" spans="1:7" x14ac:dyDescent="0.3">
      <c r="A752" t="s">
        <v>86</v>
      </c>
      <c r="B752" t="s">
        <v>98</v>
      </c>
    </row>
    <row r="753" spans="1:2" x14ac:dyDescent="0.3">
      <c r="A753" t="s">
        <v>321</v>
      </c>
    </row>
    <row r="754" spans="1:2" x14ac:dyDescent="0.3">
      <c r="A754">
        <v>9</v>
      </c>
      <c r="B754">
        <f t="shared" ref="B754:B760" si="30">A754*0.07/0.0055</f>
        <v>114.54545454545458</v>
      </c>
    </row>
    <row r="755" spans="1:2" x14ac:dyDescent="0.3">
      <c r="A755">
        <v>12</v>
      </c>
      <c r="B755">
        <f t="shared" si="30"/>
        <v>152.72727272727275</v>
      </c>
    </row>
    <row r="756" spans="1:2" x14ac:dyDescent="0.3">
      <c r="A756">
        <v>16.5</v>
      </c>
      <c r="B756">
        <f t="shared" si="30"/>
        <v>210.00000000000003</v>
      </c>
    </row>
    <row r="757" spans="1:2" x14ac:dyDescent="0.3">
      <c r="A757">
        <v>16.5</v>
      </c>
      <c r="B757">
        <f t="shared" si="30"/>
        <v>210.00000000000003</v>
      </c>
    </row>
    <row r="758" spans="1:2" x14ac:dyDescent="0.3">
      <c r="A758">
        <v>20</v>
      </c>
      <c r="B758">
        <f t="shared" si="30"/>
        <v>254.54545454545459</v>
      </c>
    </row>
    <row r="759" spans="1:2" x14ac:dyDescent="0.3">
      <c r="A759">
        <v>23</v>
      </c>
      <c r="B759">
        <f t="shared" si="30"/>
        <v>292.72727272727275</v>
      </c>
    </row>
    <row r="760" spans="1:2" x14ac:dyDescent="0.3">
      <c r="A760">
        <v>26</v>
      </c>
      <c r="B760">
        <f t="shared" si="30"/>
        <v>330.90909090909099</v>
      </c>
    </row>
    <row r="762" spans="1:2" x14ac:dyDescent="0.3">
      <c r="A762" t="s">
        <v>86</v>
      </c>
      <c r="B762" t="s">
        <v>98</v>
      </c>
    </row>
    <row r="763" spans="1:2" x14ac:dyDescent="0.3">
      <c r="A763" t="s">
        <v>320</v>
      </c>
    </row>
    <row r="764" spans="1:2" x14ac:dyDescent="0.3">
      <c r="A764">
        <v>3</v>
      </c>
      <c r="B764">
        <f t="shared" ref="B764:B770" si="31">A764*0.07/0.0055</f>
        <v>38.181818181818187</v>
      </c>
    </row>
    <row r="765" spans="1:2" x14ac:dyDescent="0.3">
      <c r="A765">
        <v>3.9</v>
      </c>
      <c r="B765">
        <f t="shared" si="31"/>
        <v>49.63636363636364</v>
      </c>
    </row>
    <row r="766" spans="1:2" x14ac:dyDescent="0.3">
      <c r="A766">
        <v>5</v>
      </c>
      <c r="B766">
        <f t="shared" si="31"/>
        <v>63.636363636363647</v>
      </c>
    </row>
    <row r="767" spans="1:2" x14ac:dyDescent="0.3">
      <c r="A767">
        <v>5.5</v>
      </c>
      <c r="B767">
        <f t="shared" si="31"/>
        <v>70</v>
      </c>
    </row>
    <row r="768" spans="1:2" x14ac:dyDescent="0.3">
      <c r="A768">
        <v>5.5</v>
      </c>
      <c r="B768">
        <f t="shared" si="31"/>
        <v>70</v>
      </c>
    </row>
    <row r="769" spans="1:2" x14ac:dyDescent="0.3">
      <c r="A769">
        <v>6</v>
      </c>
      <c r="B769">
        <f t="shared" si="31"/>
        <v>76.363636363636374</v>
      </c>
    </row>
    <row r="770" spans="1:2" x14ac:dyDescent="0.3">
      <c r="A770">
        <v>7</v>
      </c>
      <c r="B770">
        <f t="shared" si="31"/>
        <v>89.090909090909108</v>
      </c>
    </row>
    <row r="773" spans="1:2" x14ac:dyDescent="0.3">
      <c r="A773" t="s">
        <v>325</v>
      </c>
    </row>
    <row r="774" spans="1:2" x14ac:dyDescent="0.3">
      <c r="A774">
        <v>4.0999999999999996</v>
      </c>
      <c r="B774">
        <f t="shared" ref="B774:B780" si="32">A774*0.07/0.0058</f>
        <v>49.482758620689651</v>
      </c>
    </row>
    <row r="775" spans="1:2" x14ac:dyDescent="0.3">
      <c r="A775">
        <v>5.5</v>
      </c>
      <c r="B775">
        <f t="shared" si="32"/>
        <v>66.379310344827587</v>
      </c>
    </row>
    <row r="776" spans="1:2" x14ac:dyDescent="0.3">
      <c r="A776">
        <v>6.8</v>
      </c>
      <c r="B776">
        <f t="shared" si="32"/>
        <v>82.068965517241395</v>
      </c>
    </row>
    <row r="777" spans="1:2" x14ac:dyDescent="0.3">
      <c r="A777">
        <v>6.2</v>
      </c>
      <c r="B777">
        <f t="shared" si="32"/>
        <v>74.827586206896569</v>
      </c>
    </row>
    <row r="778" spans="1:2" x14ac:dyDescent="0.3">
      <c r="A778">
        <v>7.5</v>
      </c>
      <c r="B778">
        <f t="shared" si="32"/>
        <v>90.517241379310349</v>
      </c>
    </row>
    <row r="779" spans="1:2" x14ac:dyDescent="0.3">
      <c r="A779">
        <v>8</v>
      </c>
      <c r="B779">
        <f t="shared" si="32"/>
        <v>96.551724137931046</v>
      </c>
    </row>
    <row r="780" spans="1:2" x14ac:dyDescent="0.3">
      <c r="A780">
        <v>8.9</v>
      </c>
      <c r="B780">
        <f t="shared" si="32"/>
        <v>107.4137931034483</v>
      </c>
    </row>
    <row r="782" spans="1:2" x14ac:dyDescent="0.3">
      <c r="A782" t="s">
        <v>326</v>
      </c>
    </row>
    <row r="783" spans="1:2" x14ac:dyDescent="0.3">
      <c r="A783">
        <v>1.6</v>
      </c>
      <c r="B783">
        <f t="shared" ref="B783:B789" si="33">A783*0.07/0.0055</f>
        <v>20.363636363636367</v>
      </c>
    </row>
    <row r="784" spans="1:2" x14ac:dyDescent="0.3">
      <c r="A784">
        <v>2</v>
      </c>
      <c r="B784">
        <f t="shared" si="33"/>
        <v>25.454545454545457</v>
      </c>
    </row>
    <row r="785" spans="1:8" x14ac:dyDescent="0.3">
      <c r="A785">
        <v>2.1</v>
      </c>
      <c r="B785">
        <f t="shared" si="33"/>
        <v>26.727272727272734</v>
      </c>
    </row>
    <row r="786" spans="1:8" x14ac:dyDescent="0.3">
      <c r="A786">
        <v>2.2000000000000002</v>
      </c>
      <c r="B786">
        <f t="shared" si="33"/>
        <v>28.000000000000007</v>
      </c>
    </row>
    <row r="787" spans="1:8" x14ac:dyDescent="0.3">
      <c r="A787">
        <v>2.2000000000000002</v>
      </c>
      <c r="B787">
        <f t="shared" si="33"/>
        <v>28.000000000000007</v>
      </c>
    </row>
    <row r="788" spans="1:8" x14ac:dyDescent="0.3">
      <c r="A788">
        <v>2.7</v>
      </c>
      <c r="B788">
        <f t="shared" si="33"/>
        <v>34.363636363636374</v>
      </c>
    </row>
    <row r="789" spans="1:8" x14ac:dyDescent="0.3">
      <c r="A789">
        <v>3</v>
      </c>
      <c r="B789">
        <f t="shared" si="33"/>
        <v>38.181818181818187</v>
      </c>
    </row>
    <row r="791" spans="1:8" x14ac:dyDescent="0.3">
      <c r="A791" t="s">
        <v>16</v>
      </c>
      <c r="B791">
        <v>159</v>
      </c>
      <c r="C791" t="s">
        <v>329</v>
      </c>
    </row>
    <row r="792" spans="1:8" x14ac:dyDescent="0.3">
      <c r="A792" t="s">
        <v>1</v>
      </c>
      <c r="B792">
        <v>1</v>
      </c>
      <c r="D792">
        <v>1.5</v>
      </c>
      <c r="F792">
        <v>3</v>
      </c>
      <c r="H792">
        <v>6</v>
      </c>
    </row>
    <row r="793" spans="1:8" x14ac:dyDescent="0.3">
      <c r="A793" t="s">
        <v>51</v>
      </c>
      <c r="B793">
        <v>1</v>
      </c>
      <c r="D793">
        <v>1</v>
      </c>
      <c r="F793">
        <v>1</v>
      </c>
      <c r="H793">
        <v>1</v>
      </c>
    </row>
    <row r="794" spans="1:8" x14ac:dyDescent="0.3">
      <c r="A794" t="s">
        <v>18</v>
      </c>
      <c r="B794">
        <f>B792/(B792+B793)</f>
        <v>0.5</v>
      </c>
      <c r="D794">
        <f>D792/(D792+D793)</f>
        <v>0.6</v>
      </c>
      <c r="F794">
        <f>F792/(F792+F793)</f>
        <v>0.75</v>
      </c>
      <c r="H794">
        <f>H792/(H792+H793)</f>
        <v>0.8571428571428571</v>
      </c>
    </row>
    <row r="795" spans="1:8" x14ac:dyDescent="0.3">
      <c r="A795" t="s">
        <v>244</v>
      </c>
      <c r="B795">
        <f>B793/(B792+B793)</f>
        <v>0.5</v>
      </c>
      <c r="D795">
        <f>D793/(D792+D793)</f>
        <v>0.4</v>
      </c>
      <c r="F795">
        <f>F793/(F792+F793)</f>
        <v>0.25</v>
      </c>
      <c r="H795">
        <f>H793/(H792+H793)</f>
        <v>0.14285714285714285</v>
      </c>
    </row>
    <row r="796" spans="1:8" x14ac:dyDescent="0.3">
      <c r="A796" t="s">
        <v>330</v>
      </c>
      <c r="B796">
        <f>2/1050*20*B795</f>
        <v>1.9047619047619049E-2</v>
      </c>
      <c r="D796">
        <f>2/1050*20*D795</f>
        <v>1.523809523809524E-2</v>
      </c>
      <c r="F796">
        <f>2/1050*20*F795</f>
        <v>9.5238095238095247E-3</v>
      </c>
      <c r="H796">
        <f>2/1050*20*H795</f>
        <v>5.4421768707482998E-3</v>
      </c>
    </row>
    <row r="797" spans="1:8" x14ac:dyDescent="0.3">
      <c r="A797" t="s">
        <v>331</v>
      </c>
      <c r="B797">
        <f>44*0.07/B796</f>
        <v>161.69999999999999</v>
      </c>
      <c r="D797">
        <f>47.5*0.07/D796</f>
        <v>218.203125</v>
      </c>
      <c r="F797">
        <f>38*0.07/F796</f>
        <v>279.3</v>
      </c>
      <c r="H797">
        <f>28*0.07/H796</f>
        <v>360.15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Classification</vt:lpstr>
      <vt:lpstr>Copy</vt:lpstr>
      <vt:lpstr>Copy-1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2023-11-07T08:53:38Z</dcterms:created>
  <dcterms:modified xsi:type="dcterms:W3CDTF">2024-10-14T17:05:58Z</dcterms:modified>
</cp:coreProperties>
</file>